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Anh Khánh\Năm 2023\Các Kỳ họp HĐND tỉnh năm 2023\Kỳ họp tháng 12 (kỳ họp cuối năm)\Tờ trình, dự thảo NQ\Dân tộc thiểu số\01.12\"/>
    </mc:Choice>
  </mc:AlternateContent>
  <bookViews>
    <workbookView xWindow="0" yWindow="0" windowWidth="19200" windowHeight="7740" activeTab="1"/>
  </bookViews>
  <sheets>
    <sheet name="NQ 2024" sheetId="14" r:id="rId1"/>
    <sheet name="TTr 2024 FN" sheetId="22" r:id="rId2"/>
  </sheets>
  <definedNames>
    <definedName name="_xlnm.Print_Titles" localSheetId="0">'NQ 2024'!$5:$6</definedName>
    <definedName name="_xlnm.Print_Titles" localSheetId="1">'TTr 2024 FN'!$5:$6</definedName>
  </definedNames>
  <calcPr calcId="162913"/>
</workbook>
</file>

<file path=xl/calcChain.xml><?xml version="1.0" encoding="utf-8"?>
<calcChain xmlns="http://schemas.openxmlformats.org/spreadsheetml/2006/main">
  <c r="AA66" i="22" l="1"/>
  <c r="Y66" i="22" s="1"/>
  <c r="O66" i="22"/>
  <c r="M66" i="22" s="1"/>
  <c r="AA65" i="22"/>
  <c r="Y65" i="22" s="1"/>
  <c r="O65" i="22"/>
  <c r="M65" i="22"/>
  <c r="AA64" i="22"/>
  <c r="Y64" i="22" s="1"/>
  <c r="O64" i="22"/>
  <c r="M64" i="22" s="1"/>
  <c r="AA63" i="22"/>
  <c r="Y63" i="22" s="1"/>
  <c r="O63" i="22"/>
  <c r="M63" i="22" s="1"/>
  <c r="AA62" i="22"/>
  <c r="Y62" i="22" s="1"/>
  <c r="O62" i="22"/>
  <c r="M62" i="22" s="1"/>
  <c r="U61" i="22"/>
  <c r="T61" i="22"/>
  <c r="S61" i="22"/>
  <c r="R61" i="22"/>
  <c r="Q61" i="22"/>
  <c r="P61" i="22"/>
  <c r="W60" i="22"/>
  <c r="V60" i="22" s="1"/>
  <c r="P60" i="22"/>
  <c r="M60" i="22"/>
  <c r="L60" i="22"/>
  <c r="W59" i="22"/>
  <c r="V59" i="22"/>
  <c r="R59" i="22"/>
  <c r="M59" i="22"/>
  <c r="L59" i="22"/>
  <c r="L58" i="22" s="1"/>
  <c r="W58" i="22"/>
  <c r="U58" i="22"/>
  <c r="U53" i="22" s="1"/>
  <c r="U52" i="22" s="1"/>
  <c r="T58" i="22"/>
  <c r="S58" i="22"/>
  <c r="S56" i="22" s="1"/>
  <c r="Q58" i="22"/>
  <c r="Q53" i="22" s="1"/>
  <c r="Q52" i="22" s="1"/>
  <c r="N58" i="22"/>
  <c r="G58" i="22"/>
  <c r="W57" i="22"/>
  <c r="V57" i="22" s="1"/>
  <c r="T57" i="22"/>
  <c r="T53" i="22" s="1"/>
  <c r="T52" i="22" s="1"/>
  <c r="N57" i="22"/>
  <c r="L57" i="22" s="1"/>
  <c r="N56" i="22"/>
  <c r="J56" i="22"/>
  <c r="G56" i="22"/>
  <c r="G53" i="22" s="1"/>
  <c r="G52" i="22" s="1"/>
  <c r="W55" i="22"/>
  <c r="V55" i="22" s="1"/>
  <c r="J55" i="22"/>
  <c r="N55" i="22" s="1"/>
  <c r="W54" i="22"/>
  <c r="V54" i="22" s="1"/>
  <c r="J54" i="22"/>
  <c r="K52" i="22"/>
  <c r="K49" i="22"/>
  <c r="J49" i="22"/>
  <c r="V48" i="22"/>
  <c r="J48" i="22"/>
  <c r="Q48" i="22" s="1"/>
  <c r="Y47" i="22"/>
  <c r="V47" i="22"/>
  <c r="J47" i="22"/>
  <c r="Q47" i="22" s="1"/>
  <c r="W46" i="22"/>
  <c r="V46" i="22" s="1"/>
  <c r="J46" i="22"/>
  <c r="Q46" i="22" s="1"/>
  <c r="W45" i="22"/>
  <c r="V45" i="22"/>
  <c r="J45" i="22"/>
  <c r="Q45" i="22" s="1"/>
  <c r="W44" i="22"/>
  <c r="V44" i="22" s="1"/>
  <c r="J44" i="22"/>
  <c r="Q44" i="22" s="1"/>
  <c r="W43" i="22"/>
  <c r="V43" i="22" s="1"/>
  <c r="J43" i="22"/>
  <c r="Q43" i="22" s="1"/>
  <c r="U42" i="22"/>
  <c r="U40" i="22" s="1"/>
  <c r="T42" i="22"/>
  <c r="P42" i="22"/>
  <c r="K42" i="22"/>
  <c r="Y41" i="22"/>
  <c r="V41" i="22"/>
  <c r="J41" i="22"/>
  <c r="P40" i="22"/>
  <c r="W39" i="22"/>
  <c r="V39" i="22" s="1"/>
  <c r="N39" i="22"/>
  <c r="R39" i="22" s="1"/>
  <c r="S39" i="22" s="1"/>
  <c r="S33" i="22" s="1"/>
  <c r="S32" i="22" s="1"/>
  <c r="M39" i="22"/>
  <c r="W38" i="22"/>
  <c r="V38" i="22"/>
  <c r="N38" i="22"/>
  <c r="L38" i="22" s="1"/>
  <c r="W37" i="22"/>
  <c r="V37" i="22" s="1"/>
  <c r="R37" i="22"/>
  <c r="M37" i="22"/>
  <c r="H37" i="22" s="1"/>
  <c r="L37" i="22"/>
  <c r="W36" i="22"/>
  <c r="V36" i="22" s="1"/>
  <c r="R36" i="22"/>
  <c r="M36" i="22"/>
  <c r="H36" i="22" s="1"/>
  <c r="L36" i="22"/>
  <c r="W35" i="22"/>
  <c r="V35" i="22" s="1"/>
  <c r="R35" i="22"/>
  <c r="M35" i="22"/>
  <c r="H35" i="22" s="1"/>
  <c r="L35" i="22"/>
  <c r="W34" i="22"/>
  <c r="V34" i="22" s="1"/>
  <c r="R34" i="22"/>
  <c r="M34" i="22"/>
  <c r="H34" i="22" s="1"/>
  <c r="L34" i="22"/>
  <c r="U33" i="22"/>
  <c r="U32" i="22" s="1"/>
  <c r="T33" i="22"/>
  <c r="Q33" i="22"/>
  <c r="Q32" i="22" s="1"/>
  <c r="P33" i="22"/>
  <c r="P32" i="22" s="1"/>
  <c r="K33" i="22"/>
  <c r="J33" i="22"/>
  <c r="J32" i="22" s="1"/>
  <c r="G33" i="22"/>
  <c r="G32" i="22" s="1"/>
  <c r="T32" i="22"/>
  <c r="K32" i="22"/>
  <c r="AA31" i="22"/>
  <c r="W31" i="22"/>
  <c r="Z31" i="22" s="1"/>
  <c r="Y31" i="22" s="1"/>
  <c r="R31" i="22"/>
  <c r="M31" i="22"/>
  <c r="AA30" i="22"/>
  <c r="W30" i="22"/>
  <c r="Z30" i="22" s="1"/>
  <c r="V30" i="22"/>
  <c r="R30" i="22"/>
  <c r="M30" i="22"/>
  <c r="U29" i="22"/>
  <c r="T29" i="22"/>
  <c r="Q29" i="22"/>
  <c r="P29" i="22"/>
  <c r="O29" i="22"/>
  <c r="O22" i="22" s="1"/>
  <c r="O21" i="22" s="1"/>
  <c r="N29" i="22"/>
  <c r="L29" i="22"/>
  <c r="K29" i="22"/>
  <c r="K21" i="22" s="1"/>
  <c r="J29" i="22"/>
  <c r="G29" i="22"/>
  <c r="W28" i="22"/>
  <c r="V28" i="22"/>
  <c r="J28" i="22"/>
  <c r="W27" i="22"/>
  <c r="V27" i="22" s="1"/>
  <c r="J27" i="22"/>
  <c r="W26" i="22"/>
  <c r="V26" i="22" s="1"/>
  <c r="J26" i="22"/>
  <c r="W25" i="22"/>
  <c r="V25" i="22"/>
  <c r="J25" i="22"/>
  <c r="W24" i="22"/>
  <c r="V24" i="22" s="1"/>
  <c r="J24" i="22"/>
  <c r="J23" i="22" s="1"/>
  <c r="R27" i="22" s="1"/>
  <c r="Q23" i="22"/>
  <c r="Q22" i="22" s="1"/>
  <c r="Q21" i="22" s="1"/>
  <c r="P23" i="22"/>
  <c r="L23" i="22"/>
  <c r="G23" i="22"/>
  <c r="U22" i="22"/>
  <c r="U21" i="22" s="1"/>
  <c r="T22" i="22"/>
  <c r="T21" i="22" s="1"/>
  <c r="L22" i="22"/>
  <c r="L21" i="22" s="1"/>
  <c r="W20" i="22"/>
  <c r="V20" i="22" s="1"/>
  <c r="J20" i="22"/>
  <c r="W19" i="22"/>
  <c r="V19" i="22" s="1"/>
  <c r="J19" i="22"/>
  <c r="W18" i="22"/>
  <c r="V18" i="22" s="1"/>
  <c r="J18" i="22"/>
  <c r="W17" i="22"/>
  <c r="V17" i="22"/>
  <c r="J17" i="22"/>
  <c r="W16" i="22"/>
  <c r="J16" i="22"/>
  <c r="U15" i="22"/>
  <c r="T15" i="22"/>
  <c r="S15" i="22"/>
  <c r="R15" i="22"/>
  <c r="Q15" i="22"/>
  <c r="P15" i="22"/>
  <c r="K15" i="22"/>
  <c r="G15" i="22"/>
  <c r="W14" i="22"/>
  <c r="V14" i="22" s="1"/>
  <c r="L14" i="22"/>
  <c r="J14" i="22"/>
  <c r="G14" i="22"/>
  <c r="W13" i="22"/>
  <c r="V13" i="22"/>
  <c r="L13" i="22"/>
  <c r="J13" i="22"/>
  <c r="G13" i="22"/>
  <c r="W12" i="22"/>
  <c r="V12" i="22" s="1"/>
  <c r="L12" i="22"/>
  <c r="J12" i="22"/>
  <c r="G12" i="22"/>
  <c r="W11" i="22"/>
  <c r="V11" i="22" s="1"/>
  <c r="J11" i="22"/>
  <c r="G11" i="22"/>
  <c r="W10" i="22"/>
  <c r="V10" i="22" s="1"/>
  <c r="J10" i="22"/>
  <c r="G10" i="22"/>
  <c r="U9" i="22"/>
  <c r="P9" i="22"/>
  <c r="U8" i="22"/>
  <c r="P8" i="22"/>
  <c r="W23" i="22" l="1"/>
  <c r="N33" i="22"/>
  <c r="N32" i="22" s="1"/>
  <c r="M57" i="22"/>
  <c r="H57" i="22" s="1"/>
  <c r="H56" i="22" s="1"/>
  <c r="M29" i="22"/>
  <c r="L39" i="22"/>
  <c r="L33" i="22" s="1"/>
  <c r="L32" i="22" s="1"/>
  <c r="G9" i="22"/>
  <c r="G8" i="22" s="1"/>
  <c r="P22" i="22"/>
  <c r="P21" i="22" s="1"/>
  <c r="V58" i="22"/>
  <c r="V56" i="22" s="1"/>
  <c r="V23" i="22"/>
  <c r="W29" i="22"/>
  <c r="W22" i="22" s="1"/>
  <c r="W21" i="22" s="1"/>
  <c r="V33" i="22"/>
  <c r="V32" i="22" s="1"/>
  <c r="Z35" i="22"/>
  <c r="Y35" i="22" s="1"/>
  <c r="Z36" i="22"/>
  <c r="Y36" i="22" s="1"/>
  <c r="L56" i="22"/>
  <c r="AA61" i="22"/>
  <c r="U7" i="22"/>
  <c r="W9" i="22"/>
  <c r="W8" i="22" s="1"/>
  <c r="G22" i="22"/>
  <c r="G21" i="22" s="1"/>
  <c r="G7" i="22" s="1"/>
  <c r="Z29" i="22"/>
  <c r="Y30" i="22"/>
  <c r="Y29" i="22" s="1"/>
  <c r="V31" i="22"/>
  <c r="Z37" i="22"/>
  <c r="Y37" i="22" s="1"/>
  <c r="Z55" i="22"/>
  <c r="Y55" i="22" s="1"/>
  <c r="Z60" i="22"/>
  <c r="Y60" i="22" s="1"/>
  <c r="O61" i="22"/>
  <c r="Z39" i="22"/>
  <c r="Y39" i="22" s="1"/>
  <c r="Q11" i="22"/>
  <c r="Q42" i="22"/>
  <c r="Q40" i="22" s="1"/>
  <c r="J9" i="22"/>
  <c r="Q10" i="22"/>
  <c r="V16" i="22"/>
  <c r="V15" i="22" s="1"/>
  <c r="W15" i="22"/>
  <c r="V9" i="22"/>
  <c r="V8" i="22" s="1"/>
  <c r="J15" i="22"/>
  <c r="S25" i="22"/>
  <c r="S31" i="22"/>
  <c r="S29" i="22" s="1"/>
  <c r="R29" i="22"/>
  <c r="M55" i="22"/>
  <c r="H55" i="22" s="1"/>
  <c r="R55" i="22"/>
  <c r="S55" i="22" s="1"/>
  <c r="Z28" i="22"/>
  <c r="Y28" i="22" s="1"/>
  <c r="N27" i="22"/>
  <c r="M27" i="22" s="1"/>
  <c r="H27" i="22" s="1"/>
  <c r="Z26" i="22"/>
  <c r="Y26" i="22" s="1"/>
  <c r="N25" i="22"/>
  <c r="M25" i="22" s="1"/>
  <c r="H25" i="22" s="1"/>
  <c r="Z24" i="22"/>
  <c r="N28" i="22"/>
  <c r="M28" i="22" s="1"/>
  <c r="H28" i="22" s="1"/>
  <c r="Z27" i="22"/>
  <c r="Y27" i="22" s="1"/>
  <c r="N26" i="22"/>
  <c r="M26" i="22" s="1"/>
  <c r="H26" i="22" s="1"/>
  <c r="Z25" i="22"/>
  <c r="Y25" i="22" s="1"/>
  <c r="N24" i="22"/>
  <c r="S24" i="22"/>
  <c r="R26" i="22"/>
  <c r="S28" i="22"/>
  <c r="Z34" i="22"/>
  <c r="V42" i="22"/>
  <c r="V40" i="22" s="1"/>
  <c r="R60" i="22"/>
  <c r="R58" i="22" s="1"/>
  <c r="R56" i="22" s="1"/>
  <c r="P58" i="22"/>
  <c r="P56" i="22" s="1"/>
  <c r="P53" i="22" s="1"/>
  <c r="P52" i="22" s="1"/>
  <c r="M61" i="22"/>
  <c r="R25" i="22"/>
  <c r="S27" i="22"/>
  <c r="AA29" i="22"/>
  <c r="AA22" i="22" s="1"/>
  <c r="AA21" i="22" s="1"/>
  <c r="R38" i="22"/>
  <c r="R33" i="22" s="1"/>
  <c r="R32" i="22" s="1"/>
  <c r="M38" i="22"/>
  <c r="H39" i="22"/>
  <c r="J42" i="22"/>
  <c r="J40" i="22" s="1"/>
  <c r="V53" i="22"/>
  <c r="V52" i="22" s="1"/>
  <c r="M58" i="22"/>
  <c r="Z59" i="22"/>
  <c r="R24" i="22"/>
  <c r="S26" i="22"/>
  <c r="R28" i="22"/>
  <c r="V29" i="22"/>
  <c r="V22" i="22" s="1"/>
  <c r="V21" i="22" s="1"/>
  <c r="W33" i="22"/>
  <c r="W32" i="22" s="1"/>
  <c r="W42" i="22"/>
  <c r="W40" i="22" s="1"/>
  <c r="Z54" i="22"/>
  <c r="J53" i="22"/>
  <c r="N54" i="22"/>
  <c r="L55" i="22"/>
  <c r="Y61" i="22"/>
  <c r="W56" i="22"/>
  <c r="W53" i="22" s="1"/>
  <c r="W52" i="22" s="1"/>
  <c r="AA66" i="14"/>
  <c r="AA65" i="14"/>
  <c r="AA64" i="14"/>
  <c r="AA63" i="14"/>
  <c r="AA62" i="14"/>
  <c r="J41" i="14"/>
  <c r="V41" i="14"/>
  <c r="Y41" i="14"/>
  <c r="M56" i="22" l="1"/>
  <c r="P7" i="22"/>
  <c r="W7" i="22"/>
  <c r="Z50" i="22"/>
  <c r="Z48" i="22"/>
  <c r="Y48" i="22" s="1"/>
  <c r="N46" i="22"/>
  <c r="Z45" i="22"/>
  <c r="Y45" i="22" s="1"/>
  <c r="N50" i="22"/>
  <c r="N48" i="22"/>
  <c r="N44" i="22"/>
  <c r="Z43" i="22"/>
  <c r="Z51" i="22"/>
  <c r="Y51" i="22" s="1"/>
  <c r="N43" i="22"/>
  <c r="N41" i="22"/>
  <c r="N51" i="22"/>
  <c r="M51" i="22" s="1"/>
  <c r="L51" i="22" s="1"/>
  <c r="N47" i="22"/>
  <c r="Z44" i="22"/>
  <c r="Y44" i="22" s="1"/>
  <c r="N45" i="22"/>
  <c r="Y54" i="22"/>
  <c r="Z58" i="22"/>
  <c r="Z57" i="22" s="1"/>
  <c r="Y59" i="22"/>
  <c r="Y58" i="22" s="1"/>
  <c r="Y34" i="22"/>
  <c r="N23" i="22"/>
  <c r="N22" i="22" s="1"/>
  <c r="N21" i="22" s="1"/>
  <c r="M24" i="22"/>
  <c r="Z19" i="22"/>
  <c r="Y19" i="22" s="1"/>
  <c r="N19" i="22"/>
  <c r="Z20" i="22"/>
  <c r="Y20" i="22" s="1"/>
  <c r="Z18" i="22"/>
  <c r="Y18" i="22" s="1"/>
  <c r="Z17" i="22"/>
  <c r="Y17" i="22" s="1"/>
  <c r="N17" i="22"/>
  <c r="Z16" i="22"/>
  <c r="N16" i="22"/>
  <c r="N20" i="22"/>
  <c r="N18" i="22"/>
  <c r="L54" i="22"/>
  <c r="L53" i="22" s="1"/>
  <c r="L52" i="22" s="1"/>
  <c r="R54" i="22"/>
  <c r="N53" i="22"/>
  <c r="N52" i="22" s="1"/>
  <c r="M54" i="22"/>
  <c r="Z38" i="22"/>
  <c r="Y38" i="22" s="1"/>
  <c r="H38" i="22"/>
  <c r="H33" i="22" s="1"/>
  <c r="H32" i="22" s="1"/>
  <c r="M33" i="22"/>
  <c r="M32" i="22" s="1"/>
  <c r="V7" i="22"/>
  <c r="Z14" i="22"/>
  <c r="Z13" i="22"/>
  <c r="Z12" i="22"/>
  <c r="Z11" i="22"/>
  <c r="N10" i="22"/>
  <c r="J8" i="22"/>
  <c r="N14" i="22"/>
  <c r="N13" i="22"/>
  <c r="N12" i="22"/>
  <c r="N11" i="22"/>
  <c r="Q13" i="22"/>
  <c r="Q14" i="22"/>
  <c r="Z10" i="22"/>
  <c r="Q12" i="22"/>
  <c r="Q9" i="22" s="1"/>
  <c r="Q8" i="22" s="1"/>
  <c r="Q7" i="22" s="1"/>
  <c r="Z23" i="22"/>
  <c r="Z22" i="22" s="1"/>
  <c r="Z21" i="22" s="1"/>
  <c r="Y24" i="22"/>
  <c r="Y23" i="22" s="1"/>
  <c r="Y22" i="22" s="1"/>
  <c r="Y21" i="22" s="1"/>
  <c r="R22" i="22"/>
  <c r="R21" i="22" s="1"/>
  <c r="S22" i="22"/>
  <c r="S21" i="22" s="1"/>
  <c r="Y57" i="22" l="1"/>
  <c r="Y56" i="22" s="1"/>
  <c r="Z56" i="22"/>
  <c r="Z53" i="22" s="1"/>
  <c r="Z52" i="22" s="1"/>
  <c r="Z9" i="22"/>
  <c r="Z8" i="22" s="1"/>
  <c r="Y33" i="22"/>
  <c r="Y32" i="22" s="1"/>
  <c r="M47" i="22"/>
  <c r="L47" i="22"/>
  <c r="M50" i="22"/>
  <c r="N49" i="22"/>
  <c r="Z49" i="22"/>
  <c r="Y50" i="22"/>
  <c r="Y49" i="22" s="1"/>
  <c r="T11" i="22"/>
  <c r="O11" i="22"/>
  <c r="AA11" i="22" s="1"/>
  <c r="Y11" i="22" s="1"/>
  <c r="R11" i="22"/>
  <c r="S11" i="22" s="1"/>
  <c r="S54" i="22"/>
  <c r="S53" i="22" s="1"/>
  <c r="S52" i="22" s="1"/>
  <c r="R53" i="22"/>
  <c r="R52" i="22" s="1"/>
  <c r="N15" i="22"/>
  <c r="M16" i="22"/>
  <c r="L16" i="22"/>
  <c r="M23" i="22"/>
  <c r="M22" i="22" s="1"/>
  <c r="M21" i="22" s="1"/>
  <c r="H24" i="22"/>
  <c r="H23" i="22" s="1"/>
  <c r="H22" i="22" s="1"/>
  <c r="H21" i="22" s="1"/>
  <c r="Y43" i="22"/>
  <c r="T12" i="22"/>
  <c r="O12" i="22"/>
  <c r="AA12" i="22" s="1"/>
  <c r="Y12" i="22" s="1"/>
  <c r="R12" i="22"/>
  <c r="S12" i="22" s="1"/>
  <c r="N9" i="22"/>
  <c r="R10" i="22"/>
  <c r="M10" i="22"/>
  <c r="T10" i="22"/>
  <c r="O10" i="22"/>
  <c r="Y16" i="22"/>
  <c r="Y15" i="22" s="1"/>
  <c r="Z15" i="22"/>
  <c r="M45" i="22"/>
  <c r="L45" i="22"/>
  <c r="R45" i="22"/>
  <c r="S45" i="22" s="1"/>
  <c r="M41" i="22"/>
  <c r="T41" i="22"/>
  <c r="T40" i="22" s="1"/>
  <c r="R44" i="22"/>
  <c r="S44" i="22" s="1"/>
  <c r="L44" i="22"/>
  <c r="M44" i="22"/>
  <c r="R46" i="22"/>
  <c r="S46" i="22" s="1"/>
  <c r="L46" i="22"/>
  <c r="Z46" i="22"/>
  <c r="Y46" i="22" s="1"/>
  <c r="M46" i="22"/>
  <c r="T13" i="22"/>
  <c r="O13" i="22"/>
  <c r="AA13" i="22" s="1"/>
  <c r="Y13" i="22" s="1"/>
  <c r="R13" i="22"/>
  <c r="S13" i="22" s="1"/>
  <c r="M13" i="22"/>
  <c r="I13" i="22" s="1"/>
  <c r="I9" i="22" s="1"/>
  <c r="I8" i="22" s="1"/>
  <c r="I7" i="22" s="1"/>
  <c r="H54" i="22"/>
  <c r="H53" i="22" s="1"/>
  <c r="H52" i="22" s="1"/>
  <c r="M53" i="22"/>
  <c r="M52" i="22" s="1"/>
  <c r="M18" i="22"/>
  <c r="H18" i="22" s="1"/>
  <c r="L18" i="22"/>
  <c r="M17" i="22"/>
  <c r="H17" i="22" s="1"/>
  <c r="L17" i="22"/>
  <c r="M19" i="22"/>
  <c r="H19" i="22" s="1"/>
  <c r="L19" i="22"/>
  <c r="Z33" i="22"/>
  <c r="Z32" i="22" s="1"/>
  <c r="Y53" i="22"/>
  <c r="Y52" i="22" s="1"/>
  <c r="M43" i="22"/>
  <c r="L43" i="22"/>
  <c r="N42" i="22"/>
  <c r="N40" i="22" s="1"/>
  <c r="K40" i="22" s="1"/>
  <c r="R43" i="22"/>
  <c r="R48" i="22"/>
  <c r="S48" i="22" s="1"/>
  <c r="L48" i="22"/>
  <c r="M48" i="22"/>
  <c r="T14" i="22"/>
  <c r="O14" i="22"/>
  <c r="AA14" i="22" s="1"/>
  <c r="Y14" i="22" s="1"/>
  <c r="R14" i="22"/>
  <c r="S14" i="22" s="1"/>
  <c r="M20" i="22"/>
  <c r="H20" i="22" s="1"/>
  <c r="L20" i="22"/>
  <c r="P61" i="14"/>
  <c r="Q61" i="14"/>
  <c r="R61" i="14"/>
  <c r="S61" i="14"/>
  <c r="T61" i="14"/>
  <c r="U61" i="14"/>
  <c r="Y64" i="14"/>
  <c r="O64" i="14"/>
  <c r="M64" i="14" s="1"/>
  <c r="Y63" i="14"/>
  <c r="O63" i="14"/>
  <c r="M63" i="14" s="1"/>
  <c r="Y62" i="14"/>
  <c r="O62" i="14"/>
  <c r="M62" i="14" s="1"/>
  <c r="AA31" i="14"/>
  <c r="AA30" i="14"/>
  <c r="L42" i="22" l="1"/>
  <c r="Y42" i="22"/>
  <c r="Y40" i="22" s="1"/>
  <c r="M11" i="22"/>
  <c r="H11" i="22" s="1"/>
  <c r="M42" i="22"/>
  <c r="H16" i="22"/>
  <c r="H15" i="22" s="1"/>
  <c r="M15" i="22"/>
  <c r="L50" i="22"/>
  <c r="L49" i="22" s="1"/>
  <c r="M49" i="22"/>
  <c r="O9" i="22"/>
  <c r="O8" i="22" s="1"/>
  <c r="O7" i="22" s="1"/>
  <c r="AA10" i="22"/>
  <c r="S10" i="22"/>
  <c r="S9" i="22" s="1"/>
  <c r="S8" i="22" s="1"/>
  <c r="R9" i="22"/>
  <c r="R8" i="22" s="1"/>
  <c r="H10" i="22"/>
  <c r="R42" i="22"/>
  <c r="R40" i="22" s="1"/>
  <c r="S43" i="22"/>
  <c r="S42" i="22" s="1"/>
  <c r="S40" i="22" s="1"/>
  <c r="M40" i="22"/>
  <c r="H40" i="22" s="1"/>
  <c r="T9" i="22"/>
  <c r="T8" i="22" s="1"/>
  <c r="T7" i="22" s="1"/>
  <c r="K9" i="22"/>
  <c r="K8" i="22" s="1"/>
  <c r="K7" i="22" s="1"/>
  <c r="N8" i="22"/>
  <c r="N7" i="22" s="1"/>
  <c r="M14" i="22"/>
  <c r="H14" i="22" s="1"/>
  <c r="L10" i="22"/>
  <c r="L9" i="22" s="1"/>
  <c r="L8" i="22" s="1"/>
  <c r="M12" i="22"/>
  <c r="H12" i="22" s="1"/>
  <c r="Z42" i="22"/>
  <c r="Z40" i="22" s="1"/>
  <c r="Z7" i="22" s="1"/>
  <c r="L15" i="22"/>
  <c r="AA61" i="14"/>
  <c r="P23" i="14"/>
  <c r="Q23" i="14"/>
  <c r="Y66" i="14"/>
  <c r="Y65" i="14"/>
  <c r="V48" i="14"/>
  <c r="V47" i="14"/>
  <c r="Y47" i="14"/>
  <c r="P42" i="14"/>
  <c r="P40" i="14" s="1"/>
  <c r="T42" i="14"/>
  <c r="U42" i="14"/>
  <c r="P33" i="14"/>
  <c r="Q33" i="14"/>
  <c r="Q32" i="14" s="1"/>
  <c r="T33" i="14"/>
  <c r="T32" i="14" s="1"/>
  <c r="U33" i="14"/>
  <c r="U32" i="14" s="1"/>
  <c r="P32" i="14"/>
  <c r="P29" i="14"/>
  <c r="Q29" i="14"/>
  <c r="T29" i="14"/>
  <c r="T22" i="14" s="1"/>
  <c r="T21" i="14" s="1"/>
  <c r="U29" i="14"/>
  <c r="U22" i="14" s="1"/>
  <c r="U21" i="14" s="1"/>
  <c r="AA29" i="14"/>
  <c r="P15" i="14"/>
  <c r="Q15" i="14"/>
  <c r="R15" i="14"/>
  <c r="S15" i="14"/>
  <c r="T15" i="14"/>
  <c r="U15" i="14"/>
  <c r="P9" i="14"/>
  <c r="P8" i="14" s="1"/>
  <c r="U9" i="14"/>
  <c r="U8" i="14" s="1"/>
  <c r="Q58" i="14"/>
  <c r="Q53" i="14" s="1"/>
  <c r="Q52" i="14" s="1"/>
  <c r="S58" i="14"/>
  <c r="S56" i="14" s="1"/>
  <c r="T58" i="14"/>
  <c r="U58" i="14"/>
  <c r="U53" i="14" s="1"/>
  <c r="U52" i="14" s="1"/>
  <c r="W57" i="14"/>
  <c r="V57" i="14" s="1"/>
  <c r="W60" i="14"/>
  <c r="V60" i="14" s="1"/>
  <c r="W59" i="14"/>
  <c r="W55" i="14"/>
  <c r="V55" i="14" s="1"/>
  <c r="W54" i="14"/>
  <c r="V54" i="14" s="1"/>
  <c r="W46" i="14"/>
  <c r="V46" i="14" s="1"/>
  <c r="W45" i="14"/>
  <c r="W44" i="14"/>
  <c r="V44" i="14" s="1"/>
  <c r="W43" i="14"/>
  <c r="V43" i="14" s="1"/>
  <c r="W39" i="14"/>
  <c r="V39" i="14" s="1"/>
  <c r="W38" i="14"/>
  <c r="V38" i="14" s="1"/>
  <c r="W37" i="14"/>
  <c r="V37" i="14" s="1"/>
  <c r="W36" i="14"/>
  <c r="V36" i="14" s="1"/>
  <c r="W35" i="14"/>
  <c r="V35" i="14" s="1"/>
  <c r="W34" i="14"/>
  <c r="S7" i="22" l="1"/>
  <c r="L40" i="22"/>
  <c r="L7" i="22" s="1"/>
  <c r="Y61" i="14"/>
  <c r="M9" i="22"/>
  <c r="M8" i="22" s="1"/>
  <c r="M7" i="22" s="1"/>
  <c r="R7" i="22"/>
  <c r="H9" i="22"/>
  <c r="H8" i="22" s="1"/>
  <c r="H7" i="22" s="1"/>
  <c r="AA9" i="22"/>
  <c r="AA8" i="22" s="1"/>
  <c r="AA7" i="22" s="1"/>
  <c r="Y10" i="22"/>
  <c r="Y9" i="22" s="1"/>
  <c r="Y8" i="22" s="1"/>
  <c r="Y7" i="22" s="1"/>
  <c r="W33" i="14"/>
  <c r="W32" i="14" s="1"/>
  <c r="W42" i="14"/>
  <c r="W40" i="14" s="1"/>
  <c r="W58" i="14"/>
  <c r="W56" i="14" s="1"/>
  <c r="W53" i="14" s="1"/>
  <c r="W52" i="14" s="1"/>
  <c r="V34" i="14"/>
  <c r="V33" i="14" s="1"/>
  <c r="V32" i="14" s="1"/>
  <c r="V59" i="14"/>
  <c r="V58" i="14" s="1"/>
  <c r="V45" i="14"/>
  <c r="V42" i="14" s="1"/>
  <c r="V40" i="14" s="1"/>
  <c r="AA22" i="14"/>
  <c r="AA21" i="14" s="1"/>
  <c r="U40" i="14"/>
  <c r="U7" i="14" s="1"/>
  <c r="V56" i="14" l="1"/>
  <c r="V53" i="14" s="1"/>
  <c r="V52" i="14" s="1"/>
  <c r="W31" i="14"/>
  <c r="W30" i="14"/>
  <c r="W28" i="14"/>
  <c r="V28" i="14" s="1"/>
  <c r="W27" i="14"/>
  <c r="V27" i="14" s="1"/>
  <c r="W26" i="14"/>
  <c r="V26" i="14" s="1"/>
  <c r="W25" i="14"/>
  <c r="V25" i="14" s="1"/>
  <c r="W24" i="14"/>
  <c r="W20" i="14"/>
  <c r="V20" i="14" s="1"/>
  <c r="W19" i="14"/>
  <c r="V19" i="14" s="1"/>
  <c r="W18" i="14"/>
  <c r="V18" i="14" s="1"/>
  <c r="W17" i="14"/>
  <c r="V17" i="14" s="1"/>
  <c r="W16" i="14"/>
  <c r="W14" i="14"/>
  <c r="V14" i="14" s="1"/>
  <c r="W13" i="14"/>
  <c r="V13" i="14" s="1"/>
  <c r="W12" i="14"/>
  <c r="V12" i="14" s="1"/>
  <c r="W11" i="14"/>
  <c r="V11" i="14" s="1"/>
  <c r="W10" i="14"/>
  <c r="W23" i="14" l="1"/>
  <c r="V24" i="14"/>
  <c r="V23" i="14" s="1"/>
  <c r="Z30" i="14"/>
  <c r="V30" i="14"/>
  <c r="W9" i="14"/>
  <c r="W8" i="14" s="1"/>
  <c r="V10" i="14"/>
  <c r="V9" i="14" s="1"/>
  <c r="V8" i="14" s="1"/>
  <c r="Z31" i="14"/>
  <c r="Y31" i="14" s="1"/>
  <c r="V31" i="14"/>
  <c r="W15" i="14"/>
  <c r="V16" i="14"/>
  <c r="V15" i="14" s="1"/>
  <c r="W29" i="14"/>
  <c r="G58" i="14"/>
  <c r="W22" i="14" l="1"/>
  <c r="W21" i="14" s="1"/>
  <c r="W7" i="14" s="1"/>
  <c r="V29" i="14"/>
  <c r="V22" i="14" s="1"/>
  <c r="V21" i="14" s="1"/>
  <c r="V7" i="14" s="1"/>
  <c r="Z29" i="14"/>
  <c r="Y30" i="14"/>
  <c r="Y29" i="14" s="1"/>
  <c r="J20" i="14"/>
  <c r="J16" i="14"/>
  <c r="J19" i="14" l="1"/>
  <c r="J18" i="14"/>
  <c r="J17" i="14"/>
  <c r="J49" i="14" l="1"/>
  <c r="K49" i="14"/>
  <c r="J47" i="14"/>
  <c r="G15" i="14" l="1"/>
  <c r="J15" i="14"/>
  <c r="K15" i="14"/>
  <c r="Z17" i="14" l="1"/>
  <c r="Y17" i="14" s="1"/>
  <c r="Z20" i="14"/>
  <c r="Y20" i="14" s="1"/>
  <c r="Z16" i="14"/>
  <c r="Z19" i="14"/>
  <c r="Y19" i="14" s="1"/>
  <c r="Z18" i="14"/>
  <c r="Y18" i="14" s="1"/>
  <c r="N20" i="14"/>
  <c r="N16" i="14"/>
  <c r="N19" i="14"/>
  <c r="N17" i="14"/>
  <c r="N18" i="14"/>
  <c r="L34" i="14"/>
  <c r="M34" i="14"/>
  <c r="Z34" i="14" s="1"/>
  <c r="R34" i="14"/>
  <c r="L35" i="14"/>
  <c r="M35" i="14"/>
  <c r="Z35" i="14" s="1"/>
  <c r="Y35" i="14" s="1"/>
  <c r="R35" i="14"/>
  <c r="L36" i="14"/>
  <c r="M36" i="14"/>
  <c r="Z36" i="14" s="1"/>
  <c r="Y36" i="14" s="1"/>
  <c r="R36" i="14"/>
  <c r="L37" i="14"/>
  <c r="M37" i="14"/>
  <c r="Z37" i="14" s="1"/>
  <c r="Y37" i="14" s="1"/>
  <c r="R37" i="14"/>
  <c r="Z15" i="14" l="1"/>
  <c r="Y16" i="14"/>
  <c r="Y15" i="14" s="1"/>
  <c r="Y34" i="14"/>
  <c r="H37" i="14"/>
  <c r="H34" i="14"/>
  <c r="H35" i="14"/>
  <c r="H36" i="14"/>
  <c r="M18" i="14"/>
  <c r="H18" i="14" s="1"/>
  <c r="L18" i="14"/>
  <c r="N15" i="14"/>
  <c r="M16" i="14"/>
  <c r="H16" i="14" s="1"/>
  <c r="L16" i="14"/>
  <c r="L17" i="14"/>
  <c r="M17" i="14"/>
  <c r="H17" i="14" s="1"/>
  <c r="L19" i="14"/>
  <c r="M19" i="14"/>
  <c r="H19" i="14" s="1"/>
  <c r="M20" i="14"/>
  <c r="H20" i="14" s="1"/>
  <c r="L20" i="14"/>
  <c r="O66" i="14"/>
  <c r="O65" i="14"/>
  <c r="N57" i="14"/>
  <c r="O61" i="14" l="1"/>
  <c r="H15" i="14"/>
  <c r="M15" i="14"/>
  <c r="L15" i="14"/>
  <c r="G13" i="14" l="1"/>
  <c r="J10" i="14"/>
  <c r="J11" i="14"/>
  <c r="J12" i="14"/>
  <c r="J13" i="14"/>
  <c r="J14" i="14"/>
  <c r="J24" i="14"/>
  <c r="J25" i="14"/>
  <c r="J26" i="14"/>
  <c r="J27" i="14"/>
  <c r="J28" i="14"/>
  <c r="M30" i="14"/>
  <c r="M31" i="14"/>
  <c r="N38" i="14"/>
  <c r="M38" i="14" s="1"/>
  <c r="N39" i="14"/>
  <c r="R39" i="14" s="1"/>
  <c r="S39" i="14" s="1"/>
  <c r="S33" i="14" s="1"/>
  <c r="S32" i="14" s="1"/>
  <c r="J43" i="14"/>
  <c r="Q43" i="14" s="1"/>
  <c r="J44" i="14"/>
  <c r="J45" i="14"/>
  <c r="Q45" i="14" s="1"/>
  <c r="J46" i="14"/>
  <c r="Q46" i="14" s="1"/>
  <c r="J48" i="14"/>
  <c r="Q48" i="14" s="1"/>
  <c r="J54" i="14"/>
  <c r="J55" i="14"/>
  <c r="M57" i="14"/>
  <c r="H57" i="14" s="1"/>
  <c r="H56" i="14" s="1"/>
  <c r="M59" i="14"/>
  <c r="Z59" i="14" s="1"/>
  <c r="M60" i="14"/>
  <c r="Z60" i="14" s="1"/>
  <c r="Y60" i="14" s="1"/>
  <c r="M65" i="14"/>
  <c r="M66" i="14"/>
  <c r="G10" i="14"/>
  <c r="G11" i="14"/>
  <c r="G12" i="14"/>
  <c r="G14" i="14"/>
  <c r="G23" i="14"/>
  <c r="G29" i="14"/>
  <c r="G33" i="14"/>
  <c r="G32" i="14" s="1"/>
  <c r="G56" i="14"/>
  <c r="G53" i="14" s="1"/>
  <c r="G52" i="14" s="1"/>
  <c r="J29" i="14"/>
  <c r="K29" i="14"/>
  <c r="K21" i="14" s="1"/>
  <c r="L23" i="14"/>
  <c r="L29" i="14"/>
  <c r="N29" i="14"/>
  <c r="O29" i="14"/>
  <c r="P22" i="14"/>
  <c r="P21" i="14" s="1"/>
  <c r="P7" i="14" s="1"/>
  <c r="Q22" i="14"/>
  <c r="Q21" i="14" s="1"/>
  <c r="N58" i="14"/>
  <c r="N56" i="14" s="1"/>
  <c r="P60" i="14"/>
  <c r="P58" i="14" s="1"/>
  <c r="P56" i="14" s="1"/>
  <c r="P53" i="14" s="1"/>
  <c r="P52" i="14" s="1"/>
  <c r="K52" i="14"/>
  <c r="L57" i="14"/>
  <c r="L59" i="14"/>
  <c r="L60" i="14"/>
  <c r="J33" i="14"/>
  <c r="J32" i="14" s="1"/>
  <c r="K33" i="14"/>
  <c r="K32" i="14" s="1"/>
  <c r="R30" i="14"/>
  <c r="R31" i="14"/>
  <c r="S31" i="14" s="1"/>
  <c r="S29" i="14" s="1"/>
  <c r="L12" i="14"/>
  <c r="L13" i="14"/>
  <c r="L14" i="14"/>
  <c r="J56" i="14"/>
  <c r="K42" i="14"/>
  <c r="Q47" i="14"/>
  <c r="R59" i="14"/>
  <c r="M61" i="14" l="1"/>
  <c r="H38" i="14"/>
  <c r="Z38" i="14"/>
  <c r="Y59" i="14"/>
  <c r="Y58" i="14" s="1"/>
  <c r="Z58" i="14"/>
  <c r="N54" i="14"/>
  <c r="M54" i="14" s="1"/>
  <c r="H54" i="14" s="1"/>
  <c r="Z54" i="14"/>
  <c r="Y54" i="14" s="1"/>
  <c r="R29" i="14"/>
  <c r="N55" i="14"/>
  <c r="R55" i="14" s="1"/>
  <c r="S55" i="14" s="1"/>
  <c r="Z55" i="14"/>
  <c r="Y55" i="14" s="1"/>
  <c r="G22" i="14"/>
  <c r="G21" i="14" s="1"/>
  <c r="R38" i="14"/>
  <c r="R33" i="14" s="1"/>
  <c r="R32" i="14" s="1"/>
  <c r="L38" i="14"/>
  <c r="L58" i="14"/>
  <c r="L56" i="14" s="1"/>
  <c r="L22" i="14"/>
  <c r="L21" i="14" s="1"/>
  <c r="O22" i="14"/>
  <c r="O21" i="14" s="1"/>
  <c r="J42" i="14"/>
  <c r="J40" i="14" s="1"/>
  <c r="N41" i="14" s="1"/>
  <c r="J9" i="14"/>
  <c r="Z14" i="14" s="1"/>
  <c r="R60" i="14"/>
  <c r="G9" i="14"/>
  <c r="G8" i="14" s="1"/>
  <c r="M58" i="14"/>
  <c r="M56" i="14" s="1"/>
  <c r="Q44" i="14"/>
  <c r="Q42" i="14" s="1"/>
  <c r="Q40" i="14" s="1"/>
  <c r="J53" i="14"/>
  <c r="N33" i="14"/>
  <c r="N32" i="14" s="1"/>
  <c r="M29" i="14"/>
  <c r="J23" i="14"/>
  <c r="L39" i="14"/>
  <c r="M39" i="14"/>
  <c r="M41" i="14" l="1"/>
  <c r="T41" i="14"/>
  <c r="L54" i="14"/>
  <c r="Z26" i="14"/>
  <c r="Y26" i="14" s="1"/>
  <c r="Z25" i="14"/>
  <c r="Y25" i="14" s="1"/>
  <c r="Z28" i="14"/>
  <c r="Y28" i="14" s="1"/>
  <c r="Z24" i="14"/>
  <c r="Z27" i="14"/>
  <c r="Y27" i="14" s="1"/>
  <c r="Z50" i="14"/>
  <c r="Z48" i="14"/>
  <c r="Y48" i="14" s="1"/>
  <c r="Z45" i="14"/>
  <c r="Y45" i="14" s="1"/>
  <c r="Z44" i="14"/>
  <c r="Y44" i="14" s="1"/>
  <c r="Z51" i="14"/>
  <c r="Y51" i="14" s="1"/>
  <c r="Z43" i="14"/>
  <c r="Y38" i="14"/>
  <c r="H39" i="14"/>
  <c r="H33" i="14" s="1"/>
  <c r="H32" i="14" s="1"/>
  <c r="Z39" i="14"/>
  <c r="Y39" i="14" s="1"/>
  <c r="Z57" i="14"/>
  <c r="M55" i="14"/>
  <c r="H55" i="14" s="1"/>
  <c r="H53" i="14" s="1"/>
  <c r="H52" i="14" s="1"/>
  <c r="L55" i="14"/>
  <c r="N53" i="14"/>
  <c r="N52" i="14" s="1"/>
  <c r="N28" i="14"/>
  <c r="M28" i="14" s="1"/>
  <c r="H28" i="14" s="1"/>
  <c r="Q13" i="14"/>
  <c r="Z12" i="14"/>
  <c r="Z11" i="14"/>
  <c r="Z10" i="14"/>
  <c r="Z13" i="14"/>
  <c r="R54" i="14"/>
  <c r="R58" i="14"/>
  <c r="R56" i="14" s="1"/>
  <c r="L33" i="14"/>
  <c r="L32" i="14" s="1"/>
  <c r="N47" i="14"/>
  <c r="N48" i="14"/>
  <c r="M48" i="14" s="1"/>
  <c r="N46" i="14"/>
  <c r="G7" i="14"/>
  <c r="N51" i="14"/>
  <c r="M51" i="14" s="1"/>
  <c r="L51" i="14" s="1"/>
  <c r="N50" i="14"/>
  <c r="N44" i="14"/>
  <c r="R44" i="14" s="1"/>
  <c r="N43" i="14"/>
  <c r="M43" i="14" s="1"/>
  <c r="N45" i="14"/>
  <c r="M45" i="14" s="1"/>
  <c r="Q11" i="14"/>
  <c r="Q10" i="14"/>
  <c r="N14" i="14"/>
  <c r="O14" i="14" s="1"/>
  <c r="N12" i="14"/>
  <c r="O12" i="14" s="1"/>
  <c r="N10" i="14"/>
  <c r="O10" i="14" s="1"/>
  <c r="AA10" i="14" s="1"/>
  <c r="N26" i="14"/>
  <c r="M26" i="14" s="1"/>
  <c r="H26" i="14" s="1"/>
  <c r="N27" i="14"/>
  <c r="M27" i="14" s="1"/>
  <c r="H27" i="14" s="1"/>
  <c r="Q14" i="14"/>
  <c r="J8" i="14"/>
  <c r="N11" i="14"/>
  <c r="N24" i="14"/>
  <c r="Q12" i="14"/>
  <c r="N13" i="14"/>
  <c r="T13" i="14" s="1"/>
  <c r="N25" i="14"/>
  <c r="M25" i="14" s="1"/>
  <c r="H25" i="14" s="1"/>
  <c r="M33" i="14"/>
  <c r="M32" i="14" s="1"/>
  <c r="M53" i="14"/>
  <c r="M52" i="14" s="1"/>
  <c r="Q9" i="14" l="1"/>
  <c r="Q8" i="14" s="1"/>
  <c r="Q7" i="14" s="1"/>
  <c r="L53" i="14"/>
  <c r="L52" i="14" s="1"/>
  <c r="M14" i="14"/>
  <c r="H14" i="14" s="1"/>
  <c r="AA14" i="14"/>
  <c r="Y14" i="14" s="1"/>
  <c r="Y24" i="14"/>
  <c r="Y23" i="14" s="1"/>
  <c r="Y22" i="14" s="1"/>
  <c r="Y21" i="14" s="1"/>
  <c r="Z23" i="14"/>
  <c r="Z22" i="14" s="1"/>
  <c r="Z21" i="14" s="1"/>
  <c r="Y10" i="14"/>
  <c r="Y43" i="14"/>
  <c r="M46" i="14"/>
  <c r="Z46" i="14"/>
  <c r="Y46" i="14" s="1"/>
  <c r="Y50" i="14"/>
  <c r="Y49" i="14" s="1"/>
  <c r="Z49" i="14"/>
  <c r="M12" i="14"/>
  <c r="H12" i="14" s="1"/>
  <c r="AA12" i="14"/>
  <c r="Y12" i="14"/>
  <c r="Z9" i="14"/>
  <c r="Z8" i="14" s="1"/>
  <c r="Z33" i="14"/>
  <c r="Z32" i="14" s="1"/>
  <c r="Y33" i="14"/>
  <c r="Y32" i="14" s="1"/>
  <c r="Z56" i="14"/>
  <c r="Z53" i="14" s="1"/>
  <c r="Z52" i="14" s="1"/>
  <c r="Y57" i="14"/>
  <c r="Y56" i="14" s="1"/>
  <c r="Y53" i="14" s="1"/>
  <c r="Y52" i="14" s="1"/>
  <c r="S54" i="14"/>
  <c r="S53" i="14" s="1"/>
  <c r="S52" i="14" s="1"/>
  <c r="R53" i="14"/>
  <c r="R52" i="14" s="1"/>
  <c r="R10" i="14"/>
  <c r="R12" i="14"/>
  <c r="S12" i="14" s="1"/>
  <c r="T10" i="14"/>
  <c r="R14" i="14"/>
  <c r="S14" i="14" s="1"/>
  <c r="T14" i="14"/>
  <c r="L45" i="14"/>
  <c r="M50" i="14"/>
  <c r="N49" i="14"/>
  <c r="R45" i="14"/>
  <c r="S45" i="14" s="1"/>
  <c r="N23" i="14"/>
  <c r="N22" i="14" s="1"/>
  <c r="N21" i="14" s="1"/>
  <c r="R11" i="14"/>
  <c r="S11" i="14" s="1"/>
  <c r="L47" i="14"/>
  <c r="M47" i="14"/>
  <c r="R46" i="14"/>
  <c r="S46" i="14" s="1"/>
  <c r="O13" i="14"/>
  <c r="N9" i="14"/>
  <c r="K9" i="14" s="1"/>
  <c r="K8" i="14" s="1"/>
  <c r="L46" i="14"/>
  <c r="T40" i="14"/>
  <c r="T11" i="14"/>
  <c r="L44" i="14"/>
  <c r="O11" i="14"/>
  <c r="L43" i="14"/>
  <c r="M44" i="14"/>
  <c r="M24" i="14"/>
  <c r="H24" i="14" s="1"/>
  <c r="H23" i="14" s="1"/>
  <c r="H22" i="14" s="1"/>
  <c r="H21" i="14" s="1"/>
  <c r="T12" i="14"/>
  <c r="N42" i="14"/>
  <c r="R13" i="14"/>
  <c r="S13" i="14" s="1"/>
  <c r="R48" i="14"/>
  <c r="S48" i="14" s="1"/>
  <c r="R43" i="14"/>
  <c r="L48" i="14"/>
  <c r="S44" i="14"/>
  <c r="M10" i="14"/>
  <c r="Y42" i="14" l="1"/>
  <c r="Y40" i="14" s="1"/>
  <c r="Z42" i="14"/>
  <c r="Z40" i="14"/>
  <c r="M13" i="14"/>
  <c r="I13" i="14" s="1"/>
  <c r="I9" i="14" s="1"/>
  <c r="I8" i="14" s="1"/>
  <c r="I7" i="14" s="1"/>
  <c r="AA13" i="14"/>
  <c r="Y13" i="14" s="1"/>
  <c r="M11" i="14"/>
  <c r="H11" i="14" s="1"/>
  <c r="AA11" i="14"/>
  <c r="Y11" i="14" s="1"/>
  <c r="S43" i="14"/>
  <c r="S42" i="14" s="1"/>
  <c r="S40" i="14" s="1"/>
  <c r="R42" i="14"/>
  <c r="R40" i="14" s="1"/>
  <c r="S10" i="14"/>
  <c r="S9" i="14" s="1"/>
  <c r="S8" i="14" s="1"/>
  <c r="R9" i="14"/>
  <c r="R8" i="14" s="1"/>
  <c r="L10" i="14"/>
  <c r="L9" i="14" s="1"/>
  <c r="L8" i="14" s="1"/>
  <c r="T9" i="14"/>
  <c r="T8" i="14" s="1"/>
  <c r="N8" i="14"/>
  <c r="N40" i="14"/>
  <c r="K40" i="14" s="1"/>
  <c r="K7" i="14" s="1"/>
  <c r="M49" i="14"/>
  <c r="L50" i="14"/>
  <c r="L49" i="14" s="1"/>
  <c r="M42" i="14"/>
  <c r="O9" i="14"/>
  <c r="O8" i="14" s="1"/>
  <c r="O7" i="14" s="1"/>
  <c r="M23" i="14"/>
  <c r="M22" i="14" s="1"/>
  <c r="M21" i="14" s="1"/>
  <c r="L42" i="14"/>
  <c r="H10" i="14"/>
  <c r="M9" i="14" l="1"/>
  <c r="M8" i="14" s="1"/>
  <c r="AA9" i="14"/>
  <c r="AA8" i="14" s="1"/>
  <c r="H9" i="14"/>
  <c r="H8" i="14" s="1"/>
  <c r="N7" i="14"/>
  <c r="Y9" i="14"/>
  <c r="Y8" i="14" s="1"/>
  <c r="L40" i="14"/>
  <c r="L7" i="14" s="1"/>
  <c r="M40" i="14"/>
  <c r="H40" i="14" s="1"/>
  <c r="H7" i="14" s="1"/>
  <c r="M7" i="14" l="1"/>
  <c r="T57" i="14"/>
  <c r="T53" i="14" s="1"/>
  <c r="T52" i="14" s="1"/>
  <c r="T7" i="14" s="1"/>
  <c r="AA7" i="14"/>
  <c r="Z7" i="14" l="1"/>
  <c r="Y7" i="14"/>
  <c r="R25" i="14"/>
  <c r="R26" i="14"/>
  <c r="R27" i="14"/>
  <c r="R28" i="14"/>
  <c r="S26" i="14"/>
  <c r="S25" i="14"/>
  <c r="S28" i="14"/>
  <c r="S27" i="14"/>
  <c r="S24" i="14"/>
  <c r="R24" i="14"/>
  <c r="R22" i="14" l="1"/>
  <c r="R21" i="14" s="1"/>
  <c r="R7" i="14" s="1"/>
  <c r="S22" i="14"/>
  <c r="S21" i="14" s="1"/>
  <c r="S7" i="14" s="1"/>
</calcChain>
</file>

<file path=xl/comments1.xml><?xml version="1.0" encoding="utf-8"?>
<comments xmlns="http://schemas.openxmlformats.org/spreadsheetml/2006/main">
  <authors>
    <author>Admin</author>
  </authors>
  <commentList>
    <comment ref="E9" authorId="0" shapeId="0">
      <text>
        <r>
          <rPr>
            <b/>
            <sz val="9"/>
            <color indexed="81"/>
            <rFont val="Tahoma"/>
            <family val="2"/>
          </rPr>
          <t>Admin:</t>
        </r>
        <r>
          <rPr>
            <sz val="9"/>
            <color indexed="81"/>
            <rFont val="Tahoma"/>
            <family val="2"/>
          </rPr>
          <t xml:space="preserve">
Số liệu anh Ninh chuyển sang cập nhật ngày 16/6/2023</t>
        </r>
      </text>
    </comment>
    <comment ref="B10" authorId="0" shape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0" authorId="0" shape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0" authorId="0" shape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1" authorId="0" shape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2" authorId="0" shape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2" authorId="0" shape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3" authorId="0" shape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3" authorId="0" shapeId="0">
      <text>
        <r>
          <rPr>
            <b/>
            <sz val="9"/>
            <color indexed="81"/>
            <rFont val="Tahoma"/>
            <family val="2"/>
          </rPr>
          <t>Admin:</t>
        </r>
        <r>
          <rPr>
            <sz val="9"/>
            <color indexed="81"/>
            <rFont val="Tahoma"/>
            <family val="2"/>
          </rPr>
          <t xml:space="preserve">
Đang tạm lấy số liệu cũ
</t>
        </r>
      </text>
    </comment>
    <comment ref="B14" authorId="0" shape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4" authorId="0" shape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18" authorId="0" shapeId="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19" authorId="0" shapeId="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41" authorId="0" shapeId="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42" authorId="0" shape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43" authorId="0" shapeId="0">
      <text>
        <r>
          <rPr>
            <b/>
            <sz val="9"/>
            <color indexed="81"/>
            <rFont val="Tahoma"/>
            <family val="2"/>
          </rPr>
          <t>Admin:</t>
        </r>
        <r>
          <rPr>
            <sz val="9"/>
            <color indexed="81"/>
            <rFont val="Tahoma"/>
            <family val="2"/>
          </rPr>
          <t xml:space="preserve">
Toàn huyện có 22 thôn bản DDawBKK theo QĐ 612 của UBDT</t>
        </r>
      </text>
    </comment>
    <comment ref="B44" authorId="0" shapeId="0">
      <text>
        <r>
          <rPr>
            <b/>
            <sz val="9"/>
            <color indexed="81"/>
            <rFont val="Tahoma"/>
            <family val="2"/>
          </rPr>
          <t>Admin:</t>
        </r>
        <r>
          <rPr>
            <sz val="9"/>
            <color indexed="81"/>
            <rFont val="Tahoma"/>
            <family val="2"/>
          </rPr>
          <t xml:space="preserve">
Quảng Ninh có 19 thôn thuộc diện ĐBKK </t>
        </r>
      </text>
    </comment>
    <comment ref="B45" authorId="0" shape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46" authorId="0" shape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47" authorId="0" shapeId="0">
      <text>
        <r>
          <rPr>
            <b/>
            <sz val="9"/>
            <color indexed="81"/>
            <rFont val="Tahoma"/>
            <family val="2"/>
          </rPr>
          <t>Admin:</t>
        </r>
        <r>
          <rPr>
            <sz val="9"/>
            <color indexed="81"/>
            <rFont val="Tahoma"/>
            <family val="2"/>
          </rPr>
          <t xml:space="preserve">
Tuyên Hóa có 4 thôn bản ĐBKK </t>
        </r>
      </text>
    </comment>
    <comment ref="B56" authorId="0" shapeId="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List>
</comments>
</file>

<file path=xl/comments2.xml><?xml version="1.0" encoding="utf-8"?>
<comments xmlns="http://schemas.openxmlformats.org/spreadsheetml/2006/main">
  <authors>
    <author>Admin</author>
  </authors>
  <commentList>
    <comment ref="E9" authorId="0" shapeId="0">
      <text>
        <r>
          <rPr>
            <b/>
            <sz val="9"/>
            <color indexed="81"/>
            <rFont val="Tahoma"/>
            <family val="2"/>
          </rPr>
          <t>Admin:</t>
        </r>
        <r>
          <rPr>
            <sz val="9"/>
            <color indexed="81"/>
            <rFont val="Tahoma"/>
            <family val="2"/>
          </rPr>
          <t xml:space="preserve">
Số liệu anh Ninh chuyển sang cập nhật ngày 16/6/2023</t>
        </r>
      </text>
    </comment>
    <comment ref="B10" authorId="0" shapeId="0">
      <text>
        <r>
          <rPr>
            <b/>
            <sz val="9"/>
            <color indexed="81"/>
            <rFont val="Tahoma"/>
            <family val="2"/>
          </rPr>
          <t>Admin:</t>
        </r>
        <r>
          <rPr>
            <sz val="9"/>
            <color indexed="81"/>
            <rFont val="Tahoma"/>
            <family val="2"/>
          </rPr>
          <t xml:space="preserve">
1.Đất ở: 206 hộ (Kim Thủy: 70 hộ; Ngân Thủy 12 hộ: Lâm Thủy 124 hộ);
2. Nhà ở: 801 hộ (Kim Thủy 499 hộ; Ngân Thủy 156 hộ; Lâm Thủy 146 hộ);
(Theo số liệu báo cáo của UBND huyện Lệ Thủy tại Công văn số 1496/UBND-DT ngày 23/6/2023 của huyện Lệ Thủy)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t>
        </r>
      </text>
    </comment>
    <comment ref="J10" authorId="0" shapeId="0">
      <text>
        <r>
          <rPr>
            <b/>
            <sz val="9"/>
            <color indexed="81"/>
            <rFont val="Tahoma"/>
            <family val="2"/>
          </rPr>
          <t>Admin:</t>
        </r>
        <r>
          <rPr>
            <sz val="9"/>
            <color indexed="81"/>
            <rFont val="Tahoma"/>
            <family val="2"/>
          </rPr>
          <t xml:space="preserve">
Đề xuất cỉa UBND huyện tai Công văn số 1496/UBND-DT ngày 23/6/2023 của UBND huyện</t>
        </r>
      </text>
    </comment>
    <comment ref="L10" authorId="0" shapeId="0">
      <text>
        <r>
          <rPr>
            <b/>
            <sz val="9"/>
            <color indexed="81"/>
            <rFont val="Tahoma"/>
            <family val="2"/>
          </rPr>
          <t>Admin:</t>
        </r>
        <r>
          <rPr>
            <sz val="9"/>
            <color indexed="81"/>
            <rFont val="Tahoma"/>
            <family val="2"/>
          </rPr>
          <t xml:space="preserve">
Đất ở:  206*40 =8.240
Nhà ở: 801*40=32040
Đất sản xuất: 702*22,5 = 15.795
Tổng nhu cầu vốn: 56.075 triệu đồng
Vốn trung ương giao: 28.827 triệu đồng (chiếm 51,40%)
Còn thiếu: 27.248 triệu đồng (đề nghii ngân sách tỉnh đối ứng)
</t>
        </r>
      </text>
    </comment>
    <comment ref="B11" authorId="0" shapeId="0">
      <text>
        <r>
          <rPr>
            <b/>
            <sz val="9"/>
            <color indexed="81"/>
            <rFont val="Tahoma"/>
            <family val="2"/>
          </rPr>
          <t>Admin:</t>
        </r>
        <r>
          <rPr>
            <sz val="9"/>
            <color indexed="81"/>
            <rFont val="Tahoma"/>
            <family val="2"/>
          </rPr>
          <t xml:space="preserve">
1.Đất ở: 211 hộ (Trường Sơn:     hộ; Trường Xuân:    hộ: 
2. Nhà ở: 378 hộ (Trường Sơn:     hộ; Trường Xuân:    hộ;
(Theo số liệu</t>
        </r>
        <r>
          <rPr>
            <b/>
            <sz val="9"/>
            <color indexed="81"/>
            <rFont val="Tahoma"/>
            <family val="2"/>
          </rPr>
          <t xml:space="preserve"> báo cáo của UBND huyện Quảng Ninh tại Công văn số 1496/UBND-DT ngày 23/6/2023 của huyện Lệ Thủy)
3. Đất sản xuất: 702 hộ (Kim Thủy 379; Ngân Thủy 113; L</t>
        </r>
        <r>
          <rPr>
            <sz val="9"/>
            <color indexed="81"/>
            <rFont val="Tahoma"/>
            <family val="2"/>
          </rPr>
          <t>âm Thủy 210) (Quyết định số 1887/QĐ-UBND ngày 23/6/2023 của UBND huyện Lệ Thủy (phê duyệt nội dung hỗ trợ đất sản xuất)
4. Nước sinh hoạt: 869 hộ (Kpim Thủy 490 hộ; Ngân Thủy 80 hộ; Lâm Thủy 146 hộ)</t>
        </r>
      </text>
    </comment>
    <comment ref="J11" authorId="0" shapeId="0">
      <text>
        <r>
          <rPr>
            <b/>
            <sz val="9"/>
            <color indexed="81"/>
            <rFont val="Tahoma"/>
            <family val="2"/>
          </rPr>
          <t>Admin:</t>
        </r>
        <r>
          <rPr>
            <sz val="9"/>
            <color indexed="81"/>
            <rFont val="Tahoma"/>
            <family val="2"/>
          </rPr>
          <t xml:space="preserve">
Theo phê duyệt của UBND huyện Quảng Ninh tại Quyết định số 644/QĐ-UBND ngày 13/6/2023 </t>
        </r>
      </text>
    </comment>
    <comment ref="B12" authorId="0" shapeId="0">
      <text>
        <r>
          <rPr>
            <b/>
            <sz val="9"/>
            <color indexed="81"/>
            <rFont val="Tahoma"/>
            <family val="2"/>
          </rPr>
          <t>Admin:</t>
        </r>
        <r>
          <rPr>
            <sz val="9"/>
            <color indexed="81"/>
            <rFont val="Tahoma"/>
            <family val="2"/>
          </rPr>
          <t xml:space="preserve">
1.Đất ở: 149 hộ (Tân Trạch: 14 hộ; Thượng Trạch 105  hộ; Khe Ngát 28 hộ; Rào Con 02 hộ);
2. Nhà ở: 276  hộ(Tân Trạch: 14 hộ; Thượng Thạch 170 hộ; Khe Ngát 36 hộ; Rào Con 56 hộ); 
3. Đất sản xuất: 216 hộ (Tân Trạch: 68 hộ; Thượng Thạch 49 hộ; Khe Ngát 37 hộ; Rào Con 62 hộ)
4. Nước sinh hoạt: 321 hộ, trong đó 
+ Nước Phân tán: 198 hộ:  (Thượng Trạch 159 hộ; Khe Ngát 39 hộ)
+Nước SH tập trung: 123 hộ (Rào Con 62 hộ; Bản 39 (Tân Trạch) 61 hộ)
(Theo Kết quả phê duyệt của UBND huyện tại Quyết định số 1729/QĐ-UBND ngày 17/5/2023 của UBND huyện Bố Trạch)</t>
        </r>
      </text>
    </comment>
    <comment ref="J12" authorId="0" shapeId="0">
      <text>
        <r>
          <rPr>
            <b/>
            <sz val="9"/>
            <color indexed="81"/>
            <rFont val="Tahoma"/>
            <family val="2"/>
          </rPr>
          <t>Admin:</t>
        </r>
        <r>
          <rPr>
            <sz val="9"/>
            <color indexed="81"/>
            <rFont val="Tahoma"/>
            <family val="2"/>
          </rPr>
          <t xml:space="preserve">
Theo kết quả phê duyệt tại Quyết định số 1792/QĐ-UBND ngày 17/5/2023 của UBND huyện Bố Trạch</t>
        </r>
      </text>
    </comment>
    <comment ref="B13" authorId="0" shapeId="0">
      <text>
        <r>
          <rPr>
            <b/>
            <sz val="9"/>
            <color indexed="81"/>
            <rFont val="Tahoma"/>
            <family val="2"/>
          </rPr>
          <t>Admin:</t>
        </r>
        <r>
          <rPr>
            <sz val="9"/>
            <color indexed="81"/>
            <rFont val="Tahoma"/>
            <family val="2"/>
          </rPr>
          <t xml:space="preserve">
1.Đất ở: 206 hộ (Dân Hóa:  hộ; Trọng Hóa     hộ; Hóa Sơn  hộ; Thượng Hóa...hộ; Hóa Tiến....hộ);
2. Nhà ở:  hộ (Dân Hóa:  hộ; Trọng Hóa     hộ; Hóa Sơn  hộ; Thượng Hóa...hộ; Hóa Tiến....hộ);
(Theo số liệu báo cáo của UBND huyện Minh Hóa tại Công văn số 1496/UBND-DT ngày 23/6/2023 của huyện Minh Hóa)
3. Đất sản xuất: 702 hộ (Kim Thủy 379; Ngân Thủy 113; Lâm Thủy 210) (Quyết định số 1887/QĐ-UBND ngày 23/6/2023 của UBND huyện Lệ Thủy (phê duyệt nội dung hỗ trợ đất sản xuất)
4. Nước sinh hoạt: 869 hộ (Kpim Thủy 490 hộ; Ngân Thủy 80 hộ; Lâm Thủy 146 hộ)
</t>
        </r>
        <r>
          <rPr>
            <b/>
            <sz val="9"/>
            <color indexed="81"/>
            <rFont val="Tahoma"/>
            <family val="2"/>
          </rPr>
          <t>Đất ở: 149 hộ; Nhà ở: 276 hộ; Đất SX: 216 hộ</t>
        </r>
      </text>
    </comment>
    <comment ref="D13" authorId="0" shapeId="0">
      <text>
        <r>
          <rPr>
            <b/>
            <sz val="9"/>
            <color indexed="81"/>
            <rFont val="Tahoma"/>
            <family val="2"/>
          </rPr>
          <t>Admin:</t>
        </r>
        <r>
          <rPr>
            <sz val="9"/>
            <color indexed="81"/>
            <rFont val="Tahoma"/>
            <family val="2"/>
          </rPr>
          <t xml:space="preserve">
Đang tạm lấy số liệu cũ
</t>
        </r>
      </text>
    </comment>
    <comment ref="B14" authorId="0" shapeId="0">
      <text>
        <r>
          <rPr>
            <b/>
            <sz val="9"/>
            <color indexed="81"/>
            <rFont val="Tahoma"/>
            <family val="2"/>
          </rPr>
          <t>Admin:</t>
        </r>
        <r>
          <rPr>
            <sz val="9"/>
            <color indexed="81"/>
            <rFont val="Tahoma"/>
            <family val="2"/>
          </rPr>
          <t xml:space="preserve">
1. Hỗ trợ đất ở: 69 đối tượng (Lâm Hóa 69; Thanh Hóa 0)
2. Hỗ trợ Nhà ở: 109 đối tượng (Lâm Hoas64; Thanh Hóa 45)
3. Hỗ trợ đất sản xuất: Không đề xuất
4. Hỗ trợ Chuyển đổi nghề: 212 hộ (Lâm Hóa 158 hộ; Thanh Hóa 54 hộ);
5. Nước sinh hoạt: 54 đối tượng (Tập trung : 87 (lâm Hóa 32; thanh Hóa 55); Phân tán 65 hộ (Lâm Hóa 65; Thanh Hóa 0).
</t>
        </r>
      </text>
    </comment>
    <comment ref="J14" authorId="0" shapeId="0">
      <text>
        <r>
          <rPr>
            <b/>
            <sz val="9"/>
            <color indexed="81"/>
            <rFont val="Tahoma"/>
            <family val="2"/>
          </rPr>
          <t>Admin:</t>
        </r>
        <r>
          <rPr>
            <sz val="9"/>
            <color indexed="81"/>
            <rFont val="Tahoma"/>
            <family val="2"/>
          </rPr>
          <t xml:space="preserve">
Theo kết quả phê duyệt tại Quyết định số 955/QĐ-UBND ngày 31/5/2023 của UBND huyện Tuyên Hóa</t>
        </r>
      </text>
    </comment>
    <comment ref="B16" authorId="0" shapeId="0">
      <text>
        <r>
          <rPr>
            <b/>
            <sz val="9"/>
            <color indexed="81"/>
            <rFont val="Tahoma"/>
            <family val="2"/>
          </rPr>
          <t>Admin:</t>
        </r>
        <r>
          <rPr>
            <sz val="9"/>
            <color indexed="81"/>
            <rFont val="Tahoma"/>
            <family val="2"/>
          </rPr>
          <t xml:space="preserve">
1. Đề án bố trí Dân cư xã Kim Thủy 60 hộ; Tổng vốn 13.500 triệu đồng. Xã biên giới
2. Đề án bố trí dân cư xã Ngân Thủy 71 hộ; Tổng vốn 6.000 triệu đồng; 
3. Đề án bố trí dân cư xã Lâm Thủy 66 hộ; Tổng vốn 12.900 triệu đồng. Xã Biên giới</t>
        </r>
      </text>
    </comment>
    <comment ref="B18" authorId="0" shapeId="0">
      <text>
        <r>
          <rPr>
            <b/>
            <sz val="9"/>
            <color indexed="81"/>
            <rFont val="Tahoma"/>
            <family val="2"/>
          </rPr>
          <t>Admin:</t>
        </r>
        <r>
          <rPr>
            <sz val="9"/>
            <color indexed="81"/>
            <rFont val="Tahoma"/>
            <family val="2"/>
          </rPr>
          <t xml:space="preserve">
Tổng số hộ bố trí sắp xếp, ổn định dân cư 170 hộ (1.050 nhân khẩu), trong đó: Bố trí định canh định cư tập trung 17 hộ; bố trí xen ghép 88 hộ; bố trí ổn định tại chổ 65 hộ.
Tổng vốn đề nghị là: 45.000 triệu đồng.
</t>
        </r>
        <r>
          <rPr>
            <b/>
            <sz val="9"/>
            <color indexed="81"/>
            <rFont val="Tahoma"/>
            <family val="2"/>
          </rPr>
          <t>(Theo Quyết định số 2117/QĐ-UBND ngày02/6/2023 của UBND huyện Bố Trạch về việc phê duyệt Đề án Quy hoạch, sắp xếp, bố trí, ổn định dân cư xã Thượng Trạch, huyện Bố Trạch giai đoạn 2021-2025)</t>
        </r>
      </text>
    </comment>
    <comment ref="B19" authorId="0" shapeId="0">
      <text>
        <r>
          <rPr>
            <b/>
            <sz val="9"/>
            <color indexed="81"/>
            <rFont val="Tahoma"/>
            <family val="2"/>
          </rPr>
          <t>Admin:</t>
        </r>
        <r>
          <rPr>
            <sz val="9"/>
            <color indexed="81"/>
            <rFont val="Tahoma"/>
            <family val="2"/>
          </rPr>
          <t xml:space="preserve">
Huyện Minh Hóa 4 xã biên giới. 
Hiện nay chưa phê duyệt Dự án để thực hiện. Số liệu phan bổ lấy theo số liệu tại Nghị quyết 100/NQ-HĐND  ngày 10/12/2022 của HĐND tỉnh</t>
        </r>
      </text>
    </comment>
    <comment ref="B41" authorId="0" shapeId="0">
      <text>
        <r>
          <rPr>
            <b/>
            <sz val="9"/>
            <color indexed="81"/>
            <rFont val="Tahoma"/>
            <family val="2"/>
          </rPr>
          <t>Admin:</t>
        </r>
        <r>
          <rPr>
            <sz val="9"/>
            <color indexed="81"/>
            <rFont val="Tahoma"/>
            <family val="2"/>
          </rPr>
          <t xml:space="preserve">
Vốn phân bổ năm 2022 vượt định mức 216 triệu đồng. Năm 2023 không phân bổ vốn cho 2 nội dung này. Số điểm phân bổ năm 2023 là 294-14 = 208 điểm</t>
        </r>
      </text>
    </comment>
    <comment ref="B42" authorId="0" shapeId="0">
      <text>
        <r>
          <rPr>
            <b/>
            <sz val="9"/>
            <color indexed="81"/>
            <rFont val="Tahoma"/>
            <family val="2"/>
          </rPr>
          <t>Admin:</t>
        </r>
        <r>
          <rPr>
            <sz val="9"/>
            <color indexed="81"/>
            <rFont val="Tahoma"/>
            <family val="2"/>
          </rPr>
          <t xml:space="preserve">
Toàn tỉnh có 102 thôn bản đặc biệt khó khăn. Trong đó có 22 thôn bản thuộc đồng bào Chứt (Được thụ hưởng dự án 9)
Còn lại 80 thôn bản thụ hưởng chính sách "hỗ trợ thiết chế văn hóa của Dự án 6"</t>
        </r>
      </text>
    </comment>
    <comment ref="B43" authorId="0" shapeId="0">
      <text>
        <r>
          <rPr>
            <b/>
            <sz val="9"/>
            <color indexed="81"/>
            <rFont val="Tahoma"/>
            <family val="2"/>
          </rPr>
          <t>Admin:</t>
        </r>
        <r>
          <rPr>
            <sz val="9"/>
            <color indexed="81"/>
            <rFont val="Tahoma"/>
            <family val="2"/>
          </rPr>
          <t xml:space="preserve">
Toàn huyện có 22 thôn bản DDawBKK theo QĐ 612 của UBDT</t>
        </r>
      </text>
    </comment>
    <comment ref="B44" authorId="0" shapeId="0">
      <text>
        <r>
          <rPr>
            <b/>
            <sz val="9"/>
            <color indexed="81"/>
            <rFont val="Tahoma"/>
            <family val="2"/>
          </rPr>
          <t>Admin:</t>
        </r>
        <r>
          <rPr>
            <sz val="9"/>
            <color indexed="81"/>
            <rFont val="Tahoma"/>
            <family val="2"/>
          </rPr>
          <t xml:space="preserve">
Quảng Ninh có 19 thôn thuộc diện ĐBKK </t>
        </r>
      </text>
    </comment>
    <comment ref="B45" authorId="0" shapeId="0">
      <text>
        <r>
          <rPr>
            <b/>
            <sz val="9"/>
            <color indexed="81"/>
            <rFont val="Tahoma"/>
            <family val="2"/>
          </rPr>
          <t>Admin:</t>
        </r>
        <r>
          <rPr>
            <sz val="9"/>
            <color indexed="81"/>
            <rFont val="Tahoma"/>
            <family val="2"/>
          </rPr>
          <t xml:space="preserve">
Huyện Bố trạch có 22 Thôn ĐBKK trong đó có 1 thôn thuộc Dân tộc Chứt</t>
        </r>
      </text>
    </comment>
    <comment ref="B46" authorId="0" shapeId="0">
      <text>
        <r>
          <rPr>
            <b/>
            <sz val="9"/>
            <color indexed="81"/>
            <rFont val="Tahoma"/>
            <family val="2"/>
          </rPr>
          <t>Admin:</t>
        </r>
        <r>
          <rPr>
            <sz val="9"/>
            <color indexed="81"/>
            <rFont val="Tahoma"/>
            <family val="2"/>
          </rPr>
          <t xml:space="preserve">
Minh Hóa có 36 thôn bản ĐBKK, trong đó có 15 thôn thuộc Dân tộc Chứt còn lại 21 thôn ĐBKK</t>
        </r>
      </text>
    </comment>
    <comment ref="B47" authorId="0" shapeId="0">
      <text>
        <r>
          <rPr>
            <b/>
            <sz val="9"/>
            <color indexed="81"/>
            <rFont val="Tahoma"/>
            <family val="2"/>
          </rPr>
          <t>Admin:</t>
        </r>
        <r>
          <rPr>
            <sz val="9"/>
            <color indexed="81"/>
            <rFont val="Tahoma"/>
            <family val="2"/>
          </rPr>
          <t xml:space="preserve">
Tuyên Hóa có 4 thôn bản ĐBKK </t>
        </r>
      </text>
    </comment>
    <comment ref="B56" authorId="0" shapeId="0">
      <text>
        <r>
          <rPr>
            <b/>
            <sz val="9"/>
            <color indexed="81"/>
            <rFont val="Tahoma"/>
            <family val="2"/>
          </rPr>
          <t>Admin:</t>
        </r>
        <r>
          <rPr>
            <sz val="9"/>
            <color indexed="81"/>
            <rFont val="Tahoma"/>
            <family val="2"/>
          </rPr>
          <t xml:space="preserve">
 * Huyện Minh Hóa 17 thôn bản thuộc 5 xã (Dân Hóa 5 bản; Trọng Hóa 2 bản; Hóa Sơn 5 bản (3 bản đặc biệt khó khăn, 2 bản có đông người chứt sinh sống trên 15% dân số của bản- Cần có Quyết đinh phê duyệt của UBND tỉnh - theo dự thảo của TT 02 sửa đổi); thượng Hóa 4 bản; Hóa Tiến 1 thôn (Yên Vân - thôn ĐBKK)
Tổng vốn của huyện Minh Hóa cả giai đoạn là 168.598 triệu đồng.
+ Đầu tư 3 công trình cấp bách: 57.000 triệu đồng gồm: (1)Dự án Dân Hóa: 15.000 triệu đồng; (2) Dự án điện Trọng Hóa 30.000 triệu đồng; (3) Dự kiến phân bổ dự án Kè chống sạt lỡ thôn Thuận Hóa 12.000 triệu đồng. 
+ Phân bổ cho 17 thôn bản thuộc 5 xã có đồng bào chứt sinh sống: 111.598 triệu đồng. 
với định mức 80,6 triệu đồng/1 điểm (toàn huyện có 1.394 điểm, trong đó: Dân Hóa 410 điểm; Trọng Hóa 164 điểm; Hóa Sơn 410 điểm; Thượng Hóa 328 điểm; Thôn Yên vân xã Hóa Tiến 82 điểm.
</t>
        </r>
      </text>
    </comment>
  </commentList>
</comments>
</file>

<file path=xl/sharedStrings.xml><?xml version="1.0" encoding="utf-8"?>
<sst xmlns="http://schemas.openxmlformats.org/spreadsheetml/2006/main" count="382" uniqueCount="132">
  <si>
    <t>Đơn vị tính: Triệu đồng</t>
  </si>
  <si>
    <t>TT</t>
  </si>
  <si>
    <t>Nội dung/danh mục</t>
  </si>
  <si>
    <t>Số lượng</t>
  </si>
  <si>
    <t>Quy mô</t>
  </si>
  <si>
    <t>Thời gian thực hiện</t>
  </si>
  <si>
    <t>Tổng điểm</t>
  </si>
  <si>
    <t>Số vốn đã phân bổ năm 2022</t>
  </si>
  <si>
    <t>I</t>
  </si>
  <si>
    <t>Dự án 1: Giải quyết tình trạng thiếu đất ở, nhà ở, đất sản xuất, nước sinh hoạt</t>
  </si>
  <si>
    <t>a</t>
  </si>
  <si>
    <t>Hỗ trợ đất ở, nhà ở, đất sản xuất</t>
  </si>
  <si>
    <t>Huyện Lệ Thủy</t>
  </si>
  <si>
    <t>UBND huyện Lệ Thủy</t>
  </si>
  <si>
    <t>3 xã</t>
  </si>
  <si>
    <t>Huyện Quảng Ninh</t>
  </si>
  <si>
    <t>UBND huyện Quảng Ninh</t>
  </si>
  <si>
    <t>Huyện Bố Trạch</t>
  </si>
  <si>
    <t>UBND huyện Bố Trạch</t>
  </si>
  <si>
    <t>Huyện Minh Hóa</t>
  </si>
  <si>
    <t>UBND huyện Minh Hóa</t>
  </si>
  <si>
    <t>Huyện Tuyên Hóa</t>
  </si>
  <si>
    <t>UBND huyện Tuyên Hóa</t>
  </si>
  <si>
    <t>b.</t>
  </si>
  <si>
    <t>II</t>
  </si>
  <si>
    <t>Dự án 2: Quy hoạch, sắp xếp, bố trí, ổn định dân cư ở những nơi cần thiết</t>
  </si>
  <si>
    <t>197 hộ</t>
  </si>
  <si>
    <t>Giao UBND huyện tổng hợp danh mục trình HĐND huyện thông qua</t>
  </si>
  <si>
    <t>III</t>
  </si>
  <si>
    <t>Dự án 4: Đầu tư cơ sở hạ tầng thiết yếu, phục vụ sản xuất, đời sống trong vùng đồng bào dân tộc thiểu số và miền núi và các đơn vị sự nghiệp công của lĩnh vực dân tộc</t>
  </si>
  <si>
    <t>Tiểu dự án 1. Đầu tư cơ sở hạ tầng thiết yếu, phục vụ sản xuất, đời sống trong vùng đồng bào dân tộc thiểu số và miền núi</t>
  </si>
  <si>
    <t>Phân bổ cho các huyện</t>
  </si>
  <si>
    <t>11 xã, 6 thôn bản</t>
  </si>
  <si>
    <t>2 xã, 4 bản</t>
  </si>
  <si>
    <t>2 xã, 2 bản</t>
  </si>
  <si>
    <t>4 xã</t>
  </si>
  <si>
    <t>1 xã</t>
  </si>
  <si>
    <t>Đầu tư các công trình có tác động lớn đến phát triển KT-XH địa phương</t>
  </si>
  <si>
    <t>Chợ biên giới xã Thượng Trạch</t>
  </si>
  <si>
    <t>1 chợ</t>
  </si>
  <si>
    <t>2022-2024</t>
  </si>
  <si>
    <t>Xây dựng tuyến đường giao thông liên xã từ xã Kim Thủy đi xã Ngân Thủy</t>
  </si>
  <si>
    <t>2023-2025</t>
  </si>
  <si>
    <t xml:space="preserve"> </t>
  </si>
  <si>
    <t>IV</t>
  </si>
  <si>
    <t>Dự án 5: Phát triển giáo dục đào tạo nâng cao chất lượng nguồn nhân lực</t>
  </si>
  <si>
    <t>Tiểu dự án 1: Đổi mới hoạt động, củng cố phát triển các trường phổ thông dân tộc nội trú, trường phổ thông dân tộc bán trú và xóa mù chữ cho người dân vùng đồng bào dân tộc thiểu số</t>
  </si>
  <si>
    <t xml:space="preserve">Huyện Lệ Thủy </t>
  </si>
  <si>
    <t xml:space="preserve">UBND huyện Lệ Thủy </t>
  </si>
  <si>
    <t>Đầu tư nâng cấp, cải tạo trường PTDTNT tỉnh</t>
  </si>
  <si>
    <t>Sở Giáo dục và Đào tạo</t>
  </si>
  <si>
    <t>V</t>
  </si>
  <si>
    <t>Dự án 6: Bảo tồn, phát huy giá trị văn hóa truyền thống tốt đẹp của các dân tộc thiểu số gắn với phát triển du lịch</t>
  </si>
  <si>
    <t>Hỗ trợ đầu tư xây dựng điểm đến du lịch tiêu biểu tại Bản Còi Đá (xã Ngân Thủy) và Khu du lịch Động Châu -  Khe Nước Trong (xã Kim Thủy)</t>
  </si>
  <si>
    <t>2 điểm du lịch</t>
  </si>
  <si>
    <t xml:space="preserve">Hỗ trợ đầu tư xây dựng thiết chế văn hóa thể thao tại các thôn vùng đồng bào dân tộc thiểu số và miền núi  </t>
  </si>
  <si>
    <t xml:space="preserve">Huyện Bố Trạch </t>
  </si>
  <si>
    <t xml:space="preserve">Hỗ trợ đầu tư bảo tồn mỗi một làng, bản truyền thống tiêu biểu của các dân tộc thiểu số </t>
  </si>
  <si>
    <t>2 làng/bản</t>
  </si>
  <si>
    <t>Dự án 9: Đầu tư phát triển nhóm dân tộc rất ít người và nhóm dân tộc còn nhiều khó khăn</t>
  </si>
  <si>
    <t>Tiểu dự án 1. Đầu tư phát triển kinh tế - xã hội các dân tộc còn gặp nhiều khó khăn, dân tộc có khó khăn đặc thù</t>
  </si>
  <si>
    <t>22 thôn/bản</t>
  </si>
  <si>
    <t>1 bản</t>
  </si>
  <si>
    <t>4 bản</t>
  </si>
  <si>
    <t xml:space="preserve">Huyện Minh Hóa </t>
  </si>
  <si>
    <t>17 bản</t>
  </si>
  <si>
    <t>Hạ tầng giao thông kết hợp điện lưới vào khu dân cư các bản (Lòm - K.Chăm, Dộ - Tà Vờng) dân tộc Chứt xã Trọng Hóa, huyện Minh Hóa</t>
  </si>
  <si>
    <t>Ban Dân tộc</t>
  </si>
  <si>
    <t>Hạ tầng giao thông kết hợp kè chống sạt lở khu dân cư các bản (Ba Loóc, Bãi Dinh, K-Ai) dân tộc Chứt xã Dân Hóa, huyện Minh Hóa</t>
  </si>
  <si>
    <t>VII</t>
  </si>
  <si>
    <t>170 hộ</t>
  </si>
  <si>
    <t>223 hộ</t>
  </si>
  <si>
    <t>78 thôn</t>
  </si>
  <si>
    <t>Nâng cấp, cải tạo, sửa chữa Trường PTDTNT Huyện Quảng Ninh</t>
  </si>
  <si>
    <t>Nâng cấp, cải tạo, sửa chữa Trường PTDTNT Huyện Bố Trạch</t>
  </si>
  <si>
    <t>Nâng cấp, cải tạo, sửa chữa Trường PTDTBT TH và THCS Dân Hóa, huyện Minh Hóa</t>
  </si>
  <si>
    <t>Nâng cấp, cải tạo, sửa chữa Trường PTDTBT TH và THCS Lâm Hóa, huyện Tuyên Hóa</t>
  </si>
  <si>
    <t>Nâng cấp, cải tạo, sửa chữa Trường PTDTBT TH và THCS Lâm Thủy và Trường PTDTNT huyện Lệ Thủy</t>
  </si>
  <si>
    <t>Tổng nhu cầu/mức đầu tư</t>
  </si>
  <si>
    <t>Đất ở 206; Nhà ở 801; Đất SX 702</t>
  </si>
  <si>
    <t>Đất ở 204; Nhà ở 376; Đất SX 57</t>
  </si>
  <si>
    <t>Đất ở 149; Nhà ở 276; Đất SX 216</t>
  </si>
  <si>
    <t>Đất ở 271; Nhà ở 283; Đất SX 0</t>
  </si>
  <si>
    <t>Đất ở 69; Nhà ở 109; Đất SX 0</t>
  </si>
  <si>
    <t xml:space="preserve">Đất ở 899; Nhà ở 1845; Đất SX 975 </t>
  </si>
  <si>
    <t xml:space="preserve">2 di tích </t>
  </si>
  <si>
    <t>10,49 km/14 km</t>
  </si>
  <si>
    <t xml:space="preserve">UBND huyện Bố Trạch </t>
  </si>
  <si>
    <t>NSTW</t>
  </si>
  <si>
    <t>NST</t>
  </si>
  <si>
    <t>Tổng cộng</t>
  </si>
  <si>
    <t>Đơn vị thực hiện</t>
  </si>
  <si>
    <r>
      <t xml:space="preserve">Định mức Qi </t>
    </r>
    <r>
      <rPr>
        <i/>
        <sz val="11"/>
        <rFont val="Times New Roman"/>
        <family val="1"/>
      </rPr>
      <t>(1điểm/triệu đồng)</t>
    </r>
  </si>
  <si>
    <t>Kế hoạch vốn năm 2023</t>
  </si>
  <si>
    <t>Địa điểm đầu tư</t>
  </si>
  <si>
    <t>Xã Lâm Hóa, huyện Tuyên Hóa</t>
  </si>
  <si>
    <t>Xã Thượng Trạch, huyện Bố Trạch</t>
  </si>
  <si>
    <t>Xã Kim Thủy, Ngân Thủy, huyện Lệ Thủy</t>
  </si>
  <si>
    <t>Xã Hiền Ninh, huyện Quảng Ninh</t>
  </si>
  <si>
    <t>Xã Dân Hóa, huyện Minh Hóa</t>
  </si>
  <si>
    <t>Xã Lâm Thủy, Mai Thủy, huyện Lệ Thủy</t>
  </si>
  <si>
    <t>Phường Bắc Lý, TP Đồng Hới</t>
  </si>
  <si>
    <t>Xã Trọng Hóa, huyện Minh Hóa</t>
  </si>
  <si>
    <t>-</t>
  </si>
  <si>
    <t>VI</t>
  </si>
  <si>
    <t>Đối ứng ngân sách tỉnh</t>
  </si>
  <si>
    <t>Tổng cộng:</t>
  </si>
  <si>
    <t>Điều chỉnh</t>
  </si>
  <si>
    <t>Tăng</t>
  </si>
  <si>
    <t>Giảm</t>
  </si>
  <si>
    <t xml:space="preserve">(Kèm theo Nghị quyết số       /NQ-HĐND ngày       /  /2023 của Hội đồng nhân dân tỉnh) </t>
  </si>
  <si>
    <t>Giao UBND huyện Quảng Ninh tổng hợp danh mục trình HĐND huyện thông qua</t>
  </si>
  <si>
    <t>b</t>
  </si>
  <si>
    <t>c</t>
  </si>
  <si>
    <t>2024 - 2025</t>
  </si>
  <si>
    <t>Tu bổ, tôn tạo Di tích quốc gia thuộc hệ thống di tích đường Trường Sơn</t>
  </si>
  <si>
    <t>Huyện Minh Hoá, huyện Lệ Thuỷ</t>
  </si>
  <si>
    <t>Tu bổ, tôn tạo Di tích quốc gia đặc biệt Cổng trời, xã Dân Hóa, huyện Minh Hóa</t>
  </si>
  <si>
    <t>Kế hoạch 2021 - 2025 đã thông qua tại NQ số 100/NQ-HĐND, 68/NQ-HĐND</t>
  </si>
  <si>
    <t>c.1</t>
  </si>
  <si>
    <t>c.2</t>
  </si>
  <si>
    <t>Phân bổ cho các địa bàn thụ hưởng của huyện Minh Hoá</t>
  </si>
  <si>
    <t>Đầu tư cơ sở hạ tầng thiết yếu theo danh mục công trình trên địa bàn huyện Minh Hoá</t>
  </si>
  <si>
    <t>Bảo tàng Tổng hợp tỉnh Quảng Bình</t>
  </si>
  <si>
    <t>Kế hoạch vốn trung hạn 2021 - 2025</t>
  </si>
  <si>
    <t>Đã bố trí đến nay</t>
  </si>
  <si>
    <t>Kế hoạch vốn năm 2024</t>
  </si>
  <si>
    <t>Phân bổ vốn đầu tư phát triển ngân sách trung ương và đối ứng ngân sách tỉnh năm 2024 thực hiện Chương trình mục tiêu quốc gia
phát triển kinh tế - xã hội vùng đồng bào dân tộc thiểu số và miền núi tỉnh Quảng Bình</t>
  </si>
  <si>
    <t xml:space="preserve">Hỗ trợ tu bổ, tôn tạo cho mỗi di tích quốc gia đặc biệt, di tích quốc gia có giá trị tiêu biểu của các dân tộc thiểu số </t>
  </si>
  <si>
    <t>PHỤ LỤC</t>
  </si>
  <si>
    <t>Đối ứng NST</t>
  </si>
  <si>
    <t>(Kèm theo Tờ trình số       /TTr-UBND ngày       /  /2023 của Uỷ ban nhân dân tỉnh)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</si>
</sst>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_€_-;\-* #,##0.00\ _€_-;_-* &quot;-&quot;??\ _€_-;_-@_-"/>
    <numFmt numFmtId="165" formatCode="_(* #,##0_);_(* \(#,##0\);_(* &quot;-&quot;??_);_(@_)"/>
    <numFmt numFmtId="166" formatCode="#,##0.0"/>
    <numFmt numFmtId="167" formatCode="_-* #,##0.00_-;\-* #,##0.00_-;_-* &quot;-&quot;??_-;_-@_-"/>
  </numFmts>
  <fonts count="20">
    <font>
      <sz val="12"/>
      <color theme="1"/>
      <name val="Times New Roman"/>
      <family val="2"/>
    </font>
    <font>
      <sz val="11"/>
      <color theme="1"/>
      <name val="Calibri"/>
      <family val="2"/>
      <scheme val="minor"/>
    </font>
    <font>
      <sz val="12"/>
      <color theme="1"/>
      <name val="Times New Roman"/>
      <family val="2"/>
    </font>
    <font>
      <sz val="11"/>
      <color theme="1"/>
      <name val="Calibri"/>
      <family val="2"/>
      <scheme val="minor"/>
    </font>
    <font>
      <b/>
      <sz val="9"/>
      <color indexed="81"/>
      <name val="Tahoma"/>
      <family val="2"/>
    </font>
    <font>
      <sz val="9"/>
      <color indexed="81"/>
      <name val="Tahoma"/>
      <family val="2"/>
    </font>
    <font>
      <sz val="11"/>
      <name val="Times New Roman"/>
      <family val="1"/>
    </font>
    <font>
      <i/>
      <sz val="11"/>
      <name val="Times New Roman"/>
      <family val="1"/>
    </font>
    <font>
      <b/>
      <sz val="11"/>
      <name val="Times New Roman"/>
      <family val="1"/>
    </font>
    <font>
      <sz val="11"/>
      <color indexed="8"/>
      <name val="Calibri"/>
      <family val="2"/>
    </font>
    <font>
      <sz val="10"/>
      <name val="Arial"/>
      <family val="2"/>
    </font>
    <font>
      <sz val="12"/>
      <name val="Times New Roman"/>
      <family val="1"/>
    </font>
    <font>
      <sz val="12"/>
      <name val="VNtimes new roman"/>
      <family val="2"/>
    </font>
    <font>
      <sz val="11"/>
      <color theme="1"/>
      <name val="Calibri"/>
      <family val="2"/>
      <charset val="163"/>
      <scheme val="minor"/>
    </font>
    <font>
      <sz val="12"/>
      <color theme="1"/>
      <name val="Times New Roman"/>
      <family val="2"/>
      <charset val="163"/>
    </font>
    <font>
      <sz val="12"/>
      <color theme="1"/>
      <name val="Times New Roman"/>
      <family val="1"/>
    </font>
    <font>
      <i/>
      <u val="singleAccounting"/>
      <sz val="11"/>
      <name val="Times New Roman"/>
      <family val="1"/>
    </font>
    <font>
      <sz val="12"/>
      <name val="Times New Roman"/>
      <family val="2"/>
    </font>
    <font>
      <u/>
      <sz val="11"/>
      <name val="Times New Roman"/>
      <family val="1"/>
    </font>
    <font>
      <u val="singleAccounting"/>
      <sz val="1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2" fillId="0" borderId="0" applyFont="0" applyFill="0" applyBorder="0" applyAlignment="0" applyProtection="0"/>
    <xf numFmtId="43" fontId="3" fillId="0" borderId="0" applyFont="0" applyFill="0" applyBorder="0" applyAlignment="0" applyProtection="0"/>
    <xf numFmtId="0" fontId="12" fillId="0" borderId="0"/>
    <xf numFmtId="167" fontId="9" fillId="0" borderId="0" applyFont="0" applyFill="0" applyBorder="0" applyAlignment="0" applyProtection="0"/>
    <xf numFmtId="0" fontId="10" fillId="0" borderId="0"/>
    <xf numFmtId="0" fontId="13" fillId="0" borderId="0"/>
    <xf numFmtId="0" fontId="13" fillId="0" borderId="0"/>
    <xf numFmtId="0" fontId="9" fillId="0" borderId="0"/>
    <xf numFmtId="0" fontId="14" fillId="0" borderId="0"/>
    <xf numFmtId="0" fontId="1" fillId="0" borderId="0"/>
    <xf numFmtId="0" fontId="9" fillId="0" borderId="0"/>
    <xf numFmtId="0" fontId="11" fillId="0" borderId="0"/>
    <xf numFmtId="0" fontId="1" fillId="0" borderId="0"/>
    <xf numFmtId="0" fontId="10" fillId="0" borderId="0"/>
    <xf numFmtId="0" fontId="15" fillId="0" borderId="0"/>
    <xf numFmtId="0" fontId="15" fillId="0" borderId="0"/>
  </cellStyleXfs>
  <cellXfs count="75">
    <xf numFmtId="0" fontId="0" fillId="0" borderId="0" xfId="0"/>
    <xf numFmtId="3" fontId="6" fillId="0" borderId="2" xfId="0" applyNumberFormat="1" applyFont="1" applyFill="1" applyBorder="1" applyAlignment="1">
      <alignment horizontal="right"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justify" vertical="center"/>
    </xf>
    <xf numFmtId="0" fontId="6" fillId="0" borderId="2" xfId="0" applyFont="1" applyFill="1" applyBorder="1" applyAlignment="1">
      <alignment horizontal="center" vertical="center" wrapText="1"/>
    </xf>
    <xf numFmtId="3" fontId="6" fillId="0" borderId="2" xfId="0" applyNumberFormat="1" applyFont="1" applyFill="1" applyBorder="1" applyAlignment="1">
      <alignment horizontal="right" vertical="center"/>
    </xf>
    <xf numFmtId="3" fontId="6" fillId="0" borderId="2" xfId="0" applyNumberFormat="1" applyFont="1" applyFill="1" applyBorder="1" applyAlignment="1">
      <alignment vertical="center"/>
    </xf>
    <xf numFmtId="165" fontId="6" fillId="0" borderId="2" xfId="1" applyNumberFormat="1" applyFont="1" applyFill="1" applyBorder="1" applyAlignment="1">
      <alignment horizontal="right" vertical="center"/>
    </xf>
    <xf numFmtId="3" fontId="6" fillId="0" borderId="2" xfId="0" applyNumberFormat="1" applyFont="1" applyFill="1" applyBorder="1"/>
    <xf numFmtId="0" fontId="8" fillId="0" borderId="2" xfId="0" applyFont="1" applyFill="1" applyBorder="1" applyAlignment="1">
      <alignment vertical="center" wrapText="1"/>
    </xf>
    <xf numFmtId="165" fontId="8" fillId="0" borderId="2" xfId="2" applyNumberFormat="1" applyFont="1" applyFill="1" applyBorder="1" applyAlignment="1">
      <alignment horizontal="center" vertical="center" wrapText="1"/>
    </xf>
    <xf numFmtId="3" fontId="8" fillId="0" borderId="2" xfId="0" applyNumberFormat="1" applyFont="1" applyFill="1" applyBorder="1" applyAlignment="1">
      <alignment horizontal="right" vertical="center" wrapText="1"/>
    </xf>
    <xf numFmtId="0" fontId="8" fillId="0" borderId="0" xfId="0" applyFont="1" applyFill="1"/>
    <xf numFmtId="166" fontId="8" fillId="0" borderId="2" xfId="0"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66" fontId="6"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165" fontId="6" fillId="0" borderId="2" xfId="2" applyNumberFormat="1" applyFont="1" applyFill="1" applyBorder="1" applyAlignment="1">
      <alignment horizontal="center" vertical="center" wrapText="1"/>
    </xf>
    <xf numFmtId="0" fontId="6" fillId="0" borderId="0" xfId="0" applyFont="1" applyFill="1"/>
    <xf numFmtId="4" fontId="6" fillId="0" borderId="2" xfId="0" applyNumberFormat="1" applyFont="1" applyFill="1" applyBorder="1" applyAlignment="1">
      <alignment horizontal="right" vertical="center" wrapText="1"/>
    </xf>
    <xf numFmtId="3" fontId="6" fillId="0" borderId="2" xfId="0" applyNumberFormat="1" applyFont="1" applyFill="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xf numFmtId="0" fontId="6" fillId="0" borderId="0" xfId="0" applyFont="1" applyFill="1" applyAlignment="1">
      <alignment horizontal="center" vertical="center"/>
    </xf>
    <xf numFmtId="0" fontId="6" fillId="0" borderId="0" xfId="0" applyFont="1" applyFill="1" applyAlignment="1">
      <alignment horizontal="center"/>
    </xf>
    <xf numFmtId="0" fontId="8" fillId="0" borderId="2" xfId="0" applyFont="1" applyFill="1" applyBorder="1" applyAlignment="1">
      <alignment horizontal="left" vertical="center"/>
    </xf>
    <xf numFmtId="3" fontId="8" fillId="0" borderId="2" xfId="0" applyNumberFormat="1" applyFont="1" applyFill="1" applyBorder="1" applyAlignment="1">
      <alignment horizontal="center" vertical="center"/>
    </xf>
    <xf numFmtId="3" fontId="6" fillId="0" borderId="0" xfId="0" applyNumberFormat="1" applyFont="1" applyFill="1"/>
    <xf numFmtId="0" fontId="8" fillId="0" borderId="2" xfId="0" applyFont="1" applyFill="1" applyBorder="1" applyAlignment="1">
      <alignment horizontal="left" vertical="center" wrapText="1"/>
    </xf>
    <xf numFmtId="1" fontId="16" fillId="0" borderId="2" xfId="0" applyNumberFormat="1" applyFont="1" applyFill="1" applyBorder="1" applyAlignment="1">
      <alignment horizontal="right" vertical="center"/>
    </xf>
    <xf numFmtId="1" fontId="7" fillId="0" borderId="2" xfId="0" applyNumberFormat="1" applyFont="1" applyFill="1" applyBorder="1" applyAlignment="1">
      <alignment horizontal="right" vertical="center"/>
    </xf>
    <xf numFmtId="3" fontId="7"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xf>
    <xf numFmtId="4" fontId="8" fillId="0" borderId="2" xfId="0" applyNumberFormat="1" applyFont="1" applyFill="1" applyBorder="1" applyAlignment="1">
      <alignment horizontal="right" vertical="center" wrapText="1"/>
    </xf>
    <xf numFmtId="0" fontId="6" fillId="0" borderId="2" xfId="0" quotePrefix="1" applyNumberFormat="1" applyFont="1" applyFill="1" applyBorder="1" applyAlignment="1">
      <alignment horizontal="center" vertical="center" wrapText="1"/>
    </xf>
    <xf numFmtId="165" fontId="6" fillId="0" borderId="2" xfId="2" applyNumberFormat="1" applyFont="1" applyFill="1" applyBorder="1" applyAlignment="1">
      <alignment horizontal="left" vertical="center" wrapText="1"/>
    </xf>
    <xf numFmtId="165" fontId="6" fillId="0" borderId="2" xfId="1" applyNumberFormat="1" applyFont="1" applyFill="1" applyBorder="1" applyAlignment="1">
      <alignment horizontal="center" vertical="center" wrapText="1"/>
    </xf>
    <xf numFmtId="3" fontId="0" fillId="2" borderId="2" xfId="0" applyNumberFormat="1" applyFont="1" applyFill="1" applyBorder="1" applyAlignment="1">
      <alignment horizontal="right" vertical="center" wrapText="1"/>
    </xf>
    <xf numFmtId="3" fontId="11" fillId="2" borderId="2" xfId="0" applyNumberFormat="1" applyFont="1" applyFill="1" applyBorder="1" applyAlignment="1">
      <alignment horizontal="right" vertical="center" wrapText="1"/>
    </xf>
    <xf numFmtId="3" fontId="17" fillId="0" borderId="2" xfId="0" applyNumberFormat="1" applyFont="1" applyFill="1" applyBorder="1" applyAlignment="1">
      <alignment horizontal="right" vertical="center" wrapText="1"/>
    </xf>
    <xf numFmtId="3" fontId="15" fillId="2" borderId="2" xfId="0" applyNumberFormat="1" applyFont="1" applyFill="1" applyBorder="1" applyAlignment="1">
      <alignment horizontal="right" vertical="center" wrapText="1"/>
    </xf>
    <xf numFmtId="0" fontId="6" fillId="0" borderId="2" xfId="0" quotePrefix="1" applyFont="1" applyFill="1" applyBorder="1" applyAlignment="1">
      <alignment horizontal="center" vertical="center"/>
    </xf>
    <xf numFmtId="0" fontId="18"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164" fontId="19" fillId="0" borderId="2" xfId="1" applyFont="1" applyFill="1" applyBorder="1" applyAlignment="1">
      <alignment horizontal="center" vertical="center" wrapText="1"/>
    </xf>
    <xf numFmtId="4" fontId="19"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3"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3" fontId="6" fillId="0" borderId="9" xfId="0" applyNumberFormat="1" applyFont="1" applyFill="1" applyBorder="1" applyAlignment="1">
      <alignment horizontal="center" vertical="center" wrapText="1"/>
    </xf>
    <xf numFmtId="3" fontId="6" fillId="0" borderId="11" xfId="0" applyNumberFormat="1" applyFont="1" applyFill="1" applyBorder="1" applyAlignment="1">
      <alignment horizontal="center" vertical="center" wrapText="1"/>
    </xf>
    <xf numFmtId="3" fontId="6" fillId="0" borderId="10" xfId="0" applyNumberFormat="1" applyFont="1" applyFill="1" applyBorder="1" applyAlignment="1">
      <alignment horizontal="center" vertical="center" wrapText="1"/>
    </xf>
    <xf numFmtId="0" fontId="8" fillId="0" borderId="0" xfId="0" applyFont="1" applyFill="1" applyAlignment="1">
      <alignment horizontal="center"/>
    </xf>
    <xf numFmtId="0" fontId="8"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Fill="1" applyBorder="1" applyAlignment="1">
      <alignment horizontal="right" vertical="center" wrapText="1"/>
    </xf>
    <xf numFmtId="3" fontId="6"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cellXfs>
  <cellStyles count="17">
    <cellStyle name="Bình thường 2" xfId="3"/>
    <cellStyle name="Comma" xfId="1" builtinId="3"/>
    <cellStyle name="Comma 11" xfId="2"/>
    <cellStyle name="Comma 2 2 26" xfId="4"/>
    <cellStyle name="Normal" xfId="0" builtinId="0"/>
    <cellStyle name="Normal 10 6" xfId="5"/>
    <cellStyle name="Normal 11 4 2" xfId="6"/>
    <cellStyle name="Normal 2" xfId="7"/>
    <cellStyle name="Normal 2 10 2" xfId="8"/>
    <cellStyle name="Normal 2 2 16" xfId="9"/>
    <cellStyle name="Normal 2 27 2 4" xfId="10"/>
    <cellStyle name="Normal 2 3 10" xfId="11"/>
    <cellStyle name="Normal 2 3 4" xfId="12"/>
    <cellStyle name="Normal 3 2" xfId="13"/>
    <cellStyle name="Normal 5" xfId="14"/>
    <cellStyle name="Normal 77 2" xfId="15"/>
    <cellStyle name="Normal 79"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D72"/>
  <sheetViews>
    <sheetView view="pageLayout" zoomScaleNormal="100" workbookViewId="0">
      <selection activeCell="C8" sqref="C8"/>
    </sheetView>
  </sheetViews>
  <sheetFormatPr defaultColWidth="9" defaultRowHeight="15"/>
  <cols>
    <col min="1" max="1" width="5" style="18" customWidth="1"/>
    <col min="2" max="2" width="38" style="18" customWidth="1"/>
    <col min="3" max="3" width="13.875" style="18" customWidth="1"/>
    <col min="4" max="4" width="11.75" style="24" hidden="1" customWidth="1"/>
    <col min="5" max="5" width="0.875" style="23" hidden="1" customWidth="1"/>
    <col min="6" max="6" width="9.5" style="24" customWidth="1"/>
    <col min="7" max="7" width="14.375" style="24" hidden="1" customWidth="1"/>
    <col min="8" max="8" width="8.25" style="24" hidden="1" customWidth="1"/>
    <col min="9" max="9" width="8.5" style="24" hidden="1" customWidth="1"/>
    <col min="10" max="10" width="6.5" style="18" hidden="1" customWidth="1"/>
    <col min="11" max="11" width="7.125" style="18" hidden="1" customWidth="1"/>
    <col min="12" max="12" width="9.625" style="18" hidden="1" customWidth="1"/>
    <col min="13" max="13" width="8.625" style="18" customWidth="1"/>
    <col min="14" max="14" width="7.25" style="18" customWidth="1"/>
    <col min="15" max="15" width="7" style="18" customWidth="1"/>
    <col min="16" max="16" width="7.875" style="18" hidden="1" customWidth="1"/>
    <col min="17" max="17" width="14.375" style="18" hidden="1" customWidth="1"/>
    <col min="18" max="18" width="7.5" style="18" hidden="1" customWidth="1"/>
    <col min="19" max="19" width="7.875" style="18" hidden="1" customWidth="1"/>
    <col min="20" max="20" width="7.375" style="18" hidden="1" customWidth="1"/>
    <col min="21" max="21" width="8.75" style="18" hidden="1" customWidth="1"/>
    <col min="22" max="23" width="8.75" style="18" customWidth="1"/>
    <col min="24" max="24" width="5.875" style="18" customWidth="1"/>
    <col min="25" max="26" width="8.75" style="18" customWidth="1"/>
    <col min="27" max="27" width="6.875" style="18" customWidth="1"/>
    <col min="28" max="28" width="21.625" style="24" customWidth="1"/>
    <col min="29" max="16384" width="9" style="18"/>
  </cols>
  <sheetData>
    <row r="1" spans="1:30">
      <c r="A1" s="63" t="s">
        <v>129</v>
      </c>
      <c r="B1" s="63"/>
      <c r="C1" s="63"/>
      <c r="D1" s="63"/>
      <c r="E1" s="63"/>
      <c r="F1" s="63"/>
      <c r="G1" s="63"/>
      <c r="H1" s="63"/>
      <c r="I1" s="63"/>
      <c r="J1" s="63"/>
      <c r="K1" s="63"/>
      <c r="L1" s="63"/>
      <c r="M1" s="63"/>
      <c r="N1" s="63"/>
      <c r="O1" s="63"/>
      <c r="P1" s="63"/>
      <c r="Q1" s="63"/>
      <c r="R1" s="63"/>
      <c r="S1" s="63"/>
      <c r="T1" s="63"/>
      <c r="U1" s="63"/>
      <c r="V1" s="63"/>
      <c r="W1" s="63"/>
      <c r="X1" s="63"/>
      <c r="Y1" s="63"/>
      <c r="Z1" s="63"/>
      <c r="AA1" s="63"/>
      <c r="AB1" s="63"/>
    </row>
    <row r="2" spans="1:30" ht="35.25" customHeight="1">
      <c r="A2" s="64" t="s">
        <v>127</v>
      </c>
      <c r="B2" s="64"/>
      <c r="C2" s="64"/>
      <c r="D2" s="64"/>
      <c r="E2" s="64"/>
      <c r="F2" s="64"/>
      <c r="G2" s="64"/>
      <c r="H2" s="64"/>
      <c r="I2" s="64"/>
      <c r="J2" s="64"/>
      <c r="K2" s="64"/>
      <c r="L2" s="64"/>
      <c r="M2" s="64"/>
      <c r="N2" s="64"/>
      <c r="O2" s="64"/>
      <c r="P2" s="64"/>
      <c r="Q2" s="64"/>
      <c r="R2" s="64"/>
      <c r="S2" s="64"/>
      <c r="T2" s="64"/>
      <c r="U2" s="64"/>
      <c r="V2" s="64"/>
      <c r="W2" s="64"/>
      <c r="X2" s="64"/>
      <c r="Y2" s="64"/>
      <c r="Z2" s="64"/>
      <c r="AA2" s="64"/>
      <c r="AB2" s="64"/>
    </row>
    <row r="3" spans="1:30">
      <c r="A3" s="65" t="s">
        <v>110</v>
      </c>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30" s="22" customFormat="1">
      <c r="A4" s="21"/>
      <c r="B4" s="21"/>
      <c r="C4" s="21"/>
      <c r="D4" s="66"/>
      <c r="E4" s="66"/>
      <c r="F4" s="66"/>
      <c r="G4" s="66"/>
      <c r="H4" s="66"/>
      <c r="I4" s="66"/>
      <c r="J4" s="66"/>
      <c r="K4" s="21"/>
      <c r="L4" s="21"/>
      <c r="M4" s="21"/>
      <c r="N4" s="21"/>
      <c r="O4" s="21"/>
      <c r="P4" s="21"/>
      <c r="Q4" s="67" t="s">
        <v>0</v>
      </c>
      <c r="R4" s="67"/>
      <c r="S4" s="67"/>
      <c r="T4" s="67"/>
      <c r="U4" s="67"/>
      <c r="V4" s="67"/>
      <c r="W4" s="67"/>
      <c r="X4" s="67"/>
      <c r="Y4" s="67"/>
      <c r="Z4" s="67"/>
      <c r="AA4" s="67"/>
      <c r="AB4" s="67"/>
    </row>
    <row r="5" spans="1:30" s="22" customFormat="1" ht="32.25" customHeight="1">
      <c r="A5" s="59" t="s">
        <v>1</v>
      </c>
      <c r="B5" s="59" t="s">
        <v>2</v>
      </c>
      <c r="C5" s="58" t="s">
        <v>94</v>
      </c>
      <c r="D5" s="57" t="s">
        <v>3</v>
      </c>
      <c r="E5" s="57" t="s">
        <v>4</v>
      </c>
      <c r="F5" s="58" t="s">
        <v>5</v>
      </c>
      <c r="G5" s="58" t="s">
        <v>118</v>
      </c>
      <c r="H5" s="58" t="s">
        <v>107</v>
      </c>
      <c r="I5" s="58"/>
      <c r="J5" s="58" t="s">
        <v>6</v>
      </c>
      <c r="K5" s="58" t="s">
        <v>92</v>
      </c>
      <c r="L5" s="58" t="s">
        <v>78</v>
      </c>
      <c r="M5" s="58" t="s">
        <v>124</v>
      </c>
      <c r="N5" s="58"/>
      <c r="O5" s="58"/>
      <c r="P5" s="57" t="s">
        <v>7</v>
      </c>
      <c r="Q5" s="57" t="s">
        <v>93</v>
      </c>
      <c r="R5" s="57"/>
      <c r="S5" s="57"/>
      <c r="T5" s="57"/>
      <c r="U5" s="57"/>
      <c r="V5" s="69" t="s">
        <v>125</v>
      </c>
      <c r="W5" s="70"/>
      <c r="X5" s="71"/>
      <c r="Y5" s="72" t="s">
        <v>126</v>
      </c>
      <c r="Z5" s="73"/>
      <c r="AA5" s="74"/>
      <c r="AB5" s="58" t="s">
        <v>91</v>
      </c>
    </row>
    <row r="6" spans="1:30" s="22" customFormat="1" ht="66.95" customHeight="1">
      <c r="A6" s="59"/>
      <c r="B6" s="59"/>
      <c r="C6" s="58"/>
      <c r="D6" s="57"/>
      <c r="E6" s="57"/>
      <c r="F6" s="58"/>
      <c r="G6" s="58"/>
      <c r="H6" s="45" t="s">
        <v>108</v>
      </c>
      <c r="I6" s="45" t="s">
        <v>109</v>
      </c>
      <c r="J6" s="58"/>
      <c r="K6" s="58"/>
      <c r="L6" s="58"/>
      <c r="M6" s="45" t="s">
        <v>90</v>
      </c>
      <c r="N6" s="45" t="s">
        <v>88</v>
      </c>
      <c r="O6" s="45" t="s">
        <v>130</v>
      </c>
      <c r="P6" s="57"/>
      <c r="Q6" s="45" t="s">
        <v>88</v>
      </c>
      <c r="R6" s="45" t="s">
        <v>89</v>
      </c>
      <c r="S6" s="9"/>
      <c r="T6" s="9"/>
      <c r="U6" s="46" t="s">
        <v>89</v>
      </c>
      <c r="V6" s="49" t="s">
        <v>90</v>
      </c>
      <c r="W6" s="49" t="s">
        <v>88</v>
      </c>
      <c r="X6" s="49" t="s">
        <v>130</v>
      </c>
      <c r="Y6" s="49" t="s">
        <v>90</v>
      </c>
      <c r="Z6" s="49" t="s">
        <v>88</v>
      </c>
      <c r="AA6" s="49" t="s">
        <v>130</v>
      </c>
      <c r="AB6" s="58"/>
    </row>
    <row r="7" spans="1:30" ht="30" customHeight="1">
      <c r="A7" s="43"/>
      <c r="B7" s="25" t="s">
        <v>106</v>
      </c>
      <c r="C7" s="25"/>
      <c r="D7" s="26"/>
      <c r="E7" s="43"/>
      <c r="F7" s="45"/>
      <c r="G7" s="11">
        <f>SUBTOTAL(109,G8:G66)</f>
        <v>557846.19999999995</v>
      </c>
      <c r="H7" s="11">
        <f>SUBTOTAL(109,H8:H66)</f>
        <v>239378.8</v>
      </c>
      <c r="I7" s="11">
        <f>SUBTOTAL(109,I8:I66)</f>
        <v>5470</v>
      </c>
      <c r="J7" s="11"/>
      <c r="K7" s="11">
        <f t="shared" ref="K7:W7" si="0">SUBTOTAL(109,K8:K66)</f>
        <v>151.95331861575244</v>
      </c>
      <c r="L7" s="11">
        <f t="shared" si="0"/>
        <v>789345</v>
      </c>
      <c r="M7" s="11">
        <f t="shared" si="0"/>
        <v>791755</v>
      </c>
      <c r="N7" s="11">
        <f t="shared" si="0"/>
        <v>742553</v>
      </c>
      <c r="O7" s="11">
        <f t="shared" si="0"/>
        <v>49202</v>
      </c>
      <c r="P7" s="11">
        <f t="shared" si="0"/>
        <v>124998</v>
      </c>
      <c r="Q7" s="11">
        <f t="shared" si="0"/>
        <v>12871.173913043478</v>
      </c>
      <c r="R7" s="11">
        <f t="shared" si="0"/>
        <v>173059</v>
      </c>
      <c r="S7" s="11">
        <f t="shared" si="0"/>
        <v>124051</v>
      </c>
      <c r="T7" s="11">
        <f t="shared" si="0"/>
        <v>21086.2</v>
      </c>
      <c r="U7" s="11">
        <f t="shared" si="0"/>
        <v>0</v>
      </c>
      <c r="V7" s="11">
        <f t="shared" si="0"/>
        <v>305196</v>
      </c>
      <c r="W7" s="11">
        <f t="shared" si="0"/>
        <v>305196</v>
      </c>
      <c r="X7" s="11"/>
      <c r="Y7" s="11">
        <f>SUBTOTAL(109,Y8:Y66)</f>
        <v>240482</v>
      </c>
      <c r="Z7" s="11">
        <f>SUBTOTAL(109,Z8:Z66)</f>
        <v>215482</v>
      </c>
      <c r="AA7" s="11">
        <f>SUBTOTAL(109,AA8:AA66)</f>
        <v>25000</v>
      </c>
      <c r="AB7" s="45"/>
      <c r="AC7" s="27"/>
    </row>
    <row r="8" spans="1:30" ht="28.5">
      <c r="A8" s="43" t="s">
        <v>8</v>
      </c>
      <c r="B8" s="28" t="s">
        <v>9</v>
      </c>
      <c r="C8" s="28"/>
      <c r="D8" s="46"/>
      <c r="E8" s="46"/>
      <c r="F8" s="45"/>
      <c r="G8" s="11">
        <f t="shared" ref="G8:O8" si="1">SUBTOTAL(109,G9:G14)</f>
        <v>51000</v>
      </c>
      <c r="H8" s="11">
        <f t="shared" si="1"/>
        <v>28942</v>
      </c>
      <c r="I8" s="11">
        <f t="shared" si="1"/>
        <v>5470</v>
      </c>
      <c r="J8" s="11">
        <f t="shared" si="1"/>
        <v>2633.95</v>
      </c>
      <c r="K8" s="11">
        <f t="shared" si="1"/>
        <v>51.407202110898076</v>
      </c>
      <c r="L8" s="11">
        <f t="shared" si="1"/>
        <v>107336</v>
      </c>
      <c r="M8" s="11">
        <f t="shared" si="1"/>
        <v>74472</v>
      </c>
      <c r="N8" s="11">
        <f t="shared" si="1"/>
        <v>67702</v>
      </c>
      <c r="O8" s="11">
        <f t="shared" si="1"/>
        <v>6770</v>
      </c>
      <c r="P8" s="11">
        <f t="shared" ref="P8:W8" si="2">SUBTOTAL(109,P9:P14)</f>
        <v>5500</v>
      </c>
      <c r="Q8" s="11">
        <f t="shared" si="2"/>
        <v>2422</v>
      </c>
      <c r="R8" s="11">
        <f t="shared" si="2"/>
        <v>29890</v>
      </c>
      <c r="S8" s="11">
        <f t="shared" si="2"/>
        <v>29890</v>
      </c>
      <c r="T8" s="11">
        <f t="shared" si="2"/>
        <v>6770.2</v>
      </c>
      <c r="U8" s="11">
        <f t="shared" si="2"/>
        <v>0</v>
      </c>
      <c r="V8" s="11">
        <f t="shared" si="2"/>
        <v>20000</v>
      </c>
      <c r="W8" s="11">
        <f t="shared" si="2"/>
        <v>20000</v>
      </c>
      <c r="X8" s="11"/>
      <c r="Y8" s="11">
        <f t="shared" ref="Y8" si="3">SUBTOTAL(109,Y9:Y14)</f>
        <v>19576</v>
      </c>
      <c r="Z8" s="11">
        <f t="shared" ref="Z8" si="4">SUBTOTAL(109,Z9:Z14)</f>
        <v>16186</v>
      </c>
      <c r="AA8" s="11">
        <f t="shared" ref="AA8" si="5">SUBTOTAL(109,AA9:AA14)</f>
        <v>3390</v>
      </c>
      <c r="AB8" s="45"/>
      <c r="AC8" s="27"/>
    </row>
    <row r="9" spans="1:30" ht="21.95" customHeight="1">
      <c r="A9" s="41" t="s">
        <v>10</v>
      </c>
      <c r="B9" s="14" t="s">
        <v>11</v>
      </c>
      <c r="C9" s="14"/>
      <c r="D9" s="4" t="s">
        <v>84</v>
      </c>
      <c r="E9" s="50"/>
      <c r="F9" s="51"/>
      <c r="G9" s="1">
        <f>SUBTOTAL(109,G10:G14)</f>
        <v>51000</v>
      </c>
      <c r="H9" s="1">
        <f t="shared" ref="H9:I9" si="6">SUBTOTAL(109,H10:H14)</f>
        <v>28942</v>
      </c>
      <c r="I9" s="1">
        <f t="shared" si="6"/>
        <v>5470</v>
      </c>
      <c r="J9" s="1">
        <f>SUM(J10:J14)</f>
        <v>1316.9750000000001</v>
      </c>
      <c r="K9" s="19">
        <f>N9/J9</f>
        <v>51.407202110898076</v>
      </c>
      <c r="L9" s="1">
        <f>SUBTOTAL(109,L10:L14)</f>
        <v>107336</v>
      </c>
      <c r="M9" s="1">
        <f>SUBTOTAL(109,M10:M14)</f>
        <v>74472</v>
      </c>
      <c r="N9" s="1">
        <f>SUBTOTAL(109,N10:N14)</f>
        <v>67702</v>
      </c>
      <c r="O9" s="1">
        <f>SUBTOTAL(109,O10:O14)</f>
        <v>6770</v>
      </c>
      <c r="P9" s="1">
        <f t="shared" ref="P9:W9" si="7">SUBTOTAL(109,P10:P14)</f>
        <v>5500</v>
      </c>
      <c r="Q9" s="1">
        <f t="shared" si="7"/>
        <v>2422</v>
      </c>
      <c r="R9" s="1">
        <f t="shared" si="7"/>
        <v>29890</v>
      </c>
      <c r="S9" s="1">
        <f t="shared" si="7"/>
        <v>29890</v>
      </c>
      <c r="T9" s="1">
        <f t="shared" si="7"/>
        <v>6770.2</v>
      </c>
      <c r="U9" s="1">
        <f t="shared" si="7"/>
        <v>0</v>
      </c>
      <c r="V9" s="1">
        <f t="shared" si="7"/>
        <v>20000</v>
      </c>
      <c r="W9" s="1">
        <f t="shared" si="7"/>
        <v>20000</v>
      </c>
      <c r="X9" s="1"/>
      <c r="Y9" s="1">
        <f t="shared" ref="Y9" si="8">SUBTOTAL(109,Y10:Y14)</f>
        <v>19576</v>
      </c>
      <c r="Z9" s="1">
        <f t="shared" ref="Z9" si="9">SUBTOTAL(109,Z10:Z14)</f>
        <v>16186</v>
      </c>
      <c r="AA9" s="1">
        <f t="shared" ref="AA9" si="10">SUBTOTAL(109,AA10:AA14)</f>
        <v>3390</v>
      </c>
      <c r="AB9" s="20"/>
      <c r="AC9" s="27"/>
    </row>
    <row r="10" spans="1:30" ht="20.25" customHeight="1">
      <c r="A10" s="2">
        <v>1</v>
      </c>
      <c r="B10" s="3" t="s">
        <v>12</v>
      </c>
      <c r="C10" s="3"/>
      <c r="D10" s="4" t="s">
        <v>79</v>
      </c>
      <c r="E10" s="29"/>
      <c r="F10" s="31"/>
      <c r="G10" s="37">
        <f>500*21</f>
        <v>10500</v>
      </c>
      <c r="H10" s="1">
        <f>M10-G10</f>
        <v>21210</v>
      </c>
      <c r="I10" s="31"/>
      <c r="J10" s="1">
        <f>(206+801)*0.4+702*0.225</f>
        <v>560.75</v>
      </c>
      <c r="K10" s="19"/>
      <c r="L10" s="1">
        <f>N10+T10</f>
        <v>31713</v>
      </c>
      <c r="M10" s="1">
        <f t="shared" ref="M10:M39" si="11">N10+O10</f>
        <v>31710</v>
      </c>
      <c r="N10" s="1">
        <f>ROUND((118702-51000)/$J$9*J10,-1)</f>
        <v>28830</v>
      </c>
      <c r="O10" s="1">
        <f>ROUND(N10*0.1,-1)</f>
        <v>2880</v>
      </c>
      <c r="P10" s="1">
        <v>1500</v>
      </c>
      <c r="Q10" s="1">
        <f>2422*J10/J9</f>
        <v>1031.2545796237589</v>
      </c>
      <c r="R10" s="1">
        <f>(N10-P10-Q10)/2</f>
        <v>13149.372710188121</v>
      </c>
      <c r="S10" s="1">
        <f t="shared" ref="S10:S14" si="12">R10</f>
        <v>13149.372710188121</v>
      </c>
      <c r="T10" s="1">
        <f>N10*0.1</f>
        <v>2883</v>
      </c>
      <c r="U10" s="1"/>
      <c r="V10" s="1">
        <f>W10+X10</f>
        <v>4500</v>
      </c>
      <c r="W10" s="1">
        <f>1500+3000</f>
        <v>4500</v>
      </c>
      <c r="X10" s="1"/>
      <c r="Y10" s="1">
        <f>Z10+AA10</f>
        <v>8330</v>
      </c>
      <c r="Z10" s="1">
        <f>ROUND(16186/$J$9*J10,-1)</f>
        <v>6890</v>
      </c>
      <c r="AA10" s="1">
        <f>ROUND(O10/2,-1)</f>
        <v>1440</v>
      </c>
      <c r="AB10" s="44" t="s">
        <v>13</v>
      </c>
      <c r="AC10" s="27"/>
    </row>
    <row r="11" spans="1:30" ht="18.95" customHeight="1">
      <c r="A11" s="2">
        <v>2</v>
      </c>
      <c r="B11" s="3" t="s">
        <v>15</v>
      </c>
      <c r="C11" s="3"/>
      <c r="D11" s="4" t="s">
        <v>80</v>
      </c>
      <c r="E11" s="29"/>
      <c r="F11" s="31"/>
      <c r="G11" s="37">
        <f>500*19</f>
        <v>9500</v>
      </c>
      <c r="H11" s="1">
        <f t="shared" ref="H11:H14" si="13">M11-G11</f>
        <v>4350</v>
      </c>
      <c r="I11" s="31"/>
      <c r="J11" s="1">
        <f>(204+376)*0.4+57*0.225</f>
        <v>244.82499999999999</v>
      </c>
      <c r="K11" s="19"/>
      <c r="L11" s="1">
        <v>24483</v>
      </c>
      <c r="M11" s="1">
        <f t="shared" si="11"/>
        <v>13850</v>
      </c>
      <c r="N11" s="1">
        <f>ROUND((118702-51000)/$J$9*J11,-1)</f>
        <v>12590</v>
      </c>
      <c r="O11" s="1">
        <f>ROUND(N11*0.1,-1)</f>
        <v>1260</v>
      </c>
      <c r="P11" s="1">
        <v>500</v>
      </c>
      <c r="Q11" s="1">
        <f>2422*J11/J9</f>
        <v>450.24860001138973</v>
      </c>
      <c r="R11" s="1">
        <f>(N11-P11-Q11)/2</f>
        <v>5819.8756999943053</v>
      </c>
      <c r="S11" s="1">
        <f t="shared" si="12"/>
        <v>5819.8756999943053</v>
      </c>
      <c r="T11" s="1">
        <f t="shared" ref="T11:T14" si="14">N11*0.1</f>
        <v>1259</v>
      </c>
      <c r="U11" s="1"/>
      <c r="V11" s="1">
        <f t="shared" ref="V11:V14" si="15">W11+X11</f>
        <v>3500</v>
      </c>
      <c r="W11" s="1">
        <f>500+3000</f>
        <v>3500</v>
      </c>
      <c r="X11" s="1"/>
      <c r="Y11" s="1">
        <f t="shared" ref="Y11:Y14" si="16">Z11+AA11</f>
        <v>3640</v>
      </c>
      <c r="Z11" s="1">
        <f t="shared" ref="Z11:Z13" si="17">ROUND(16186/$J$9*J11,-1)</f>
        <v>3010</v>
      </c>
      <c r="AA11" s="1">
        <f t="shared" ref="AA11:AA14" si="18">ROUND(O11/2,-1)</f>
        <v>630</v>
      </c>
      <c r="AB11" s="44" t="s">
        <v>16</v>
      </c>
      <c r="AC11" s="27"/>
    </row>
    <row r="12" spans="1:30" ht="19.5" customHeight="1">
      <c r="A12" s="2">
        <v>3</v>
      </c>
      <c r="B12" s="3" t="s">
        <v>17</v>
      </c>
      <c r="C12" s="3"/>
      <c r="D12" s="4" t="s">
        <v>81</v>
      </c>
      <c r="E12" s="29"/>
      <c r="F12" s="31"/>
      <c r="G12" s="37">
        <f>500*22</f>
        <v>11000</v>
      </c>
      <c r="H12" s="1">
        <f t="shared" si="13"/>
        <v>1360</v>
      </c>
      <c r="I12" s="31"/>
      <c r="J12" s="1">
        <f>(149+276)*0.4+216*0.225</f>
        <v>218.6</v>
      </c>
      <c r="K12" s="19"/>
      <c r="L12" s="1">
        <f>149*40+276*40+216*22.5</f>
        <v>21860</v>
      </c>
      <c r="M12" s="1">
        <f t="shared" si="11"/>
        <v>12360</v>
      </c>
      <c r="N12" s="1">
        <f>ROUND((118702-51000)/$J$9*J12,-1)</f>
        <v>11240</v>
      </c>
      <c r="O12" s="1">
        <f>ROUND(N12*0.1,-1)</f>
        <v>1120</v>
      </c>
      <c r="P12" s="1">
        <v>1000</v>
      </c>
      <c r="Q12" s="1">
        <f>2422*J12/J9</f>
        <v>402.01917272537435</v>
      </c>
      <c r="R12" s="1">
        <f>(N12-P12-Q12)/2</f>
        <v>4918.9904136373125</v>
      </c>
      <c r="S12" s="1">
        <f t="shared" si="12"/>
        <v>4918.9904136373125</v>
      </c>
      <c r="T12" s="1">
        <f t="shared" si="14"/>
        <v>1124</v>
      </c>
      <c r="U12" s="1"/>
      <c r="V12" s="1">
        <f t="shared" si="15"/>
        <v>4000</v>
      </c>
      <c r="W12" s="1">
        <f>1000+3000</f>
        <v>4000</v>
      </c>
      <c r="X12" s="1"/>
      <c r="Y12" s="1">
        <f t="shared" si="16"/>
        <v>3250</v>
      </c>
      <c r="Z12" s="1">
        <f t="shared" si="17"/>
        <v>2690</v>
      </c>
      <c r="AA12" s="1">
        <f t="shared" si="18"/>
        <v>560</v>
      </c>
      <c r="AB12" s="44" t="s">
        <v>18</v>
      </c>
      <c r="AC12" s="27"/>
      <c r="AD12" s="27"/>
    </row>
    <row r="13" spans="1:30" ht="18" customHeight="1">
      <c r="A13" s="2">
        <v>4</v>
      </c>
      <c r="B13" s="3" t="s">
        <v>19</v>
      </c>
      <c r="C13" s="3"/>
      <c r="D13" s="4" t="s">
        <v>82</v>
      </c>
      <c r="E13" s="30" t="s">
        <v>43</v>
      </c>
      <c r="F13" s="31"/>
      <c r="G13" s="37">
        <f>500*36</f>
        <v>18000</v>
      </c>
      <c r="H13" s="1"/>
      <c r="I13" s="1">
        <f>G13-M13</f>
        <v>5470</v>
      </c>
      <c r="J13" s="1">
        <f>(271+283)*0.4</f>
        <v>221.60000000000002</v>
      </c>
      <c r="K13" s="19"/>
      <c r="L13" s="1">
        <f>271*40+283*40</f>
        <v>22160</v>
      </c>
      <c r="M13" s="1">
        <f t="shared" si="11"/>
        <v>12530</v>
      </c>
      <c r="N13" s="1">
        <f>ROUND((118702-51000)/$J$9*J13,-1)</f>
        <v>11390</v>
      </c>
      <c r="O13" s="1">
        <f>ROUND(N13*0.1,-1)</f>
        <v>1140</v>
      </c>
      <c r="P13" s="1">
        <v>2000</v>
      </c>
      <c r="Q13" s="1">
        <f>2422*J13/J9</f>
        <v>407.53636173807399</v>
      </c>
      <c r="R13" s="1">
        <f>(N13-P13-Q13)/2</f>
        <v>4491.2318191309632</v>
      </c>
      <c r="S13" s="1">
        <f t="shared" si="12"/>
        <v>4491.2318191309632</v>
      </c>
      <c r="T13" s="1">
        <f t="shared" si="14"/>
        <v>1139</v>
      </c>
      <c r="U13" s="1"/>
      <c r="V13" s="1">
        <f t="shared" si="15"/>
        <v>7000</v>
      </c>
      <c r="W13" s="1">
        <f>2000+5000</f>
        <v>7000</v>
      </c>
      <c r="X13" s="1"/>
      <c r="Y13" s="1">
        <f t="shared" si="16"/>
        <v>3290</v>
      </c>
      <c r="Z13" s="1">
        <f t="shared" si="17"/>
        <v>2720</v>
      </c>
      <c r="AA13" s="1">
        <f t="shared" si="18"/>
        <v>570</v>
      </c>
      <c r="AB13" s="44" t="s">
        <v>20</v>
      </c>
      <c r="AC13" s="27"/>
    </row>
    <row r="14" spans="1:30" ht="16.5" customHeight="1">
      <c r="A14" s="2">
        <v>5</v>
      </c>
      <c r="B14" s="3" t="s">
        <v>21</v>
      </c>
      <c r="C14" s="3"/>
      <c r="D14" s="4" t="s">
        <v>83</v>
      </c>
      <c r="E14" s="29"/>
      <c r="F14" s="31"/>
      <c r="G14" s="37">
        <f>500*4</f>
        <v>2000</v>
      </c>
      <c r="H14" s="1">
        <f t="shared" si="13"/>
        <v>2022</v>
      </c>
      <c r="I14" s="31"/>
      <c r="J14" s="1">
        <f>(69+109)*0.4</f>
        <v>71.2</v>
      </c>
      <c r="K14" s="19"/>
      <c r="L14" s="1">
        <f>69*40+109*40+0*22.5</f>
        <v>7120</v>
      </c>
      <c r="M14" s="1">
        <f t="shared" si="11"/>
        <v>4022</v>
      </c>
      <c r="N14" s="1">
        <f>ROUND((118702-51000)/$J$9*J14,-1)-8</f>
        <v>3652</v>
      </c>
      <c r="O14" s="1">
        <f>ROUND(N14*0.1,-1)</f>
        <v>370</v>
      </c>
      <c r="P14" s="1">
        <v>500</v>
      </c>
      <c r="Q14" s="1">
        <f>2422*J14/J9</f>
        <v>130.94128590140281</v>
      </c>
      <c r="R14" s="1">
        <f>(N14-P14-Q14)/2</f>
        <v>1510.5293570492986</v>
      </c>
      <c r="S14" s="1">
        <f t="shared" si="12"/>
        <v>1510.5293570492986</v>
      </c>
      <c r="T14" s="1">
        <f t="shared" si="14"/>
        <v>365.20000000000005</v>
      </c>
      <c r="U14" s="1"/>
      <c r="V14" s="1">
        <f t="shared" si="15"/>
        <v>1000</v>
      </c>
      <c r="W14" s="1">
        <f>500+500</f>
        <v>1000</v>
      </c>
      <c r="X14" s="1"/>
      <c r="Y14" s="1">
        <f t="shared" si="16"/>
        <v>1066</v>
      </c>
      <c r="Z14" s="1">
        <f>ROUND(16186/$J$9*J14,-1)-4</f>
        <v>876</v>
      </c>
      <c r="AA14" s="1">
        <f t="shared" si="18"/>
        <v>190</v>
      </c>
      <c r="AB14" s="44" t="s">
        <v>22</v>
      </c>
      <c r="AC14" s="27"/>
    </row>
    <row r="15" spans="1:30" s="12" customFormat="1" ht="28.5">
      <c r="A15" s="43" t="s">
        <v>24</v>
      </c>
      <c r="B15" s="32" t="s">
        <v>25</v>
      </c>
      <c r="C15" s="32"/>
      <c r="D15" s="43"/>
      <c r="E15" s="43"/>
      <c r="F15" s="44"/>
      <c r="G15" s="11">
        <f t="shared" ref="G15:M15" si="19">SUBTOTAL(109,G16:G20)</f>
        <v>157371.19999999998</v>
      </c>
      <c r="H15" s="11">
        <f t="shared" si="19"/>
        <v>39342.799999999996</v>
      </c>
      <c r="I15" s="11"/>
      <c r="J15" s="11">
        <f t="shared" si="19"/>
        <v>2221.7000000000003</v>
      </c>
      <c r="K15" s="11">
        <f t="shared" si="19"/>
        <v>0</v>
      </c>
      <c r="L15" s="11">
        <f t="shared" si="19"/>
        <v>196714</v>
      </c>
      <c r="M15" s="11">
        <f t="shared" si="19"/>
        <v>196714</v>
      </c>
      <c r="N15" s="11">
        <f>SUBTOTAL(109,N16:N20)</f>
        <v>196714</v>
      </c>
      <c r="O15" s="11"/>
      <c r="P15" s="11">
        <f t="shared" ref="P15:W15" si="20">SUBTOTAL(109,P16:P20)</f>
        <v>35409</v>
      </c>
      <c r="Q15" s="11">
        <f t="shared" si="20"/>
        <v>0</v>
      </c>
      <c r="R15" s="11">
        <f t="shared" si="20"/>
        <v>0</v>
      </c>
      <c r="S15" s="11">
        <f t="shared" si="20"/>
        <v>0</v>
      </c>
      <c r="T15" s="11">
        <f t="shared" si="20"/>
        <v>0</v>
      </c>
      <c r="U15" s="11">
        <f t="shared" si="20"/>
        <v>0</v>
      </c>
      <c r="V15" s="11">
        <f t="shared" si="20"/>
        <v>82875</v>
      </c>
      <c r="W15" s="11">
        <f t="shared" si="20"/>
        <v>82875</v>
      </c>
      <c r="X15" s="11"/>
      <c r="Y15" s="11">
        <f t="shared" ref="Y15" si="21">SUBTOTAL(109,Y16:Y20)</f>
        <v>44898</v>
      </c>
      <c r="Z15" s="11">
        <f t="shared" ref="Z15" si="22">SUBTOTAL(109,Z16:Z20)</f>
        <v>44898</v>
      </c>
      <c r="AA15" s="11"/>
      <c r="AB15" s="49"/>
      <c r="AC15" s="27"/>
    </row>
    <row r="16" spans="1:30" ht="15.75" customHeight="1">
      <c r="A16" s="2">
        <v>1</v>
      </c>
      <c r="B16" s="3" t="s">
        <v>12</v>
      </c>
      <c r="C16" s="3"/>
      <c r="D16" s="2" t="s">
        <v>26</v>
      </c>
      <c r="E16" s="5">
        <v>32400</v>
      </c>
      <c r="F16" s="44"/>
      <c r="G16" s="37">
        <v>32399.952941176471</v>
      </c>
      <c r="H16" s="1">
        <f>M16-G16</f>
        <v>3370.0470588235294</v>
      </c>
      <c r="I16" s="1"/>
      <c r="J16" s="6">
        <f>30+(39400-3000)/100+10</f>
        <v>404</v>
      </c>
      <c r="K16" s="1"/>
      <c r="L16" s="1">
        <f>N16</f>
        <v>35770</v>
      </c>
      <c r="M16" s="1">
        <f t="shared" ref="M16:M20" si="23">N16+O16</f>
        <v>35770</v>
      </c>
      <c r="N16" s="1">
        <f>ROUND(196714/$J$15*J16,-1)</f>
        <v>35770</v>
      </c>
      <c r="O16" s="1"/>
      <c r="P16" s="1">
        <v>7290</v>
      </c>
      <c r="Q16" s="1"/>
      <c r="R16" s="1"/>
      <c r="S16" s="1"/>
      <c r="T16" s="1"/>
      <c r="U16" s="1"/>
      <c r="V16" s="1">
        <f>W16+X16</f>
        <v>17062</v>
      </c>
      <c r="W16" s="1">
        <f>7290+9772</f>
        <v>17062</v>
      </c>
      <c r="X16" s="1"/>
      <c r="Y16" s="1">
        <f>Z16+AA16</f>
        <v>8160</v>
      </c>
      <c r="Z16" s="1">
        <f>ROUND((53429-8531)/$J$15*J16,-1)</f>
        <v>8160</v>
      </c>
      <c r="AA16" s="1"/>
      <c r="AB16" s="68" t="s">
        <v>27</v>
      </c>
      <c r="AC16" s="27"/>
    </row>
    <row r="17" spans="1:29" ht="15.75">
      <c r="A17" s="2">
        <v>2</v>
      </c>
      <c r="B17" s="3" t="s">
        <v>15</v>
      </c>
      <c r="C17" s="3"/>
      <c r="D17" s="2" t="s">
        <v>71</v>
      </c>
      <c r="E17" s="7">
        <v>29314</v>
      </c>
      <c r="F17" s="44"/>
      <c r="G17" s="37">
        <v>29314.243137254904</v>
      </c>
      <c r="H17" s="1">
        <f>M17-G17</f>
        <v>12245.756862745096</v>
      </c>
      <c r="I17" s="44"/>
      <c r="J17" s="6">
        <f>20+(46436-2000)/100+5</f>
        <v>469.36</v>
      </c>
      <c r="K17" s="1"/>
      <c r="L17" s="1">
        <f t="shared" ref="L17:L20" si="24">N17</f>
        <v>41560</v>
      </c>
      <c r="M17" s="1">
        <f t="shared" si="23"/>
        <v>41560</v>
      </c>
      <c r="N17" s="1">
        <f t="shared" ref="N17:N19" si="25">ROUND(196714/$J$15*J17,-1)</f>
        <v>41560</v>
      </c>
      <c r="O17" s="1"/>
      <c r="P17" s="1">
        <v>6596</v>
      </c>
      <c r="Q17" s="1"/>
      <c r="R17" s="1"/>
      <c r="S17" s="1"/>
      <c r="T17" s="1"/>
      <c r="U17" s="1"/>
      <c r="V17" s="1">
        <f t="shared" ref="V17:V20" si="26">W17+X17</f>
        <v>15438</v>
      </c>
      <c r="W17" s="1">
        <f>6596+8842</f>
        <v>15438</v>
      </c>
      <c r="X17" s="1"/>
      <c r="Y17" s="1">
        <f t="shared" ref="Y17:Y20" si="27">Z17+AA17</f>
        <v>9490</v>
      </c>
      <c r="Z17" s="1">
        <f>ROUND((53429-8531)/$J$15*J17,-1)</f>
        <v>9490</v>
      </c>
      <c r="AA17" s="1"/>
      <c r="AB17" s="68"/>
      <c r="AC17" s="27"/>
    </row>
    <row r="18" spans="1:29" ht="15.75">
      <c r="A18" s="2">
        <v>3</v>
      </c>
      <c r="B18" s="3" t="s">
        <v>17</v>
      </c>
      <c r="C18" s="3"/>
      <c r="D18" s="4" t="s">
        <v>70</v>
      </c>
      <c r="E18" s="7">
        <v>45000</v>
      </c>
      <c r="F18" s="44"/>
      <c r="G18" s="37">
        <v>33942.807843137256</v>
      </c>
      <c r="H18" s="1">
        <f>M18-G18</f>
        <v>6347.192156862744</v>
      </c>
      <c r="I18" s="44"/>
      <c r="J18" s="6">
        <f>10+(45000-1000)/100+5</f>
        <v>455</v>
      </c>
      <c r="K18" s="1"/>
      <c r="L18" s="1">
        <f t="shared" si="24"/>
        <v>40290</v>
      </c>
      <c r="M18" s="1">
        <f t="shared" si="23"/>
        <v>40290</v>
      </c>
      <c r="N18" s="1">
        <f t="shared" si="25"/>
        <v>40290</v>
      </c>
      <c r="O18" s="1"/>
      <c r="P18" s="1">
        <v>7637</v>
      </c>
      <c r="Q18" s="1"/>
      <c r="R18" s="1"/>
      <c r="S18" s="1"/>
      <c r="T18" s="1"/>
      <c r="U18" s="1"/>
      <c r="V18" s="1">
        <f t="shared" si="26"/>
        <v>17875</v>
      </c>
      <c r="W18" s="1">
        <f>7637+10238</f>
        <v>17875</v>
      </c>
      <c r="X18" s="1"/>
      <c r="Y18" s="1">
        <f t="shared" si="27"/>
        <v>9200</v>
      </c>
      <c r="Z18" s="1">
        <f>ROUND((53429-8531)/$J$15*J18,-1)</f>
        <v>9200</v>
      </c>
      <c r="AA18" s="1"/>
      <c r="AB18" s="68"/>
      <c r="AC18" s="27"/>
    </row>
    <row r="19" spans="1:29" ht="15.75">
      <c r="A19" s="2">
        <v>4</v>
      </c>
      <c r="B19" s="3" t="s">
        <v>19</v>
      </c>
      <c r="C19" s="3"/>
      <c r="D19" s="2"/>
      <c r="E19" s="7">
        <v>55543</v>
      </c>
      <c r="F19" s="44"/>
      <c r="G19" s="37">
        <v>55542.776470588236</v>
      </c>
      <c r="H19" s="1">
        <f>M19-G19</f>
        <v>4957.2235294117636</v>
      </c>
      <c r="I19" s="44"/>
      <c r="J19" s="6">
        <f>20+(67334-2000)/100+10</f>
        <v>683.34</v>
      </c>
      <c r="K19" s="1"/>
      <c r="L19" s="1">
        <f t="shared" si="24"/>
        <v>60500</v>
      </c>
      <c r="M19" s="1">
        <f t="shared" si="23"/>
        <v>60500</v>
      </c>
      <c r="N19" s="1">
        <f t="shared" si="25"/>
        <v>60500</v>
      </c>
      <c r="O19" s="1"/>
      <c r="P19" s="1">
        <v>12497</v>
      </c>
      <c r="Q19" s="1"/>
      <c r="R19" s="1"/>
      <c r="S19" s="1"/>
      <c r="T19" s="1"/>
      <c r="U19" s="1"/>
      <c r="V19" s="1">
        <f t="shared" si="26"/>
        <v>29250</v>
      </c>
      <c r="W19" s="1">
        <f>12497+16753</f>
        <v>29250</v>
      </c>
      <c r="X19" s="1"/>
      <c r="Y19" s="1">
        <f t="shared" si="27"/>
        <v>13810</v>
      </c>
      <c r="Z19" s="1">
        <f>ROUND((53429-8531)/$J$15*J19,-1)</f>
        <v>13810</v>
      </c>
      <c r="AA19" s="1"/>
      <c r="AB19" s="68"/>
      <c r="AC19" s="27"/>
    </row>
    <row r="20" spans="1:29" ht="15.75">
      <c r="A20" s="2">
        <v>5</v>
      </c>
      <c r="B20" s="3" t="s">
        <v>21</v>
      </c>
      <c r="C20" s="3"/>
      <c r="D20" s="2"/>
      <c r="E20" s="7"/>
      <c r="F20" s="44"/>
      <c r="G20" s="37">
        <v>6171.4196078431378</v>
      </c>
      <c r="H20" s="1">
        <f>M20-G20</f>
        <v>12422.580392156862</v>
      </c>
      <c r="I20" s="1"/>
      <c r="J20" s="8">
        <f>10+(21000-1000)/100</f>
        <v>210</v>
      </c>
      <c r="K20" s="1"/>
      <c r="L20" s="1">
        <f t="shared" si="24"/>
        <v>18594</v>
      </c>
      <c r="M20" s="1">
        <f t="shared" si="23"/>
        <v>18594</v>
      </c>
      <c r="N20" s="1">
        <f>ROUND(196714/$J$15*J20,-1)+4</f>
        <v>18594</v>
      </c>
      <c r="O20" s="1"/>
      <c r="P20" s="1">
        <v>1389</v>
      </c>
      <c r="Q20" s="1"/>
      <c r="R20" s="1"/>
      <c r="S20" s="1"/>
      <c r="T20" s="1"/>
      <c r="U20" s="1"/>
      <c r="V20" s="1">
        <f t="shared" si="26"/>
        <v>3250</v>
      </c>
      <c r="W20" s="1">
        <f>1389+1861</f>
        <v>3250</v>
      </c>
      <c r="X20" s="1"/>
      <c r="Y20" s="1">
        <f t="shared" si="27"/>
        <v>4238</v>
      </c>
      <c r="Z20" s="1">
        <f>ROUND((53429-8531)/$J$15*J20,-1)-2</f>
        <v>4238</v>
      </c>
      <c r="AA20" s="1"/>
      <c r="AB20" s="68"/>
      <c r="AC20" s="27"/>
    </row>
    <row r="21" spans="1:29" s="12" customFormat="1" ht="57">
      <c r="A21" s="43" t="s">
        <v>28</v>
      </c>
      <c r="B21" s="9" t="s">
        <v>29</v>
      </c>
      <c r="C21" s="9"/>
      <c r="D21" s="46"/>
      <c r="E21" s="46"/>
      <c r="F21" s="44"/>
      <c r="G21" s="11">
        <f>SUBTOTAL(109,G22:G31)</f>
        <v>129289</v>
      </c>
      <c r="H21" s="11">
        <f>SUBTOTAL(109,H22:H31)</f>
        <v>48820</v>
      </c>
      <c r="I21" s="11"/>
      <c r="J21" s="11"/>
      <c r="K21" s="11">
        <f t="shared" ref="K21:AA21" si="28">SUBTOTAL(109,K22:K31)</f>
        <v>0</v>
      </c>
      <c r="L21" s="11">
        <f t="shared" si="28"/>
        <v>170947</v>
      </c>
      <c r="M21" s="11">
        <f t="shared" si="28"/>
        <v>178109</v>
      </c>
      <c r="N21" s="11">
        <f t="shared" si="28"/>
        <v>163789</v>
      </c>
      <c r="O21" s="11">
        <f t="shared" si="28"/>
        <v>14320</v>
      </c>
      <c r="P21" s="11">
        <f t="shared" si="28"/>
        <v>29482</v>
      </c>
      <c r="Q21" s="11">
        <f t="shared" si="28"/>
        <v>0</v>
      </c>
      <c r="R21" s="11">
        <f t="shared" si="28"/>
        <v>16892</v>
      </c>
      <c r="S21" s="11">
        <f t="shared" si="28"/>
        <v>13392</v>
      </c>
      <c r="T21" s="11">
        <f t="shared" si="28"/>
        <v>14316</v>
      </c>
      <c r="U21" s="11">
        <f t="shared" si="28"/>
        <v>0</v>
      </c>
      <c r="V21" s="11">
        <f t="shared" si="28"/>
        <v>69004</v>
      </c>
      <c r="W21" s="11">
        <f t="shared" si="28"/>
        <v>69004</v>
      </c>
      <c r="X21" s="11"/>
      <c r="Y21" s="11">
        <f t="shared" si="28"/>
        <v>61712</v>
      </c>
      <c r="Z21" s="11">
        <f t="shared" si="28"/>
        <v>47392</v>
      </c>
      <c r="AA21" s="11">
        <f t="shared" si="28"/>
        <v>14320</v>
      </c>
      <c r="AB21" s="45"/>
      <c r="AC21" s="27"/>
    </row>
    <row r="22" spans="1:29" ht="42.75">
      <c r="A22" s="43"/>
      <c r="B22" s="32" t="s">
        <v>30</v>
      </c>
      <c r="C22" s="32"/>
      <c r="D22" s="43"/>
      <c r="E22" s="43"/>
      <c r="F22" s="44"/>
      <c r="G22" s="11">
        <f>SUBTOTAL(109,G23:G31)</f>
        <v>129289</v>
      </c>
      <c r="H22" s="11">
        <f>SUBTOTAL(109,H23:H31)</f>
        <v>48820</v>
      </c>
      <c r="I22" s="11"/>
      <c r="J22" s="11"/>
      <c r="K22" s="11"/>
      <c r="L22" s="11">
        <f t="shared" ref="L22:AA22" si="29">SUBTOTAL(109,L23:L31)</f>
        <v>170947</v>
      </c>
      <c r="M22" s="11">
        <f t="shared" si="29"/>
        <v>178109</v>
      </c>
      <c r="N22" s="11">
        <f t="shared" si="29"/>
        <v>163789</v>
      </c>
      <c r="O22" s="11">
        <f t="shared" si="29"/>
        <v>14320</v>
      </c>
      <c r="P22" s="11">
        <f t="shared" si="29"/>
        <v>29482</v>
      </c>
      <c r="Q22" s="11">
        <f t="shared" si="29"/>
        <v>0</v>
      </c>
      <c r="R22" s="11">
        <f t="shared" si="29"/>
        <v>16892</v>
      </c>
      <c r="S22" s="11">
        <f t="shared" si="29"/>
        <v>13392</v>
      </c>
      <c r="T22" s="11">
        <f t="shared" si="29"/>
        <v>14316</v>
      </c>
      <c r="U22" s="11">
        <f t="shared" si="29"/>
        <v>0</v>
      </c>
      <c r="V22" s="11">
        <f t="shared" si="29"/>
        <v>69004</v>
      </c>
      <c r="W22" s="11">
        <f t="shared" si="29"/>
        <v>69004</v>
      </c>
      <c r="X22" s="11"/>
      <c r="Y22" s="11">
        <f t="shared" si="29"/>
        <v>61712</v>
      </c>
      <c r="Z22" s="11">
        <f t="shared" si="29"/>
        <v>47392</v>
      </c>
      <c r="AA22" s="11">
        <f t="shared" si="29"/>
        <v>14320</v>
      </c>
      <c r="AB22" s="45"/>
      <c r="AC22" s="27"/>
    </row>
    <row r="23" spans="1:29" ht="30">
      <c r="A23" s="2" t="s">
        <v>10</v>
      </c>
      <c r="B23" s="3" t="s">
        <v>31</v>
      </c>
      <c r="C23" s="3"/>
      <c r="D23" s="4" t="s">
        <v>32</v>
      </c>
      <c r="E23" s="2"/>
      <c r="F23" s="47"/>
      <c r="G23" s="1">
        <f>SUBTOTAL(109,G24:G28)</f>
        <v>93789</v>
      </c>
      <c r="H23" s="1">
        <f t="shared" ref="H23" si="30">SUBTOTAL(109,H24:H28)</f>
        <v>48820</v>
      </c>
      <c r="I23" s="1"/>
      <c r="J23" s="1">
        <f>SUBTOTAL(109,J24:J28)</f>
        <v>1432.9150000000002</v>
      </c>
      <c r="K23" s="19"/>
      <c r="L23" s="1">
        <f t="shared" ref="L23:Q23" si="31">SUBTOTAL(109,L24:L28)</f>
        <v>135447</v>
      </c>
      <c r="M23" s="1">
        <f t="shared" si="31"/>
        <v>142609</v>
      </c>
      <c r="N23" s="1">
        <f t="shared" si="31"/>
        <v>142609</v>
      </c>
      <c r="O23" s="1"/>
      <c r="P23" s="1">
        <f t="shared" si="31"/>
        <v>24266</v>
      </c>
      <c r="Q23" s="1">
        <f t="shared" si="31"/>
        <v>0</v>
      </c>
      <c r="R23" s="1"/>
      <c r="S23" s="1"/>
      <c r="T23" s="1"/>
      <c r="U23" s="1"/>
      <c r="V23" s="1">
        <f>SUBTOTAL(109,V24:V28)</f>
        <v>52860</v>
      </c>
      <c r="W23" s="1">
        <f>SUBTOTAL(109,W24:W28)</f>
        <v>52860</v>
      </c>
      <c r="X23" s="1"/>
      <c r="Y23" s="1">
        <f t="shared" ref="Y23:Z23" si="32">SUBTOTAL(109,Y24:Y28)</f>
        <v>42356</v>
      </c>
      <c r="Z23" s="1">
        <f t="shared" si="32"/>
        <v>42356</v>
      </c>
      <c r="AA23" s="1"/>
      <c r="AB23" s="47"/>
      <c r="AC23" s="27"/>
    </row>
    <row r="24" spans="1:29" ht="15.75">
      <c r="A24" s="2">
        <v>1</v>
      </c>
      <c r="B24" s="3" t="s">
        <v>12</v>
      </c>
      <c r="C24" s="3"/>
      <c r="D24" s="2" t="s">
        <v>14</v>
      </c>
      <c r="E24" s="2"/>
      <c r="F24" s="44"/>
      <c r="G24" s="37">
        <v>23126</v>
      </c>
      <c r="H24" s="1">
        <f>M24-G24</f>
        <v>12044</v>
      </c>
      <c r="I24" s="44"/>
      <c r="J24" s="1">
        <f>3*100+2*10+((35.93+45.45+29.76)*0.3)</f>
        <v>353.34199999999998</v>
      </c>
      <c r="K24" s="1"/>
      <c r="L24" s="1">
        <v>33400</v>
      </c>
      <c r="M24" s="1">
        <f t="shared" si="11"/>
        <v>35170</v>
      </c>
      <c r="N24" s="1">
        <f>ROUND((163789-21180)/$J$23*J24,-1)</f>
        <v>35170</v>
      </c>
      <c r="O24" s="1"/>
      <c r="P24" s="1">
        <v>5983</v>
      </c>
      <c r="Q24" s="1"/>
      <c r="R24" s="1">
        <f>J24*$R$23/$J$23</f>
        <v>0</v>
      </c>
      <c r="S24" s="1">
        <f>J24*$S$23/$J$23</f>
        <v>0</v>
      </c>
      <c r="T24" s="1"/>
      <c r="U24" s="1"/>
      <c r="V24" s="1">
        <f>W24+X24</f>
        <v>13034</v>
      </c>
      <c r="W24" s="1">
        <f>5983+7051</f>
        <v>13034</v>
      </c>
      <c r="X24" s="1"/>
      <c r="Y24" s="1">
        <f>Z24+AA24</f>
        <v>10440</v>
      </c>
      <c r="Z24" s="1">
        <f>ROUND((47392-5036)/$J$23*J24,-1)</f>
        <v>10440</v>
      </c>
      <c r="AA24" s="1"/>
      <c r="AB24" s="68" t="s">
        <v>27</v>
      </c>
      <c r="AC24" s="27"/>
    </row>
    <row r="25" spans="1:29" ht="15.75">
      <c r="A25" s="2">
        <v>2</v>
      </c>
      <c r="B25" s="3" t="s">
        <v>15</v>
      </c>
      <c r="C25" s="3"/>
      <c r="D25" s="4" t="s">
        <v>33</v>
      </c>
      <c r="E25" s="2"/>
      <c r="F25" s="44"/>
      <c r="G25" s="37">
        <v>11792</v>
      </c>
      <c r="H25" s="1">
        <f t="shared" ref="H25:H28" si="33">M25-G25</f>
        <v>6138</v>
      </c>
      <c r="I25" s="44"/>
      <c r="J25" s="1">
        <f>1*100+1*10+4*15+33.91*0.3</f>
        <v>180.173</v>
      </c>
      <c r="K25" s="1"/>
      <c r="L25" s="1">
        <v>17031</v>
      </c>
      <c r="M25" s="1">
        <f t="shared" si="11"/>
        <v>17930</v>
      </c>
      <c r="N25" s="1">
        <f>ROUND((163789-21180)/$J$23*J25,-1)</f>
        <v>17930</v>
      </c>
      <c r="O25" s="1"/>
      <c r="P25" s="1">
        <v>3051</v>
      </c>
      <c r="Q25" s="1"/>
      <c r="R25" s="1">
        <f>J25*$R$23/$J$23</f>
        <v>0</v>
      </c>
      <c r="S25" s="1">
        <f>J25*$S$23/$J$23</f>
        <v>0</v>
      </c>
      <c r="T25" s="1"/>
      <c r="U25" s="1"/>
      <c r="V25" s="1">
        <f t="shared" ref="V25:V28" si="34">W25+X25</f>
        <v>6646</v>
      </c>
      <c r="W25" s="1">
        <f>3051+3595</f>
        <v>6646</v>
      </c>
      <c r="X25" s="1"/>
      <c r="Y25" s="1">
        <f t="shared" ref="Y25:Y28" si="35">Z25+AA25</f>
        <v>5330</v>
      </c>
      <c r="Z25" s="1">
        <f>ROUND((47392-5036)/$J$23*J25,-1)</f>
        <v>5330</v>
      </c>
      <c r="AA25" s="1"/>
      <c r="AB25" s="68"/>
      <c r="AC25" s="27"/>
    </row>
    <row r="26" spans="1:29" ht="15.75">
      <c r="A26" s="2">
        <v>3</v>
      </c>
      <c r="B26" s="3" t="s">
        <v>17</v>
      </c>
      <c r="C26" s="3"/>
      <c r="D26" s="4" t="s">
        <v>34</v>
      </c>
      <c r="E26" s="2"/>
      <c r="F26" s="44"/>
      <c r="G26" s="37">
        <v>18677</v>
      </c>
      <c r="H26" s="1">
        <f t="shared" si="33"/>
        <v>9713</v>
      </c>
      <c r="I26" s="44"/>
      <c r="J26" s="1">
        <f>2*100+1*10+2*15+(72.6+78.4)*0.3</f>
        <v>285.3</v>
      </c>
      <c r="K26" s="1"/>
      <c r="L26" s="1">
        <v>26968</v>
      </c>
      <c r="M26" s="1">
        <f t="shared" si="11"/>
        <v>28390</v>
      </c>
      <c r="N26" s="1">
        <f>ROUND((163789-21180)/$J$23*J26,-1)</f>
        <v>28390</v>
      </c>
      <c r="O26" s="1"/>
      <c r="P26" s="1">
        <v>4832</v>
      </c>
      <c r="Q26" s="1"/>
      <c r="R26" s="1">
        <f>J26*$R$23/$J$23</f>
        <v>0</v>
      </c>
      <c r="S26" s="1">
        <f>J26*$S$23/$J$23</f>
        <v>0</v>
      </c>
      <c r="T26" s="1"/>
      <c r="U26" s="1"/>
      <c r="V26" s="1">
        <f t="shared" si="34"/>
        <v>10526</v>
      </c>
      <c r="W26" s="1">
        <f>4832+5694</f>
        <v>10526</v>
      </c>
      <c r="X26" s="1"/>
      <c r="Y26" s="1">
        <f t="shared" si="35"/>
        <v>8430</v>
      </c>
      <c r="Z26" s="1">
        <f>ROUND((47392-5036)/$J$23*J26,-1)</f>
        <v>8430</v>
      </c>
      <c r="AA26" s="1"/>
      <c r="AB26" s="68"/>
      <c r="AC26" s="27"/>
    </row>
    <row r="27" spans="1:29" ht="15.75">
      <c r="A27" s="2">
        <v>4</v>
      </c>
      <c r="B27" s="3" t="s">
        <v>19</v>
      </c>
      <c r="C27" s="3"/>
      <c r="D27" s="2" t="s">
        <v>35</v>
      </c>
      <c r="E27" s="2"/>
      <c r="F27" s="44"/>
      <c r="G27" s="37">
        <v>32735</v>
      </c>
      <c r="H27" s="1">
        <f t="shared" si="33"/>
        <v>17045</v>
      </c>
      <c r="I27" s="44"/>
      <c r="J27" s="1">
        <f>4*100+4*10+(79.13+81.56+18.93+20.88)*0.3</f>
        <v>500.15</v>
      </c>
      <c r="K27" s="1"/>
      <c r="L27" s="1">
        <v>47277</v>
      </c>
      <c r="M27" s="1">
        <f t="shared" si="11"/>
        <v>49780</v>
      </c>
      <c r="N27" s="1">
        <f>ROUND((163789-21180)/$J$23*J27,-1)</f>
        <v>49780</v>
      </c>
      <c r="O27" s="1"/>
      <c r="P27" s="1">
        <v>8470</v>
      </c>
      <c r="Q27" s="1"/>
      <c r="R27" s="1">
        <f>J27*$R$23/$J$23</f>
        <v>0</v>
      </c>
      <c r="S27" s="1">
        <f>J27*$S$23/$J$23</f>
        <v>0</v>
      </c>
      <c r="T27" s="1"/>
      <c r="U27" s="1"/>
      <c r="V27" s="1">
        <f t="shared" si="34"/>
        <v>18450</v>
      </c>
      <c r="W27" s="1">
        <f>8470+9980</f>
        <v>18450</v>
      </c>
      <c r="X27" s="1"/>
      <c r="Y27" s="1">
        <f t="shared" si="35"/>
        <v>14780</v>
      </c>
      <c r="Z27" s="1">
        <f>ROUND((47392-5036)/$J$23*J27,-1)</f>
        <v>14780</v>
      </c>
      <c r="AA27" s="1"/>
      <c r="AB27" s="68"/>
      <c r="AC27" s="27"/>
    </row>
    <row r="28" spans="1:29" ht="15.75">
      <c r="A28" s="2">
        <v>5</v>
      </c>
      <c r="B28" s="3" t="s">
        <v>21</v>
      </c>
      <c r="C28" s="3"/>
      <c r="D28" s="2" t="s">
        <v>36</v>
      </c>
      <c r="E28" s="2"/>
      <c r="F28" s="44"/>
      <c r="G28" s="39">
        <v>7459</v>
      </c>
      <c r="H28" s="1">
        <f t="shared" si="33"/>
        <v>3880</v>
      </c>
      <c r="I28" s="44"/>
      <c r="J28" s="1">
        <f>1*100+ 46.5*0.3</f>
        <v>113.95</v>
      </c>
      <c r="K28" s="1"/>
      <c r="L28" s="1">
        <v>10771</v>
      </c>
      <c r="M28" s="1">
        <f t="shared" si="11"/>
        <v>11339</v>
      </c>
      <c r="N28" s="1">
        <f>ROUND((163789-21180)/$J$23*J28,-1)-1</f>
        <v>11339</v>
      </c>
      <c r="O28" s="1"/>
      <c r="P28" s="1">
        <v>1930</v>
      </c>
      <c r="Q28" s="1"/>
      <c r="R28" s="1">
        <f>J28*$R$23/$J$23</f>
        <v>0</v>
      </c>
      <c r="S28" s="1">
        <f>J28*$S$23/$J$23</f>
        <v>0</v>
      </c>
      <c r="T28" s="1"/>
      <c r="U28" s="1"/>
      <c r="V28" s="1">
        <f t="shared" si="34"/>
        <v>4204</v>
      </c>
      <c r="W28" s="1">
        <f>1930+2274</f>
        <v>4204</v>
      </c>
      <c r="X28" s="1"/>
      <c r="Y28" s="1">
        <f t="shared" si="35"/>
        <v>3376</v>
      </c>
      <c r="Z28" s="1">
        <f>ROUND((47392-5036)/$J$23*J28,-1)+6</f>
        <v>3376</v>
      </c>
      <c r="AA28" s="1"/>
      <c r="AB28" s="68"/>
      <c r="AC28" s="27"/>
    </row>
    <row r="29" spans="1:29" ht="30">
      <c r="A29" s="2" t="s">
        <v>23</v>
      </c>
      <c r="B29" s="3" t="s">
        <v>37</v>
      </c>
      <c r="C29" s="3"/>
      <c r="D29" s="2"/>
      <c r="E29" s="2"/>
      <c r="F29" s="47"/>
      <c r="G29" s="1">
        <f t="shared" ref="G29:AA29" si="36">SUBTOTAL(109,G30:G31)</f>
        <v>35500</v>
      </c>
      <c r="H29" s="1"/>
      <c r="I29" s="1"/>
      <c r="J29" s="1">
        <f t="shared" si="36"/>
        <v>0</v>
      </c>
      <c r="K29" s="1">
        <f t="shared" si="36"/>
        <v>0</v>
      </c>
      <c r="L29" s="1">
        <f t="shared" si="36"/>
        <v>35500</v>
      </c>
      <c r="M29" s="1">
        <f t="shared" si="36"/>
        <v>35500</v>
      </c>
      <c r="N29" s="1">
        <f t="shared" si="36"/>
        <v>21180</v>
      </c>
      <c r="O29" s="1">
        <f t="shared" si="36"/>
        <v>14320</v>
      </c>
      <c r="P29" s="1">
        <f t="shared" si="36"/>
        <v>5216</v>
      </c>
      <c r="Q29" s="1">
        <f t="shared" si="36"/>
        <v>0</v>
      </c>
      <c r="R29" s="1">
        <f t="shared" si="36"/>
        <v>16892</v>
      </c>
      <c r="S29" s="1">
        <f t="shared" si="36"/>
        <v>13392</v>
      </c>
      <c r="T29" s="1">
        <f t="shared" si="36"/>
        <v>14316</v>
      </c>
      <c r="U29" s="1">
        <f t="shared" si="36"/>
        <v>0</v>
      </c>
      <c r="V29" s="1">
        <f t="shared" si="36"/>
        <v>16144</v>
      </c>
      <c r="W29" s="1">
        <f t="shared" si="36"/>
        <v>16144</v>
      </c>
      <c r="X29" s="1"/>
      <c r="Y29" s="1">
        <f t="shared" si="36"/>
        <v>19356</v>
      </c>
      <c r="Z29" s="1">
        <f t="shared" si="36"/>
        <v>5036</v>
      </c>
      <c r="AA29" s="1">
        <f t="shared" si="36"/>
        <v>14320</v>
      </c>
      <c r="AB29" s="47"/>
      <c r="AC29" s="27"/>
    </row>
    <row r="30" spans="1:29" ht="45">
      <c r="A30" s="2">
        <v>1</v>
      </c>
      <c r="B30" s="3" t="s">
        <v>38</v>
      </c>
      <c r="C30" s="3" t="s">
        <v>96</v>
      </c>
      <c r="D30" s="2" t="s">
        <v>39</v>
      </c>
      <c r="E30" s="2"/>
      <c r="F30" s="44" t="s">
        <v>40</v>
      </c>
      <c r="G30" s="37">
        <v>5500</v>
      </c>
      <c r="H30" s="44"/>
      <c r="I30" s="44"/>
      <c r="J30" s="19"/>
      <c r="K30" s="1"/>
      <c r="L30" s="1">
        <v>5500</v>
      </c>
      <c r="M30" s="1">
        <f t="shared" si="11"/>
        <v>5500</v>
      </c>
      <c r="N30" s="1">
        <v>4400</v>
      </c>
      <c r="O30" s="1">
        <v>1100</v>
      </c>
      <c r="P30" s="1">
        <v>2000</v>
      </c>
      <c r="Q30" s="1"/>
      <c r="R30" s="1">
        <f>L30-(P30+Q30)</f>
        <v>3500</v>
      </c>
      <c r="S30" s="1"/>
      <c r="T30" s="1">
        <v>1100</v>
      </c>
      <c r="U30" s="1"/>
      <c r="V30" s="1">
        <f>W30+X30</f>
        <v>4000</v>
      </c>
      <c r="W30" s="1">
        <f>2000+2000</f>
        <v>4000</v>
      </c>
      <c r="X30" s="1"/>
      <c r="Y30" s="1">
        <f>Z30+AA30</f>
        <v>1500</v>
      </c>
      <c r="Z30" s="1">
        <f>N30-W30</f>
        <v>400</v>
      </c>
      <c r="AA30" s="1">
        <f>O30</f>
        <v>1100</v>
      </c>
      <c r="AB30" s="44" t="s">
        <v>18</v>
      </c>
      <c r="AC30" s="27"/>
    </row>
    <row r="31" spans="1:29" ht="45">
      <c r="A31" s="34">
        <v>2</v>
      </c>
      <c r="B31" s="35" t="s">
        <v>41</v>
      </c>
      <c r="C31" s="35" t="s">
        <v>97</v>
      </c>
      <c r="D31" s="2" t="s">
        <v>86</v>
      </c>
      <c r="E31" s="17"/>
      <c r="F31" s="44" t="s">
        <v>40</v>
      </c>
      <c r="G31" s="40">
        <v>30000</v>
      </c>
      <c r="H31" s="44"/>
      <c r="I31" s="44"/>
      <c r="J31" s="19"/>
      <c r="K31" s="1"/>
      <c r="L31" s="1">
        <v>30000</v>
      </c>
      <c r="M31" s="1">
        <f t="shared" si="11"/>
        <v>30000</v>
      </c>
      <c r="N31" s="1">
        <v>16780</v>
      </c>
      <c r="O31" s="1">
        <v>13220</v>
      </c>
      <c r="P31" s="1">
        <v>3216</v>
      </c>
      <c r="Q31" s="1"/>
      <c r="R31" s="1">
        <f>(L31-P31-Q31)/2</f>
        <v>13392</v>
      </c>
      <c r="S31" s="1">
        <f>R31</f>
        <v>13392</v>
      </c>
      <c r="T31" s="1">
        <v>13216</v>
      </c>
      <c r="U31" s="1"/>
      <c r="V31" s="1">
        <f>W31+X31</f>
        <v>12144</v>
      </c>
      <c r="W31" s="1">
        <f>3216+8928</f>
        <v>12144</v>
      </c>
      <c r="X31" s="1"/>
      <c r="Y31" s="1">
        <f>Z31+AA31</f>
        <v>17856</v>
      </c>
      <c r="Z31" s="1">
        <f>N31-W31</f>
        <v>4636</v>
      </c>
      <c r="AA31" s="1">
        <f>O31</f>
        <v>13220</v>
      </c>
      <c r="AB31" s="36" t="s">
        <v>13</v>
      </c>
      <c r="AC31" s="27"/>
    </row>
    <row r="32" spans="1:29" s="12" customFormat="1" ht="28.5">
      <c r="A32" s="43" t="s">
        <v>44</v>
      </c>
      <c r="B32" s="9" t="s">
        <v>45</v>
      </c>
      <c r="C32" s="9"/>
      <c r="D32" s="46"/>
      <c r="E32" s="10"/>
      <c r="F32" s="45"/>
      <c r="G32" s="11">
        <f t="shared" ref="G32:Z32" si="37">SUBTOTAL(109,G33:G39)</f>
        <v>47000</v>
      </c>
      <c r="H32" s="11">
        <f t="shared" si="37"/>
        <v>7737</v>
      </c>
      <c r="I32" s="11"/>
      <c r="J32" s="11">
        <f t="shared" si="37"/>
        <v>664.41199999999992</v>
      </c>
      <c r="K32" s="11">
        <f t="shared" si="37"/>
        <v>0</v>
      </c>
      <c r="L32" s="11">
        <f t="shared" si="37"/>
        <v>54737</v>
      </c>
      <c r="M32" s="11">
        <f t="shared" si="37"/>
        <v>54737</v>
      </c>
      <c r="N32" s="11">
        <f t="shared" si="37"/>
        <v>54737</v>
      </c>
      <c r="O32" s="11"/>
      <c r="P32" s="11">
        <f t="shared" si="37"/>
        <v>9853</v>
      </c>
      <c r="Q32" s="11">
        <f t="shared" si="37"/>
        <v>0</v>
      </c>
      <c r="R32" s="11">
        <f t="shared" si="37"/>
        <v>37514</v>
      </c>
      <c r="S32" s="11">
        <f t="shared" si="37"/>
        <v>7370</v>
      </c>
      <c r="T32" s="11">
        <f t="shared" si="37"/>
        <v>0</v>
      </c>
      <c r="U32" s="11">
        <f t="shared" si="37"/>
        <v>0</v>
      </c>
      <c r="V32" s="11">
        <f t="shared" si="37"/>
        <v>23061</v>
      </c>
      <c r="W32" s="11">
        <f t="shared" si="37"/>
        <v>23061</v>
      </c>
      <c r="X32" s="11"/>
      <c r="Y32" s="11">
        <f t="shared" si="37"/>
        <v>25680</v>
      </c>
      <c r="Z32" s="11">
        <f t="shared" si="37"/>
        <v>25680</v>
      </c>
      <c r="AA32" s="11"/>
      <c r="AB32" s="11"/>
      <c r="AC32" s="27"/>
    </row>
    <row r="33" spans="1:29" s="12" customFormat="1" ht="71.25">
      <c r="A33" s="43"/>
      <c r="B33" s="9" t="s">
        <v>46</v>
      </c>
      <c r="C33" s="9"/>
      <c r="D33" s="46"/>
      <c r="E33" s="10"/>
      <c r="F33" s="45"/>
      <c r="G33" s="11">
        <f t="shared" ref="G33:Z33" si="38">SUBTOTAL(109,G34:G39)</f>
        <v>47000</v>
      </c>
      <c r="H33" s="11">
        <f t="shared" si="38"/>
        <v>7737</v>
      </c>
      <c r="I33" s="11"/>
      <c r="J33" s="11">
        <f t="shared" si="38"/>
        <v>664.41199999999992</v>
      </c>
      <c r="K33" s="11">
        <f t="shared" si="38"/>
        <v>0</v>
      </c>
      <c r="L33" s="11">
        <f t="shared" si="38"/>
        <v>54737</v>
      </c>
      <c r="M33" s="11">
        <f t="shared" si="38"/>
        <v>54737</v>
      </c>
      <c r="N33" s="11">
        <f t="shared" si="38"/>
        <v>54737</v>
      </c>
      <c r="O33" s="11"/>
      <c r="P33" s="11">
        <f t="shared" si="38"/>
        <v>9853</v>
      </c>
      <c r="Q33" s="11">
        <f t="shared" si="38"/>
        <v>0</v>
      </c>
      <c r="R33" s="11">
        <f t="shared" si="38"/>
        <v>37514</v>
      </c>
      <c r="S33" s="11">
        <f t="shared" si="38"/>
        <v>7370</v>
      </c>
      <c r="T33" s="11">
        <f t="shared" si="38"/>
        <v>0</v>
      </c>
      <c r="U33" s="11">
        <f t="shared" si="38"/>
        <v>0</v>
      </c>
      <c r="V33" s="11">
        <f t="shared" si="38"/>
        <v>23061</v>
      </c>
      <c r="W33" s="11">
        <f t="shared" si="38"/>
        <v>23061</v>
      </c>
      <c r="X33" s="11"/>
      <c r="Y33" s="11">
        <f t="shared" si="38"/>
        <v>25680</v>
      </c>
      <c r="Z33" s="11">
        <f t="shared" si="38"/>
        <v>25680</v>
      </c>
      <c r="AA33" s="11"/>
      <c r="AB33" s="11"/>
      <c r="AC33" s="27"/>
    </row>
    <row r="34" spans="1:29" s="12" customFormat="1" ht="45">
      <c r="A34" s="2">
        <v>1</v>
      </c>
      <c r="B34" s="14" t="s">
        <v>73</v>
      </c>
      <c r="C34" s="14" t="s">
        <v>98</v>
      </c>
      <c r="D34" s="4"/>
      <c r="E34" s="10"/>
      <c r="F34" s="44" t="s">
        <v>40</v>
      </c>
      <c r="G34" s="38">
        <v>7000</v>
      </c>
      <c r="H34" s="1">
        <f>M34-G34</f>
        <v>0</v>
      </c>
      <c r="I34" s="44"/>
      <c r="J34" s="1">
        <v>85</v>
      </c>
      <c r="K34" s="1"/>
      <c r="L34" s="1">
        <f t="shared" ref="L34:L39" si="39">N34+T34</f>
        <v>7000</v>
      </c>
      <c r="M34" s="1">
        <f t="shared" si="11"/>
        <v>7000</v>
      </c>
      <c r="N34" s="1">
        <v>7000</v>
      </c>
      <c r="O34" s="1"/>
      <c r="P34" s="1">
        <v>1921</v>
      </c>
      <c r="Q34" s="1"/>
      <c r="R34" s="1">
        <f>(N34-P34-Q34)</f>
        <v>5079</v>
      </c>
      <c r="S34" s="1"/>
      <c r="T34" s="1"/>
      <c r="U34" s="1"/>
      <c r="V34" s="1">
        <f>W34+X34</f>
        <v>3779</v>
      </c>
      <c r="W34" s="1">
        <f>1921+1858</f>
        <v>3779</v>
      </c>
      <c r="X34" s="1"/>
      <c r="Y34" s="1">
        <f>Z34+AA34</f>
        <v>3221</v>
      </c>
      <c r="Z34" s="1">
        <f>M34-V34</f>
        <v>3221</v>
      </c>
      <c r="AA34" s="1"/>
      <c r="AB34" s="44" t="s">
        <v>16</v>
      </c>
      <c r="AC34" s="27"/>
    </row>
    <row r="35" spans="1:29" s="12" customFormat="1" ht="45">
      <c r="A35" s="2">
        <v>2</v>
      </c>
      <c r="B35" s="14" t="s">
        <v>74</v>
      </c>
      <c r="C35" s="14" t="s">
        <v>96</v>
      </c>
      <c r="D35" s="4"/>
      <c r="E35" s="10"/>
      <c r="F35" s="44" t="s">
        <v>40</v>
      </c>
      <c r="G35" s="38">
        <v>7000</v>
      </c>
      <c r="H35" s="1">
        <f t="shared" ref="H35:H39" si="40">M35-G35</f>
        <v>0</v>
      </c>
      <c r="I35" s="44"/>
      <c r="J35" s="1">
        <v>85</v>
      </c>
      <c r="K35" s="1"/>
      <c r="L35" s="1">
        <f t="shared" si="39"/>
        <v>7000</v>
      </c>
      <c r="M35" s="1">
        <f t="shared" si="11"/>
        <v>7000</v>
      </c>
      <c r="N35" s="1">
        <v>7000</v>
      </c>
      <c r="O35" s="1"/>
      <c r="P35" s="1">
        <v>1921</v>
      </c>
      <c r="Q35" s="1"/>
      <c r="R35" s="1">
        <f t="shared" ref="R35:R38" si="41">(N35-P35-Q35)</f>
        <v>5079</v>
      </c>
      <c r="S35" s="1"/>
      <c r="T35" s="1"/>
      <c r="U35" s="1"/>
      <c r="V35" s="1">
        <f t="shared" ref="V35:V39" si="42">W35+X35</f>
        <v>3779</v>
      </c>
      <c r="W35" s="1">
        <f>1921+1858</f>
        <v>3779</v>
      </c>
      <c r="X35" s="1"/>
      <c r="Y35" s="1">
        <f t="shared" ref="Y35:Y39" si="43">Z35+AA35</f>
        <v>3221</v>
      </c>
      <c r="Z35" s="1">
        <f t="shared" ref="Z35:Z38" si="44">M35-V35</f>
        <v>3221</v>
      </c>
      <c r="AA35" s="1"/>
      <c r="AB35" s="44" t="s">
        <v>87</v>
      </c>
      <c r="AC35" s="27"/>
    </row>
    <row r="36" spans="1:29" s="12" customFormat="1" ht="30">
      <c r="A36" s="2">
        <v>3</v>
      </c>
      <c r="B36" s="14" t="s">
        <v>75</v>
      </c>
      <c r="C36" s="14" t="s">
        <v>99</v>
      </c>
      <c r="D36" s="4"/>
      <c r="E36" s="10"/>
      <c r="F36" s="44" t="s">
        <v>40</v>
      </c>
      <c r="G36" s="38">
        <v>7000</v>
      </c>
      <c r="H36" s="1">
        <f t="shared" si="40"/>
        <v>0</v>
      </c>
      <c r="I36" s="44"/>
      <c r="J36" s="1">
        <v>85</v>
      </c>
      <c r="K36" s="1"/>
      <c r="L36" s="1">
        <f t="shared" si="39"/>
        <v>7000</v>
      </c>
      <c r="M36" s="1">
        <f t="shared" si="11"/>
        <v>7000</v>
      </c>
      <c r="N36" s="1">
        <v>7000</v>
      </c>
      <c r="O36" s="1"/>
      <c r="P36" s="1">
        <v>1921</v>
      </c>
      <c r="Q36" s="1"/>
      <c r="R36" s="1">
        <f t="shared" si="41"/>
        <v>5079</v>
      </c>
      <c r="S36" s="1"/>
      <c r="T36" s="1"/>
      <c r="U36" s="1"/>
      <c r="V36" s="1">
        <f t="shared" si="42"/>
        <v>3779</v>
      </c>
      <c r="W36" s="1">
        <f>1921+1858</f>
        <v>3779</v>
      </c>
      <c r="X36" s="1"/>
      <c r="Y36" s="1">
        <f t="shared" si="43"/>
        <v>3221</v>
      </c>
      <c r="Z36" s="1">
        <f t="shared" si="44"/>
        <v>3221</v>
      </c>
      <c r="AA36" s="1"/>
      <c r="AB36" s="44" t="s">
        <v>20</v>
      </c>
      <c r="AC36" s="27"/>
    </row>
    <row r="37" spans="1:29" s="12" customFormat="1" ht="45">
      <c r="A37" s="2">
        <v>4</v>
      </c>
      <c r="B37" s="14" t="s">
        <v>76</v>
      </c>
      <c r="C37" s="14" t="s">
        <v>95</v>
      </c>
      <c r="D37" s="4"/>
      <c r="E37" s="10"/>
      <c r="F37" s="44" t="s">
        <v>40</v>
      </c>
      <c r="G37" s="38">
        <v>7000</v>
      </c>
      <c r="H37" s="1">
        <f t="shared" si="40"/>
        <v>0</v>
      </c>
      <c r="I37" s="44"/>
      <c r="J37" s="1">
        <v>85.063999999999993</v>
      </c>
      <c r="K37" s="1"/>
      <c r="L37" s="1">
        <f t="shared" si="39"/>
        <v>7000</v>
      </c>
      <c r="M37" s="1">
        <f t="shared" si="11"/>
        <v>7000</v>
      </c>
      <c r="N37" s="1">
        <v>7000</v>
      </c>
      <c r="O37" s="1"/>
      <c r="P37" s="1">
        <v>1920</v>
      </c>
      <c r="Q37" s="1"/>
      <c r="R37" s="1">
        <f t="shared" si="41"/>
        <v>5080</v>
      </c>
      <c r="S37" s="1"/>
      <c r="T37" s="1"/>
      <c r="U37" s="1"/>
      <c r="V37" s="1">
        <f t="shared" si="42"/>
        <v>3778</v>
      </c>
      <c r="W37" s="1">
        <f>1920+1858</f>
        <v>3778</v>
      </c>
      <c r="X37" s="1"/>
      <c r="Y37" s="1">
        <f t="shared" si="43"/>
        <v>3222</v>
      </c>
      <c r="Z37" s="1">
        <f t="shared" si="44"/>
        <v>3222</v>
      </c>
      <c r="AA37" s="1"/>
      <c r="AB37" s="44" t="s">
        <v>22</v>
      </c>
      <c r="AC37" s="27"/>
    </row>
    <row r="38" spans="1:29" s="12" customFormat="1" ht="45">
      <c r="A38" s="2">
        <v>5</v>
      </c>
      <c r="B38" s="14" t="s">
        <v>77</v>
      </c>
      <c r="C38" s="14" t="s">
        <v>100</v>
      </c>
      <c r="D38" s="4"/>
      <c r="E38" s="10"/>
      <c r="F38" s="44" t="s">
        <v>40</v>
      </c>
      <c r="G38" s="38">
        <v>7000</v>
      </c>
      <c r="H38" s="1">
        <f t="shared" si="40"/>
        <v>4747</v>
      </c>
      <c r="I38" s="44"/>
      <c r="J38" s="1">
        <v>144</v>
      </c>
      <c r="K38" s="1"/>
      <c r="L38" s="1">
        <f t="shared" si="39"/>
        <v>11747</v>
      </c>
      <c r="M38" s="1">
        <f t="shared" si="11"/>
        <v>11747</v>
      </c>
      <c r="N38" s="1">
        <f>7000+4747</f>
        <v>11747</v>
      </c>
      <c r="O38" s="1"/>
      <c r="P38" s="1">
        <v>1920</v>
      </c>
      <c r="Q38" s="1"/>
      <c r="R38" s="1">
        <f t="shared" si="41"/>
        <v>9827</v>
      </c>
      <c r="S38" s="1"/>
      <c r="T38" s="1"/>
      <c r="U38" s="1"/>
      <c r="V38" s="1">
        <f t="shared" si="42"/>
        <v>3778</v>
      </c>
      <c r="W38" s="1">
        <f>1920+1858</f>
        <v>3778</v>
      </c>
      <c r="X38" s="1"/>
      <c r="Y38" s="1">
        <f t="shared" si="43"/>
        <v>7969</v>
      </c>
      <c r="Z38" s="1">
        <f t="shared" si="44"/>
        <v>7969</v>
      </c>
      <c r="AA38" s="1"/>
      <c r="AB38" s="44" t="s">
        <v>48</v>
      </c>
      <c r="AC38" s="27"/>
    </row>
    <row r="39" spans="1:29" s="12" customFormat="1" ht="30">
      <c r="A39" s="2">
        <v>6</v>
      </c>
      <c r="B39" s="16" t="s">
        <v>49</v>
      </c>
      <c r="C39" s="16" t="s">
        <v>101</v>
      </c>
      <c r="D39" s="4"/>
      <c r="E39" s="17"/>
      <c r="F39" s="44" t="s">
        <v>42</v>
      </c>
      <c r="G39" s="38">
        <v>12000</v>
      </c>
      <c r="H39" s="1">
        <f t="shared" si="40"/>
        <v>2990</v>
      </c>
      <c r="I39" s="44"/>
      <c r="J39" s="1">
        <v>180.34799999999998</v>
      </c>
      <c r="K39" s="1"/>
      <c r="L39" s="1">
        <f t="shared" si="39"/>
        <v>14990</v>
      </c>
      <c r="M39" s="1">
        <f t="shared" si="11"/>
        <v>14990</v>
      </c>
      <c r="N39" s="1">
        <f>12000+2990</f>
        <v>14990</v>
      </c>
      <c r="O39" s="1"/>
      <c r="P39" s="1">
        <v>250</v>
      </c>
      <c r="Q39" s="1"/>
      <c r="R39" s="1">
        <f>(N39-P39-Q39)/2</f>
        <v>7370</v>
      </c>
      <c r="S39" s="1">
        <f>R39</f>
        <v>7370</v>
      </c>
      <c r="T39" s="1"/>
      <c r="U39" s="1"/>
      <c r="V39" s="1">
        <f t="shared" si="42"/>
        <v>4168</v>
      </c>
      <c r="W39" s="1">
        <f>250+3918</f>
        <v>4168</v>
      </c>
      <c r="X39" s="1"/>
      <c r="Y39" s="1">
        <f t="shared" si="43"/>
        <v>4826</v>
      </c>
      <c r="Z39" s="1">
        <f>M39*60/100-V39</f>
        <v>4826</v>
      </c>
      <c r="AA39" s="1"/>
      <c r="AB39" s="44" t="s">
        <v>50</v>
      </c>
      <c r="AC39" s="27"/>
    </row>
    <row r="40" spans="1:29" s="12" customFormat="1" ht="42.75">
      <c r="A40" s="43" t="s">
        <v>51</v>
      </c>
      <c r="B40" s="9" t="s">
        <v>52</v>
      </c>
      <c r="C40" s="9"/>
      <c r="D40" s="46"/>
      <c r="E40" s="10"/>
      <c r="F40" s="44"/>
      <c r="G40" s="11"/>
      <c r="H40" s="11">
        <f>M40</f>
        <v>41425</v>
      </c>
      <c r="I40" s="11"/>
      <c r="J40" s="33">
        <f>J41+J42+J48+J49</f>
        <v>412</v>
      </c>
      <c r="K40" s="13">
        <f>N40/J40</f>
        <v>100.54611650485437</v>
      </c>
      <c r="L40" s="11">
        <f>SUBTOTAL(109,L41:L49)</f>
        <v>28925</v>
      </c>
      <c r="M40" s="11">
        <f>SUBTOTAL(109,M41:M51)</f>
        <v>41425</v>
      </c>
      <c r="N40" s="11">
        <f>SUBTOTAL(109,N41:N51)</f>
        <v>41425</v>
      </c>
      <c r="O40" s="11"/>
      <c r="P40" s="11">
        <f t="shared" ref="P40:W40" si="45">SUBTOTAL(109,P41:P51)</f>
        <v>5481</v>
      </c>
      <c r="Q40" s="11">
        <f t="shared" si="45"/>
        <v>10449.173913043478</v>
      </c>
      <c r="R40" s="11">
        <f t="shared" si="45"/>
        <v>6535</v>
      </c>
      <c r="S40" s="11">
        <f t="shared" si="45"/>
        <v>6535</v>
      </c>
      <c r="T40" s="11">
        <f t="shared" si="45"/>
        <v>0</v>
      </c>
      <c r="U40" s="11">
        <f t="shared" si="45"/>
        <v>0</v>
      </c>
      <c r="V40" s="11">
        <f t="shared" si="45"/>
        <v>15855</v>
      </c>
      <c r="W40" s="11">
        <f t="shared" si="45"/>
        <v>15855</v>
      </c>
      <c r="X40" s="11"/>
      <c r="Y40" s="11">
        <f>SUBTOTAL(109,Y41:Y51)</f>
        <v>13491</v>
      </c>
      <c r="Z40" s="11">
        <f>SUBTOTAL(109,Z41:Z51)</f>
        <v>13491</v>
      </c>
      <c r="AA40" s="11"/>
      <c r="AB40" s="45"/>
      <c r="AC40" s="27"/>
    </row>
    <row r="41" spans="1:29" ht="60" hidden="1">
      <c r="A41" s="2" t="s">
        <v>10</v>
      </c>
      <c r="B41" s="16" t="s">
        <v>53</v>
      </c>
      <c r="C41" s="16"/>
      <c r="D41" s="4" t="s">
        <v>54</v>
      </c>
      <c r="E41" s="17"/>
      <c r="F41" s="44"/>
      <c r="G41" s="44"/>
      <c r="H41" s="44"/>
      <c r="I41" s="44"/>
      <c r="J41" s="19">
        <f>2*7</f>
        <v>14</v>
      </c>
      <c r="K41" s="1"/>
      <c r="L41" s="1">
        <v>2258</v>
      </c>
      <c r="M41" s="1">
        <f t="shared" ref="M41:M60" si="46">N41+O41</f>
        <v>1460</v>
      </c>
      <c r="N41" s="1">
        <f>ROUND((42885)/$J$40*J41,-1)</f>
        <v>1460</v>
      </c>
      <c r="O41" s="1"/>
      <c r="P41" s="1">
        <v>2258</v>
      </c>
      <c r="Q41" s="1">
        <v>0</v>
      </c>
      <c r="R41" s="7"/>
      <c r="S41" s="7"/>
      <c r="T41" s="7">
        <f>L41-N41</f>
        <v>798</v>
      </c>
      <c r="U41" s="7"/>
      <c r="V41" s="1">
        <f>W41+X41</f>
        <v>1460</v>
      </c>
      <c r="W41" s="1">
        <v>1460</v>
      </c>
      <c r="X41" s="7"/>
      <c r="Y41" s="1">
        <f>Z41+AA41</f>
        <v>0</v>
      </c>
      <c r="Z41" s="7"/>
      <c r="AA41" s="1"/>
      <c r="AB41" s="44" t="s">
        <v>13</v>
      </c>
      <c r="AC41" s="27"/>
    </row>
    <row r="42" spans="1:29" ht="45">
      <c r="A42" s="2" t="s">
        <v>10</v>
      </c>
      <c r="B42" s="16" t="s">
        <v>55</v>
      </c>
      <c r="C42" s="16"/>
      <c r="D42" s="4" t="s">
        <v>72</v>
      </c>
      <c r="E42" s="17"/>
      <c r="F42" s="44"/>
      <c r="G42" s="44"/>
      <c r="H42" s="44"/>
      <c r="I42" s="44"/>
      <c r="J42" s="1">
        <f t="shared" ref="J42:K42" si="47">SUBTOTAL(109,J43:J47)</f>
        <v>158</v>
      </c>
      <c r="K42" s="1">
        <f t="shared" si="47"/>
        <v>0</v>
      </c>
      <c r="L42" s="1">
        <f>SUBTOTAL(109,L43:L47)</f>
        <v>16435</v>
      </c>
      <c r="M42" s="1">
        <f>SUBTOTAL(109,M43:M47)</f>
        <v>16435</v>
      </c>
      <c r="N42" s="1">
        <f>SUBTOTAL(109,N43:N47)</f>
        <v>16435</v>
      </c>
      <c r="O42" s="1"/>
      <c r="P42" s="1">
        <f t="shared" ref="P42:W42" si="48">SUBTOTAL(109,P43:P47)</f>
        <v>5481</v>
      </c>
      <c r="Q42" s="1">
        <f t="shared" si="48"/>
        <v>5938.7391304347821</v>
      </c>
      <c r="R42" s="1">
        <f t="shared" si="48"/>
        <v>2545.217391304348</v>
      </c>
      <c r="S42" s="1">
        <f t="shared" si="48"/>
        <v>2545.217391304348</v>
      </c>
      <c r="T42" s="1">
        <f t="shared" si="48"/>
        <v>0</v>
      </c>
      <c r="U42" s="1">
        <f t="shared" si="48"/>
        <v>0</v>
      </c>
      <c r="V42" s="1">
        <f t="shared" si="48"/>
        <v>11345</v>
      </c>
      <c r="W42" s="1">
        <f t="shared" si="48"/>
        <v>11345</v>
      </c>
      <c r="X42" s="1"/>
      <c r="Y42" s="1">
        <f t="shared" ref="Y42" si="49">SUBTOTAL(109,Y43:Y47)</f>
        <v>4761</v>
      </c>
      <c r="Z42" s="1">
        <f t="shared" ref="Z42" si="50">SUBTOTAL(109,Z43:Z47)</f>
        <v>4761</v>
      </c>
      <c r="AA42" s="1"/>
      <c r="AB42" s="44"/>
      <c r="AC42" s="27"/>
    </row>
    <row r="43" spans="1:29">
      <c r="A43" s="2">
        <v>1</v>
      </c>
      <c r="B43" s="16" t="s">
        <v>47</v>
      </c>
      <c r="C43" s="16"/>
      <c r="D43" s="4">
        <v>21</v>
      </c>
      <c r="E43" s="17"/>
      <c r="F43" s="44"/>
      <c r="G43" s="44"/>
      <c r="H43" s="44"/>
      <c r="I43" s="44"/>
      <c r="J43" s="15">
        <f>D43*2</f>
        <v>42</v>
      </c>
      <c r="K43" s="1"/>
      <c r="L43" s="1">
        <f t="shared" ref="L43:L48" si="51">N43+T43</f>
        <v>4370</v>
      </c>
      <c r="M43" s="1">
        <f t="shared" si="46"/>
        <v>4370</v>
      </c>
      <c r="N43" s="1">
        <f>ROUND((42885)/$J$40*J43,-1)</f>
        <v>4370</v>
      </c>
      <c r="O43" s="1"/>
      <c r="P43" s="1">
        <v>1128</v>
      </c>
      <c r="Q43" s="1">
        <f>10374/(156+120)*J43</f>
        <v>1578.6521739130435</v>
      </c>
      <c r="R43" s="7">
        <f t="shared" ref="R43:R48" si="52">(N43-P43-Q43)/2</f>
        <v>831.67391304347825</v>
      </c>
      <c r="S43" s="7">
        <f t="shared" ref="S43:S48" si="53">R43</f>
        <v>831.67391304347825</v>
      </c>
      <c r="T43" s="7"/>
      <c r="U43" s="7"/>
      <c r="V43" s="1">
        <f>W43+X43</f>
        <v>2708</v>
      </c>
      <c r="W43" s="7">
        <f>1128+1580</f>
        <v>2708</v>
      </c>
      <c r="X43" s="7"/>
      <c r="Y43" s="1">
        <f>Z43+AA43</f>
        <v>1530</v>
      </c>
      <c r="Z43" s="1">
        <f>ROUND((13491-311)/($J$40-14-2-34)*J43,-1)</f>
        <v>1530</v>
      </c>
      <c r="AA43" s="7"/>
      <c r="AB43" s="68" t="s">
        <v>27</v>
      </c>
      <c r="AC43" s="27"/>
    </row>
    <row r="44" spans="1:29">
      <c r="A44" s="2">
        <v>2</v>
      </c>
      <c r="B44" s="16" t="s">
        <v>15</v>
      </c>
      <c r="C44" s="16"/>
      <c r="D44" s="4">
        <v>19</v>
      </c>
      <c r="E44" s="17"/>
      <c r="F44" s="44"/>
      <c r="G44" s="44"/>
      <c r="H44" s="44"/>
      <c r="I44" s="44"/>
      <c r="J44" s="15">
        <f>D44*2</f>
        <v>38</v>
      </c>
      <c r="K44" s="1"/>
      <c r="L44" s="1">
        <f t="shared" si="51"/>
        <v>3960</v>
      </c>
      <c r="M44" s="1">
        <f t="shared" si="46"/>
        <v>3960</v>
      </c>
      <c r="N44" s="1">
        <f>ROUND((42885)/$J$40*J44,-1)</f>
        <v>3960</v>
      </c>
      <c r="O44" s="1"/>
      <c r="P44" s="1">
        <v>1021</v>
      </c>
      <c r="Q44" s="1">
        <f t="shared" ref="Q44:Q48" si="54">10374/(156+120)*J44</f>
        <v>1428.304347826087</v>
      </c>
      <c r="R44" s="7">
        <f t="shared" si="52"/>
        <v>755.3478260869565</v>
      </c>
      <c r="S44" s="7">
        <f t="shared" si="53"/>
        <v>755.3478260869565</v>
      </c>
      <c r="T44" s="7"/>
      <c r="U44" s="7"/>
      <c r="V44" s="1">
        <f t="shared" ref="V44:V47" si="55">W44+X44</f>
        <v>2451</v>
      </c>
      <c r="W44" s="7">
        <f>1021+1430</f>
        <v>2451</v>
      </c>
      <c r="X44" s="7"/>
      <c r="Y44" s="1">
        <f t="shared" ref="Y44:Y48" si="56">Z44+AA44</f>
        <v>1380</v>
      </c>
      <c r="Z44" s="1">
        <f>ROUND((13491-311)/($J$40-14-2-34)*J44,-1)</f>
        <v>1380</v>
      </c>
      <c r="AA44" s="7"/>
      <c r="AB44" s="68"/>
      <c r="AC44" s="27"/>
    </row>
    <row r="45" spans="1:29">
      <c r="A45" s="2">
        <v>3</v>
      </c>
      <c r="B45" s="16" t="s">
        <v>56</v>
      </c>
      <c r="C45" s="16"/>
      <c r="D45" s="4">
        <v>21</v>
      </c>
      <c r="E45" s="17"/>
      <c r="F45" s="44"/>
      <c r="G45" s="44"/>
      <c r="H45" s="44"/>
      <c r="I45" s="44"/>
      <c r="J45" s="15">
        <f>D45*2</f>
        <v>42</v>
      </c>
      <c r="K45" s="1"/>
      <c r="L45" s="1">
        <f t="shared" si="51"/>
        <v>4370</v>
      </c>
      <c r="M45" s="1">
        <f t="shared" si="46"/>
        <v>4370</v>
      </c>
      <c r="N45" s="1">
        <f>ROUND((42885)/$J$40*J45,-1)</f>
        <v>4370</v>
      </c>
      <c r="O45" s="1"/>
      <c r="P45" s="1">
        <v>1182</v>
      </c>
      <c r="Q45" s="1">
        <f t="shared" si="54"/>
        <v>1578.6521739130435</v>
      </c>
      <c r="R45" s="7">
        <f t="shared" si="52"/>
        <v>804.67391304347825</v>
      </c>
      <c r="S45" s="7">
        <f t="shared" si="53"/>
        <v>804.67391304347825</v>
      </c>
      <c r="T45" s="7"/>
      <c r="U45" s="7"/>
      <c r="V45" s="1">
        <f t="shared" si="55"/>
        <v>2762</v>
      </c>
      <c r="W45" s="7">
        <f>1182+1580</f>
        <v>2762</v>
      </c>
      <c r="X45" s="7"/>
      <c r="Y45" s="1">
        <f t="shared" si="56"/>
        <v>1540</v>
      </c>
      <c r="Z45" s="1">
        <f>ROUND((13491-311)/($J$40-14-2-34)*J45,-1)+10</f>
        <v>1540</v>
      </c>
      <c r="AA45" s="7"/>
      <c r="AB45" s="68"/>
      <c r="AC45" s="27"/>
    </row>
    <row r="46" spans="1:29">
      <c r="A46" s="2">
        <v>4</v>
      </c>
      <c r="B46" s="16" t="s">
        <v>19</v>
      </c>
      <c r="C46" s="16"/>
      <c r="D46" s="4">
        <v>17</v>
      </c>
      <c r="E46" s="17"/>
      <c r="F46" s="44"/>
      <c r="G46" s="44"/>
      <c r="H46" s="44"/>
      <c r="I46" s="44"/>
      <c r="J46" s="15">
        <f>D46*2</f>
        <v>34</v>
      </c>
      <c r="K46" s="1"/>
      <c r="L46" s="1">
        <f t="shared" si="51"/>
        <v>3519</v>
      </c>
      <c r="M46" s="1">
        <f t="shared" si="46"/>
        <v>3519</v>
      </c>
      <c r="N46" s="1">
        <f>ROUND((42885)/$J$40*J46,-1)-21</f>
        <v>3519</v>
      </c>
      <c r="O46" s="1"/>
      <c r="P46" s="1">
        <v>1934</v>
      </c>
      <c r="Q46" s="1">
        <f t="shared" si="54"/>
        <v>1277.9565217391305</v>
      </c>
      <c r="R46" s="7">
        <f t="shared" si="52"/>
        <v>153.52173913043475</v>
      </c>
      <c r="S46" s="7">
        <f t="shared" si="53"/>
        <v>153.52173913043475</v>
      </c>
      <c r="T46" s="7"/>
      <c r="U46" s="7"/>
      <c r="V46" s="1">
        <f t="shared" si="55"/>
        <v>3208</v>
      </c>
      <c r="W46" s="7">
        <f>1934+1274</f>
        <v>3208</v>
      </c>
      <c r="X46" s="7"/>
      <c r="Y46" s="1">
        <f t="shared" si="56"/>
        <v>311</v>
      </c>
      <c r="Z46" s="1">
        <f>N46-W46</f>
        <v>311</v>
      </c>
      <c r="AA46" s="7"/>
      <c r="AB46" s="68"/>
      <c r="AC46" s="27"/>
    </row>
    <row r="47" spans="1:29">
      <c r="A47" s="2">
        <v>5</v>
      </c>
      <c r="B47" s="16" t="s">
        <v>21</v>
      </c>
      <c r="C47" s="16"/>
      <c r="D47" s="42">
        <v>1</v>
      </c>
      <c r="E47" s="17"/>
      <c r="F47" s="44"/>
      <c r="G47" s="44"/>
      <c r="H47" s="44"/>
      <c r="I47" s="44"/>
      <c r="J47" s="15">
        <f>D47*2</f>
        <v>2</v>
      </c>
      <c r="K47" s="1"/>
      <c r="L47" s="1">
        <f t="shared" si="51"/>
        <v>216</v>
      </c>
      <c r="M47" s="1">
        <f t="shared" si="46"/>
        <v>216</v>
      </c>
      <c r="N47" s="1">
        <f>ROUND((42885)/$J$40*J47,-1)+6</f>
        <v>216</v>
      </c>
      <c r="O47" s="1"/>
      <c r="P47" s="1">
        <v>216</v>
      </c>
      <c r="Q47" s="1">
        <f t="shared" si="54"/>
        <v>75.173913043478265</v>
      </c>
      <c r="R47" s="7"/>
      <c r="S47" s="7"/>
      <c r="T47" s="7"/>
      <c r="U47" s="7"/>
      <c r="V47" s="1">
        <f t="shared" si="55"/>
        <v>216</v>
      </c>
      <c r="W47" s="7">
        <v>216</v>
      </c>
      <c r="X47" s="7"/>
      <c r="Y47" s="1">
        <f t="shared" si="56"/>
        <v>0</v>
      </c>
      <c r="Z47" s="1"/>
      <c r="AA47" s="7"/>
      <c r="AB47" s="68"/>
      <c r="AC47" s="27"/>
    </row>
    <row r="48" spans="1:29" ht="60">
      <c r="A48" s="2" t="s">
        <v>112</v>
      </c>
      <c r="B48" s="16" t="s">
        <v>57</v>
      </c>
      <c r="C48" s="16"/>
      <c r="D48" s="4" t="s">
        <v>58</v>
      </c>
      <c r="E48" s="17"/>
      <c r="F48" s="44"/>
      <c r="G48" s="44"/>
      <c r="H48" s="44"/>
      <c r="I48" s="44"/>
      <c r="J48" s="15">
        <f>2*60</f>
        <v>120</v>
      </c>
      <c r="K48" s="1"/>
      <c r="L48" s="1">
        <f t="shared" si="51"/>
        <v>12490</v>
      </c>
      <c r="M48" s="1">
        <f t="shared" si="46"/>
        <v>12490</v>
      </c>
      <c r="N48" s="1">
        <f>ROUND((42885)/$J$40*J48,-1)</f>
        <v>12490</v>
      </c>
      <c r="O48" s="1"/>
      <c r="P48" s="1"/>
      <c r="Q48" s="1">
        <f t="shared" si="54"/>
        <v>4510.434782608696</v>
      </c>
      <c r="R48" s="7">
        <f t="shared" si="52"/>
        <v>3989.782608695652</v>
      </c>
      <c r="S48" s="7">
        <f t="shared" si="53"/>
        <v>3989.782608695652</v>
      </c>
      <c r="T48" s="7"/>
      <c r="U48" s="7"/>
      <c r="V48" s="7">
        <f>W48+X48</f>
        <v>4510</v>
      </c>
      <c r="W48" s="7">
        <v>4510</v>
      </c>
      <c r="X48" s="7"/>
      <c r="Y48" s="1">
        <f t="shared" si="56"/>
        <v>4370</v>
      </c>
      <c r="Z48" s="1">
        <f>ROUND((13491-311)/($J$40-14-2-34)*J48,-1)</f>
        <v>4370</v>
      </c>
      <c r="AA48" s="7"/>
      <c r="AB48" s="44" t="s">
        <v>111</v>
      </c>
      <c r="AC48" s="27"/>
    </row>
    <row r="49" spans="1:29" ht="45">
      <c r="A49" s="2" t="s">
        <v>113</v>
      </c>
      <c r="B49" s="16" t="s">
        <v>128</v>
      </c>
      <c r="C49" s="16"/>
      <c r="D49" s="4" t="s">
        <v>85</v>
      </c>
      <c r="E49" s="17"/>
      <c r="F49" s="44"/>
      <c r="G49" s="44"/>
      <c r="H49" s="44"/>
      <c r="I49" s="44"/>
      <c r="J49" s="1">
        <f t="shared" ref="J49:L49" si="57">SUBTOTAL(109,J50:J51)</f>
        <v>120</v>
      </c>
      <c r="K49" s="1">
        <f t="shared" si="57"/>
        <v>0</v>
      </c>
      <c r="L49" s="1">
        <f t="shared" si="57"/>
        <v>12500</v>
      </c>
      <c r="M49" s="1">
        <f>SUBTOTAL(109,M50:M51)</f>
        <v>12500</v>
      </c>
      <c r="N49" s="1">
        <f>SUBTOTAL(109,N50:N51)</f>
        <v>12500</v>
      </c>
      <c r="O49" s="1"/>
      <c r="P49" s="1"/>
      <c r="Q49" s="1"/>
      <c r="R49" s="1"/>
      <c r="S49" s="1"/>
      <c r="T49" s="1"/>
      <c r="U49" s="1"/>
      <c r="V49" s="1"/>
      <c r="W49" s="1"/>
      <c r="X49" s="1"/>
      <c r="Y49" s="1">
        <f t="shared" ref="Y49" si="58">SUBTOTAL(109,Y50:Y51)</f>
        <v>4360</v>
      </c>
      <c r="Z49" s="1">
        <f t="shared" ref="Z49" si="59">SUBTOTAL(109,Z50:Z51)</f>
        <v>4360</v>
      </c>
      <c r="AA49" s="1"/>
      <c r="AB49" s="44"/>
      <c r="AC49" s="27"/>
    </row>
    <row r="50" spans="1:29" ht="30">
      <c r="A50" s="2">
        <v>1</v>
      </c>
      <c r="B50" s="16" t="s">
        <v>117</v>
      </c>
      <c r="C50" s="4" t="s">
        <v>99</v>
      </c>
      <c r="D50" s="4"/>
      <c r="E50" s="17"/>
      <c r="F50" s="44" t="s">
        <v>114</v>
      </c>
      <c r="G50" s="44"/>
      <c r="H50" s="44"/>
      <c r="I50" s="44"/>
      <c r="J50" s="15">
        <v>60</v>
      </c>
      <c r="K50" s="1"/>
      <c r="L50" s="1">
        <f>M50</f>
        <v>6250</v>
      </c>
      <c r="M50" s="1">
        <f t="shared" si="46"/>
        <v>6250</v>
      </c>
      <c r="N50" s="1">
        <f>ROUND((42885)/$J$40*J50,-1)</f>
        <v>6250</v>
      </c>
      <c r="O50" s="1"/>
      <c r="P50" s="1"/>
      <c r="Q50" s="1"/>
      <c r="R50" s="7"/>
      <c r="S50" s="7"/>
      <c r="T50" s="7"/>
      <c r="U50" s="7"/>
      <c r="V50" s="7"/>
      <c r="W50" s="7"/>
      <c r="X50" s="7"/>
      <c r="Y50" s="1">
        <f>Z50+AA50</f>
        <v>2180</v>
      </c>
      <c r="Z50" s="1">
        <f>ROUND((13491-311)/($J$40-14-2-34)*J50,-1)</f>
        <v>2180</v>
      </c>
      <c r="AA50" s="7"/>
      <c r="AB50" s="48" t="s">
        <v>123</v>
      </c>
      <c r="AC50" s="27"/>
    </row>
    <row r="51" spans="1:29" ht="45">
      <c r="A51" s="2">
        <v>2</v>
      </c>
      <c r="B51" s="16" t="s">
        <v>115</v>
      </c>
      <c r="C51" s="4" t="s">
        <v>116</v>
      </c>
      <c r="D51" s="4"/>
      <c r="E51" s="17"/>
      <c r="F51" s="44" t="s">
        <v>114</v>
      </c>
      <c r="G51" s="44"/>
      <c r="H51" s="44"/>
      <c r="I51" s="44"/>
      <c r="J51" s="15">
        <v>60</v>
      </c>
      <c r="K51" s="1"/>
      <c r="L51" s="1">
        <f t="shared" ref="L51" si="60">M51</f>
        <v>6250</v>
      </c>
      <c r="M51" s="1">
        <f t="shared" si="46"/>
        <v>6250</v>
      </c>
      <c r="N51" s="1">
        <f>ROUND((42885)/$J$40*J51,-1)</f>
        <v>6250</v>
      </c>
      <c r="O51" s="1"/>
      <c r="P51" s="1"/>
      <c r="Q51" s="1"/>
      <c r="R51" s="7"/>
      <c r="S51" s="7"/>
      <c r="T51" s="7"/>
      <c r="U51" s="7"/>
      <c r="V51" s="7"/>
      <c r="W51" s="7"/>
      <c r="X51" s="7"/>
      <c r="Y51" s="1">
        <f>Z51+AA51</f>
        <v>2180</v>
      </c>
      <c r="Z51" s="1">
        <f>ROUND((13491-311)/($J$40-14-2-34)*J51,-1)</f>
        <v>2180</v>
      </c>
      <c r="AA51" s="7"/>
      <c r="AB51" s="48" t="s">
        <v>123</v>
      </c>
      <c r="AC51" s="27"/>
    </row>
    <row r="52" spans="1:29" s="12" customFormat="1" ht="42.75">
      <c r="A52" s="43" t="s">
        <v>104</v>
      </c>
      <c r="B52" s="9" t="s">
        <v>59</v>
      </c>
      <c r="C52" s="9"/>
      <c r="D52" s="46"/>
      <c r="E52" s="46"/>
      <c r="F52" s="45"/>
      <c r="G52" s="11">
        <f>SUBTOTAL(109,G53:G60)</f>
        <v>173186</v>
      </c>
      <c r="H52" s="11">
        <f>SUBTOTAL(109,H53:H60)</f>
        <v>45000</v>
      </c>
      <c r="I52" s="11"/>
      <c r="J52" s="11"/>
      <c r="K52" s="11">
        <f t="shared" ref="K52:Z52" si="61">SUBTOTAL(109,K53:K60)</f>
        <v>0</v>
      </c>
      <c r="L52" s="11">
        <f t="shared" si="61"/>
        <v>218186</v>
      </c>
      <c r="M52" s="11">
        <f t="shared" si="61"/>
        <v>218186</v>
      </c>
      <c r="N52" s="11">
        <f t="shared" si="61"/>
        <v>218186</v>
      </c>
      <c r="O52" s="11"/>
      <c r="P52" s="11">
        <f t="shared" si="61"/>
        <v>39273</v>
      </c>
      <c r="Q52" s="11">
        <f t="shared" si="61"/>
        <v>0</v>
      </c>
      <c r="R52" s="11">
        <f t="shared" si="61"/>
        <v>82228</v>
      </c>
      <c r="S52" s="11">
        <f t="shared" si="61"/>
        <v>66864</v>
      </c>
      <c r="T52" s="11">
        <f t="shared" si="61"/>
        <v>0</v>
      </c>
      <c r="U52" s="11">
        <f t="shared" si="61"/>
        <v>0</v>
      </c>
      <c r="V52" s="11">
        <f t="shared" si="61"/>
        <v>94401</v>
      </c>
      <c r="W52" s="11">
        <f t="shared" si="61"/>
        <v>94401</v>
      </c>
      <c r="X52" s="11"/>
      <c r="Y52" s="11">
        <f t="shared" si="61"/>
        <v>67835</v>
      </c>
      <c r="Z52" s="11">
        <f t="shared" si="61"/>
        <v>67835</v>
      </c>
      <c r="AA52" s="11"/>
      <c r="AB52" s="45"/>
      <c r="AC52" s="27"/>
    </row>
    <row r="53" spans="1:29" ht="42.75">
      <c r="A53" s="43"/>
      <c r="B53" s="9" t="s">
        <v>60</v>
      </c>
      <c r="C53" s="9"/>
      <c r="D53" s="46" t="s">
        <v>61</v>
      </c>
      <c r="E53" s="46"/>
      <c r="F53" s="44"/>
      <c r="G53" s="11">
        <f>SUBTOTAL(109,G54:G60)</f>
        <v>173186</v>
      </c>
      <c r="H53" s="11">
        <f>SUBTOTAL(109,H54:H60)</f>
        <v>45000</v>
      </c>
      <c r="I53" s="11"/>
      <c r="J53" s="11">
        <f>SUBTOTAL(109,J54:J56)</f>
        <v>1804</v>
      </c>
      <c r="K53" s="33"/>
      <c r="L53" s="11">
        <f t="shared" ref="L53:Z53" si="62">SUBTOTAL(109,L54:L60)</f>
        <v>218186</v>
      </c>
      <c r="M53" s="11">
        <f t="shared" si="62"/>
        <v>218186</v>
      </c>
      <c r="N53" s="11">
        <f t="shared" si="62"/>
        <v>218186</v>
      </c>
      <c r="O53" s="11"/>
      <c r="P53" s="11">
        <f t="shared" si="62"/>
        <v>39273</v>
      </c>
      <c r="Q53" s="11">
        <f t="shared" si="62"/>
        <v>0</v>
      </c>
      <c r="R53" s="11">
        <f t="shared" si="62"/>
        <v>82228</v>
      </c>
      <c r="S53" s="11">
        <f t="shared" si="62"/>
        <v>66864</v>
      </c>
      <c r="T53" s="11">
        <f t="shared" si="62"/>
        <v>0</v>
      </c>
      <c r="U53" s="11">
        <f t="shared" si="62"/>
        <v>0</v>
      </c>
      <c r="V53" s="11">
        <f t="shared" si="62"/>
        <v>94401</v>
      </c>
      <c r="W53" s="11">
        <f t="shared" si="62"/>
        <v>94401</v>
      </c>
      <c r="X53" s="11"/>
      <c r="Y53" s="11">
        <f t="shared" si="62"/>
        <v>67835</v>
      </c>
      <c r="Z53" s="11">
        <f t="shared" si="62"/>
        <v>67835</v>
      </c>
      <c r="AA53" s="11"/>
      <c r="AB53" s="45"/>
      <c r="AC53" s="27"/>
    </row>
    <row r="54" spans="1:29" ht="23.25" customHeight="1">
      <c r="A54" s="2" t="s">
        <v>10</v>
      </c>
      <c r="B54" s="3" t="s">
        <v>17</v>
      </c>
      <c r="C54" s="3"/>
      <c r="D54" s="2" t="s">
        <v>62</v>
      </c>
      <c r="E54" s="2">
        <v>1</v>
      </c>
      <c r="F54" s="44"/>
      <c r="G54" s="1">
        <v>6409</v>
      </c>
      <c r="H54" s="1">
        <f>M54-G54</f>
        <v>3511</v>
      </c>
      <c r="I54" s="44"/>
      <c r="J54" s="1">
        <f>1*82</f>
        <v>82</v>
      </c>
      <c r="K54" s="1"/>
      <c r="L54" s="1">
        <f>N54</f>
        <v>9920</v>
      </c>
      <c r="M54" s="1">
        <f t="shared" si="46"/>
        <v>9920</v>
      </c>
      <c r="N54" s="1">
        <f>ROUND(218186/1804*J54,-1)</f>
        <v>9920</v>
      </c>
      <c r="O54" s="1"/>
      <c r="P54" s="1">
        <v>1136</v>
      </c>
      <c r="Q54" s="1"/>
      <c r="R54" s="1">
        <f>(N54-P54-Q54)/2</f>
        <v>4392</v>
      </c>
      <c r="S54" s="1">
        <f>R54</f>
        <v>4392</v>
      </c>
      <c r="T54" s="1"/>
      <c r="U54" s="1"/>
      <c r="V54" s="1">
        <f>W54+X54</f>
        <v>3124</v>
      </c>
      <c r="W54" s="1">
        <f>1136+1988</f>
        <v>3124</v>
      </c>
      <c r="X54" s="1"/>
      <c r="Y54" s="1">
        <f>Z54+AA54</f>
        <v>3080</v>
      </c>
      <c r="Z54" s="1">
        <f>ROUND(67835/1804*J54,-1)</f>
        <v>3080</v>
      </c>
      <c r="AA54" s="1"/>
      <c r="AB54" s="68" t="s">
        <v>27</v>
      </c>
      <c r="AC54" s="27"/>
    </row>
    <row r="55" spans="1:29" ht="23.25" customHeight="1">
      <c r="A55" s="2" t="s">
        <v>112</v>
      </c>
      <c r="B55" s="3" t="s">
        <v>21</v>
      </c>
      <c r="C55" s="3"/>
      <c r="D55" s="2" t="s">
        <v>63</v>
      </c>
      <c r="E55" s="2">
        <v>4</v>
      </c>
      <c r="F55" s="44"/>
      <c r="G55" s="1">
        <v>25637</v>
      </c>
      <c r="H55" s="1">
        <f t="shared" ref="H55" si="63">M55-G55</f>
        <v>14033</v>
      </c>
      <c r="I55" s="44"/>
      <c r="J55" s="1">
        <f>4*82</f>
        <v>328</v>
      </c>
      <c r="K55" s="1"/>
      <c r="L55" s="1">
        <f>N55</f>
        <v>39670</v>
      </c>
      <c r="M55" s="1">
        <f t="shared" si="46"/>
        <v>39670</v>
      </c>
      <c r="N55" s="1">
        <f>ROUND(218186/1804*J55,-1)</f>
        <v>39670</v>
      </c>
      <c r="O55" s="1"/>
      <c r="P55" s="1">
        <v>4546</v>
      </c>
      <c r="Q55" s="1"/>
      <c r="R55" s="1">
        <f>(N55-P55-Q55)/2</f>
        <v>17562</v>
      </c>
      <c r="S55" s="1">
        <f t="shared" ref="S55" si="64">R55</f>
        <v>17562</v>
      </c>
      <c r="T55" s="1"/>
      <c r="U55" s="1"/>
      <c r="V55" s="1">
        <f>W55+X55</f>
        <v>12499</v>
      </c>
      <c r="W55" s="1">
        <f>4546+7953</f>
        <v>12499</v>
      </c>
      <c r="X55" s="1"/>
      <c r="Y55" s="1">
        <f>Z55+AA55</f>
        <v>12330</v>
      </c>
      <c r="Z55" s="1">
        <f>ROUND(67835/1804*J55,-1)</f>
        <v>12330</v>
      </c>
      <c r="AA55" s="1"/>
      <c r="AB55" s="68"/>
      <c r="AC55" s="27"/>
    </row>
    <row r="56" spans="1:29" ht="24.75" customHeight="1">
      <c r="A56" s="2" t="s">
        <v>113</v>
      </c>
      <c r="B56" s="3" t="s">
        <v>64</v>
      </c>
      <c r="C56" s="3"/>
      <c r="D56" s="2" t="s">
        <v>65</v>
      </c>
      <c r="E56" s="2">
        <v>17</v>
      </c>
      <c r="F56" s="44"/>
      <c r="G56" s="1">
        <f>SUBTOTAL(109,G57:G60)</f>
        <v>141140</v>
      </c>
      <c r="H56" s="1">
        <f>SUBTOTAL(109,H57:H60)</f>
        <v>27456</v>
      </c>
      <c r="I56" s="44"/>
      <c r="J56" s="1">
        <f>17*82</f>
        <v>1394</v>
      </c>
      <c r="K56" s="19"/>
      <c r="L56" s="1">
        <f>SUBTOTAL(109,L57:L60)</f>
        <v>168596</v>
      </c>
      <c r="M56" s="1">
        <f>SUBTOTAL(109,M57:M60)</f>
        <v>168596</v>
      </c>
      <c r="N56" s="1">
        <f>SUBTOTAL(109,N57:N60)</f>
        <v>168596</v>
      </c>
      <c r="O56" s="1"/>
      <c r="P56" s="1">
        <f>SUBTOTAL(109,P57:P60)</f>
        <v>33591</v>
      </c>
      <c r="Q56" s="1"/>
      <c r="R56" s="1">
        <f>SUBTOTAL(109,R57:R60)</f>
        <v>60274</v>
      </c>
      <c r="S56" s="1">
        <f>SUBTOTAL(109,S57:S60)</f>
        <v>44910</v>
      </c>
      <c r="T56" s="1"/>
      <c r="U56" s="1"/>
      <c r="V56" s="1">
        <f>SUBTOTAL(109,V57:V60)</f>
        <v>78778</v>
      </c>
      <c r="W56" s="1">
        <f>SUBTOTAL(109,W57:W60)</f>
        <v>78778</v>
      </c>
      <c r="X56" s="1"/>
      <c r="Y56" s="1">
        <f t="shared" ref="Y56" si="65">SUBTOTAL(109,Y57:Y60)</f>
        <v>52425</v>
      </c>
      <c r="Z56" s="1">
        <f t="shared" ref="Z56" si="66">SUBTOTAL(109,Z57:Z60)</f>
        <v>52425</v>
      </c>
      <c r="AA56" s="1"/>
      <c r="AB56" s="68"/>
      <c r="AC56" s="27"/>
    </row>
    <row r="57" spans="1:29" ht="30">
      <c r="A57" s="2" t="s">
        <v>119</v>
      </c>
      <c r="B57" s="3" t="s">
        <v>121</v>
      </c>
      <c r="C57" s="3"/>
      <c r="D57" s="2" t="s">
        <v>65</v>
      </c>
      <c r="E57" s="2">
        <v>17</v>
      </c>
      <c r="F57" s="44"/>
      <c r="G57" s="1">
        <v>96140</v>
      </c>
      <c r="H57" s="1">
        <f>M57-G57</f>
        <v>27456</v>
      </c>
      <c r="I57" s="44"/>
      <c r="J57" s="1"/>
      <c r="K57" s="19"/>
      <c r="L57" s="1">
        <f>N57</f>
        <v>123596</v>
      </c>
      <c r="M57" s="1">
        <f t="shared" si="46"/>
        <v>123596</v>
      </c>
      <c r="N57" s="1">
        <f>123598-2</f>
        <v>123596</v>
      </c>
      <c r="O57" s="1"/>
      <c r="P57" s="1">
        <v>19318</v>
      </c>
      <c r="Q57" s="1"/>
      <c r="R57" s="1">
        <v>29547</v>
      </c>
      <c r="S57" s="1">
        <v>44910</v>
      </c>
      <c r="T57" s="1">
        <f>T56-T58</f>
        <v>0</v>
      </c>
      <c r="U57" s="1"/>
      <c r="V57" s="1">
        <f>W57+X57</f>
        <v>49141</v>
      </c>
      <c r="W57" s="1">
        <f>19318+29823</f>
        <v>49141</v>
      </c>
      <c r="X57" s="1"/>
      <c r="Y57" s="1">
        <f>Z57+AA57</f>
        <v>37062</v>
      </c>
      <c r="Z57" s="1">
        <f>67835-Z54-Z55-Z58</f>
        <v>37062</v>
      </c>
      <c r="AA57" s="1"/>
      <c r="AB57" s="68"/>
      <c r="AC57" s="27"/>
    </row>
    <row r="58" spans="1:29" s="12" customFormat="1" ht="30">
      <c r="A58" s="2" t="s">
        <v>120</v>
      </c>
      <c r="B58" s="3" t="s">
        <v>122</v>
      </c>
      <c r="C58" s="3"/>
      <c r="D58" s="2"/>
      <c r="E58" s="2"/>
      <c r="F58" s="44"/>
      <c r="G58" s="1">
        <f>SUBTOTAL(109,G59:G60)</f>
        <v>45000</v>
      </c>
      <c r="H58" s="44"/>
      <c r="I58" s="44"/>
      <c r="J58" s="1"/>
      <c r="K58" s="1"/>
      <c r="L58" s="1">
        <f>SUBTOTAL(109,L59:L60)</f>
        <v>45000</v>
      </c>
      <c r="M58" s="1">
        <f>SUBTOTAL(109,M59:M60)</f>
        <v>45000</v>
      </c>
      <c r="N58" s="1">
        <f t="shared" ref="N58:Z58" si="67">SUBTOTAL(109,N59:N60)</f>
        <v>45000</v>
      </c>
      <c r="O58" s="1"/>
      <c r="P58" s="1">
        <f t="shared" si="67"/>
        <v>14273</v>
      </c>
      <c r="Q58" s="1">
        <f t="shared" si="67"/>
        <v>0</v>
      </c>
      <c r="R58" s="1">
        <f t="shared" si="67"/>
        <v>30727</v>
      </c>
      <c r="S58" s="1">
        <f t="shared" si="67"/>
        <v>0</v>
      </c>
      <c r="T58" s="1">
        <f t="shared" si="67"/>
        <v>0</v>
      </c>
      <c r="U58" s="1">
        <f t="shared" si="67"/>
        <v>0</v>
      </c>
      <c r="V58" s="1">
        <f t="shared" si="67"/>
        <v>29637</v>
      </c>
      <c r="W58" s="1">
        <f t="shared" si="67"/>
        <v>29637</v>
      </c>
      <c r="X58" s="1"/>
      <c r="Y58" s="1">
        <f t="shared" si="67"/>
        <v>15363</v>
      </c>
      <c r="Z58" s="1">
        <f t="shared" si="67"/>
        <v>15363</v>
      </c>
      <c r="AA58" s="1"/>
      <c r="AB58" s="45"/>
      <c r="AC58" s="27"/>
    </row>
    <row r="59" spans="1:29" ht="55.5" customHeight="1">
      <c r="A59" s="41" t="s">
        <v>103</v>
      </c>
      <c r="B59" s="14" t="s">
        <v>66</v>
      </c>
      <c r="C59" s="14" t="s">
        <v>102</v>
      </c>
      <c r="D59" s="4"/>
      <c r="E59" s="10"/>
      <c r="F59" s="44" t="s">
        <v>40</v>
      </c>
      <c r="G59" s="1">
        <v>30000</v>
      </c>
      <c r="H59" s="44"/>
      <c r="I59" s="44"/>
      <c r="J59" s="1"/>
      <c r="K59" s="1"/>
      <c r="L59" s="1">
        <f>N59+T59</f>
        <v>30000</v>
      </c>
      <c r="M59" s="1">
        <f t="shared" si="46"/>
        <v>30000</v>
      </c>
      <c r="N59" s="1">
        <v>30000</v>
      </c>
      <c r="O59" s="1"/>
      <c r="P59" s="1">
        <v>9500</v>
      </c>
      <c r="Q59" s="1"/>
      <c r="R59" s="20">
        <f>N59-P59-Q59</f>
        <v>20500</v>
      </c>
      <c r="S59" s="20">
        <v>0</v>
      </c>
      <c r="T59" s="20"/>
      <c r="U59" s="20"/>
      <c r="V59" s="20">
        <f>W59+X59</f>
        <v>19750</v>
      </c>
      <c r="W59" s="20">
        <f>9500+10250</f>
        <v>19750</v>
      </c>
      <c r="X59" s="20"/>
      <c r="Y59" s="20">
        <f>Z59+AA59</f>
        <v>10250</v>
      </c>
      <c r="Z59" s="20">
        <f>M59-V59</f>
        <v>10250</v>
      </c>
      <c r="AA59" s="20"/>
      <c r="AB59" s="44" t="s">
        <v>67</v>
      </c>
      <c r="AC59" s="27"/>
    </row>
    <row r="60" spans="1:29" ht="60.75" customHeight="1">
      <c r="A60" s="41" t="s">
        <v>103</v>
      </c>
      <c r="B60" s="14" t="s">
        <v>68</v>
      </c>
      <c r="C60" s="14" t="s">
        <v>99</v>
      </c>
      <c r="D60" s="4"/>
      <c r="E60" s="2"/>
      <c r="F60" s="44" t="s">
        <v>40</v>
      </c>
      <c r="G60" s="1">
        <v>15000</v>
      </c>
      <c r="H60" s="44"/>
      <c r="I60" s="44"/>
      <c r="J60" s="1"/>
      <c r="K60" s="1"/>
      <c r="L60" s="1">
        <f>N60+T60</f>
        <v>15000</v>
      </c>
      <c r="M60" s="1">
        <f t="shared" si="46"/>
        <v>15000</v>
      </c>
      <c r="N60" s="1">
        <v>15000</v>
      </c>
      <c r="O60" s="1"/>
      <c r="P60" s="1">
        <f>14273-9500</f>
        <v>4773</v>
      </c>
      <c r="Q60" s="1"/>
      <c r="R60" s="20">
        <f>N60-P60-Q60</f>
        <v>10227</v>
      </c>
      <c r="S60" s="20">
        <v>0</v>
      </c>
      <c r="T60" s="20"/>
      <c r="U60" s="20"/>
      <c r="V60" s="20">
        <f>W60+X60</f>
        <v>9887</v>
      </c>
      <c r="W60" s="20">
        <f>4773+5114</f>
        <v>9887</v>
      </c>
      <c r="X60" s="20"/>
      <c r="Y60" s="20">
        <f>Z60+AA60</f>
        <v>5113</v>
      </c>
      <c r="Z60" s="20">
        <f>M60-V60</f>
        <v>5113</v>
      </c>
      <c r="AA60" s="20"/>
      <c r="AB60" s="44" t="s">
        <v>67</v>
      </c>
      <c r="AC60" s="27"/>
    </row>
    <row r="61" spans="1:29">
      <c r="A61" s="43" t="s">
        <v>69</v>
      </c>
      <c r="B61" s="25" t="s">
        <v>105</v>
      </c>
      <c r="C61" s="25"/>
      <c r="D61" s="26"/>
      <c r="E61" s="43"/>
      <c r="F61" s="45"/>
      <c r="G61" s="11"/>
      <c r="H61" s="11">
        <v>28112</v>
      </c>
      <c r="I61" s="11"/>
      <c r="J61" s="45"/>
      <c r="K61" s="45"/>
      <c r="L61" s="11"/>
      <c r="M61" s="11">
        <f>SUBTOTAL(109,M62:M66)</f>
        <v>28112</v>
      </c>
      <c r="N61" s="11"/>
      <c r="O61" s="11">
        <f t="shared" ref="O61:AA61" si="68">SUBTOTAL(109,O62:O66)</f>
        <v>28112</v>
      </c>
      <c r="P61" s="11">
        <f t="shared" si="68"/>
        <v>0</v>
      </c>
      <c r="Q61" s="11">
        <f t="shared" si="68"/>
        <v>0</v>
      </c>
      <c r="R61" s="11">
        <f t="shared" si="68"/>
        <v>0</v>
      </c>
      <c r="S61" s="11">
        <f t="shared" si="68"/>
        <v>0</v>
      </c>
      <c r="T61" s="11">
        <f t="shared" si="68"/>
        <v>0</v>
      </c>
      <c r="U61" s="11">
        <f t="shared" si="68"/>
        <v>0</v>
      </c>
      <c r="V61" s="11"/>
      <c r="W61" s="11"/>
      <c r="X61" s="11"/>
      <c r="Y61" s="11">
        <f t="shared" si="68"/>
        <v>7290</v>
      </c>
      <c r="Z61" s="11"/>
      <c r="AA61" s="11">
        <f t="shared" si="68"/>
        <v>7290</v>
      </c>
      <c r="AB61" s="45"/>
      <c r="AC61" s="27"/>
    </row>
    <row r="62" spans="1:29" ht="15.2" customHeight="1">
      <c r="A62" s="2">
        <v>1</v>
      </c>
      <c r="B62" s="3" t="s">
        <v>12</v>
      </c>
      <c r="C62" s="3"/>
      <c r="D62" s="2"/>
      <c r="E62" s="4"/>
      <c r="F62" s="52"/>
      <c r="G62" s="52"/>
      <c r="H62" s="52"/>
      <c r="I62" s="52"/>
      <c r="J62" s="1"/>
      <c r="K62" s="1"/>
      <c r="L62" s="1"/>
      <c r="M62" s="1">
        <f t="shared" ref="M62:M64" si="69">O62</f>
        <v>5790</v>
      </c>
      <c r="N62" s="1"/>
      <c r="O62" s="1">
        <f>ROUND((50000-21090-798)/102*21,-1)</f>
        <v>5790</v>
      </c>
      <c r="P62" s="1"/>
      <c r="Q62" s="1"/>
      <c r="R62" s="1"/>
      <c r="S62" s="1"/>
      <c r="T62" s="1"/>
      <c r="U62" s="1"/>
      <c r="V62" s="1"/>
      <c r="W62" s="1"/>
      <c r="X62" s="1"/>
      <c r="Y62" s="1">
        <f t="shared" ref="Y62:Y64" si="70">AA62+Z62</f>
        <v>1500</v>
      </c>
      <c r="Z62" s="1"/>
      <c r="AA62" s="1">
        <f>ROUND((25000-17710)/102*21,-1)</f>
        <v>1500</v>
      </c>
      <c r="AB62" s="60" t="s">
        <v>27</v>
      </c>
      <c r="AC62" s="27"/>
    </row>
    <row r="63" spans="1:29">
      <c r="A63" s="2">
        <v>2</v>
      </c>
      <c r="B63" s="3" t="s">
        <v>15</v>
      </c>
      <c r="C63" s="3"/>
      <c r="D63" s="2"/>
      <c r="E63" s="4"/>
      <c r="F63" s="52"/>
      <c r="G63" s="52"/>
      <c r="H63" s="52"/>
      <c r="I63" s="52"/>
      <c r="J63" s="1"/>
      <c r="K63" s="1"/>
      <c r="L63" s="1"/>
      <c r="M63" s="1">
        <f t="shared" si="69"/>
        <v>5240</v>
      </c>
      <c r="N63" s="1"/>
      <c r="O63" s="1">
        <f>ROUND((50000-21090-798)/102*19,-1)</f>
        <v>5240</v>
      </c>
      <c r="P63" s="1"/>
      <c r="Q63" s="1"/>
      <c r="R63" s="1"/>
      <c r="S63" s="1"/>
      <c r="T63" s="1"/>
      <c r="U63" s="1"/>
      <c r="V63" s="1"/>
      <c r="W63" s="1"/>
      <c r="X63" s="1"/>
      <c r="Y63" s="1">
        <f t="shared" si="70"/>
        <v>1360</v>
      </c>
      <c r="Z63" s="1"/>
      <c r="AA63" s="1">
        <f>ROUND((25000-17710)/102*19,-1)</f>
        <v>1360</v>
      </c>
      <c r="AB63" s="61"/>
      <c r="AC63" s="27"/>
    </row>
    <row r="64" spans="1:29">
      <c r="A64" s="2">
        <v>3</v>
      </c>
      <c r="B64" s="3" t="s">
        <v>17</v>
      </c>
      <c r="C64" s="3"/>
      <c r="D64" s="2"/>
      <c r="E64" s="4"/>
      <c r="F64" s="52"/>
      <c r="G64" s="52"/>
      <c r="H64" s="52"/>
      <c r="I64" s="52"/>
      <c r="J64" s="1"/>
      <c r="K64" s="1"/>
      <c r="L64" s="1"/>
      <c r="M64" s="1">
        <f t="shared" si="69"/>
        <v>6062</v>
      </c>
      <c r="N64" s="1"/>
      <c r="O64" s="1">
        <f>ROUND((50000-21090-798)/102*22,-1)+2</f>
        <v>6062</v>
      </c>
      <c r="P64" s="1"/>
      <c r="Q64" s="1"/>
      <c r="R64" s="1"/>
      <c r="S64" s="1"/>
      <c r="T64" s="1"/>
      <c r="U64" s="1"/>
      <c r="V64" s="1"/>
      <c r="W64" s="1"/>
      <c r="X64" s="1"/>
      <c r="Y64" s="1">
        <f t="shared" si="70"/>
        <v>1570</v>
      </c>
      <c r="Z64" s="1"/>
      <c r="AA64" s="1">
        <f>ROUND((25000-17710)/102*22,-1)</f>
        <v>1570</v>
      </c>
      <c r="AB64" s="61"/>
      <c r="AC64" s="27"/>
    </row>
    <row r="65" spans="1:29" ht="14.1" customHeight="1">
      <c r="A65" s="2">
        <v>4</v>
      </c>
      <c r="B65" s="3" t="s">
        <v>19</v>
      </c>
      <c r="C65" s="3"/>
      <c r="D65" s="2"/>
      <c r="E65" s="4"/>
      <c r="F65" s="44"/>
      <c r="G65" s="44"/>
      <c r="H65" s="44"/>
      <c r="I65" s="44"/>
      <c r="J65" s="1"/>
      <c r="K65" s="1"/>
      <c r="L65" s="1"/>
      <c r="M65" s="1">
        <f>O65</f>
        <v>9920</v>
      </c>
      <c r="N65" s="1"/>
      <c r="O65" s="1">
        <f>ROUND((50000-21090-798)/102*36,-1)</f>
        <v>9920</v>
      </c>
      <c r="P65" s="1"/>
      <c r="Q65" s="1"/>
      <c r="R65" s="1"/>
      <c r="S65" s="1"/>
      <c r="T65" s="1"/>
      <c r="U65" s="1"/>
      <c r="V65" s="1"/>
      <c r="W65" s="1"/>
      <c r="X65" s="1"/>
      <c r="Y65" s="1">
        <f>AA65+Z65</f>
        <v>2570</v>
      </c>
      <c r="Z65" s="1"/>
      <c r="AA65" s="1">
        <f>ROUND((25000-17710)/102*36,-1)</f>
        <v>2570</v>
      </c>
      <c r="AB65" s="61"/>
      <c r="AC65" s="27"/>
    </row>
    <row r="66" spans="1:29">
      <c r="A66" s="2">
        <v>5</v>
      </c>
      <c r="B66" s="3" t="s">
        <v>21</v>
      </c>
      <c r="C66" s="3"/>
      <c r="D66" s="2"/>
      <c r="E66" s="4"/>
      <c r="F66" s="44"/>
      <c r="G66" s="44"/>
      <c r="H66" s="44"/>
      <c r="I66" s="44"/>
      <c r="J66" s="1"/>
      <c r="K66" s="1"/>
      <c r="L66" s="1"/>
      <c r="M66" s="1">
        <f t="shared" ref="M66" si="71">O66</f>
        <v>1100</v>
      </c>
      <c r="N66" s="1"/>
      <c r="O66" s="1">
        <f>ROUND((50000-21090-798)/102*4,-1)</f>
        <v>1100</v>
      </c>
      <c r="P66" s="1"/>
      <c r="Q66" s="1"/>
      <c r="R66" s="1"/>
      <c r="S66" s="1"/>
      <c r="T66" s="1"/>
      <c r="U66" s="1"/>
      <c r="V66" s="1"/>
      <c r="W66" s="1"/>
      <c r="X66" s="1"/>
      <c r="Y66" s="1">
        <f t="shared" ref="Y66" si="72">AA66+Z66</f>
        <v>290</v>
      </c>
      <c r="Z66" s="1"/>
      <c r="AA66" s="1">
        <f>ROUND((25000-17710)/102*4,-1)</f>
        <v>290</v>
      </c>
      <c r="AB66" s="62"/>
      <c r="AC66" s="27"/>
    </row>
    <row r="70" spans="1:29" s="23" customFormat="1">
      <c r="A70" s="18"/>
      <c r="B70" s="18"/>
      <c r="C70" s="18"/>
      <c r="D70" s="24"/>
      <c r="F70" s="24"/>
      <c r="G70" s="24"/>
      <c r="H70" s="24"/>
      <c r="I70" s="24"/>
      <c r="J70" s="18"/>
      <c r="K70" s="18"/>
      <c r="L70" s="18"/>
      <c r="M70" s="18"/>
      <c r="N70" s="18"/>
      <c r="O70" s="18"/>
      <c r="P70" s="18"/>
      <c r="Q70" s="18"/>
      <c r="R70" s="18"/>
      <c r="S70" s="18"/>
      <c r="T70" s="18"/>
      <c r="U70" s="18"/>
      <c r="V70" s="18"/>
      <c r="W70" s="18"/>
      <c r="X70" s="18"/>
      <c r="Y70" s="18"/>
      <c r="Z70" s="18"/>
      <c r="AA70" s="18"/>
      <c r="AB70" s="24"/>
    </row>
    <row r="71" spans="1:29" s="23" customFormat="1">
      <c r="A71" s="18"/>
      <c r="B71" s="18"/>
      <c r="C71" s="18"/>
      <c r="D71" s="24"/>
      <c r="F71" s="24"/>
      <c r="G71" s="24"/>
      <c r="H71" s="24"/>
      <c r="I71" s="24"/>
      <c r="J71" s="18"/>
      <c r="K71" s="18"/>
      <c r="L71" s="18"/>
      <c r="M71" s="18"/>
      <c r="N71" s="18"/>
      <c r="O71" s="18"/>
      <c r="P71" s="18"/>
      <c r="Q71" s="18"/>
      <c r="R71" s="18"/>
      <c r="S71" s="18"/>
      <c r="T71" s="18"/>
      <c r="U71" s="18"/>
      <c r="V71" s="18"/>
      <c r="W71" s="18"/>
      <c r="X71" s="18"/>
      <c r="Y71" s="18"/>
      <c r="Z71" s="18"/>
      <c r="AA71" s="18"/>
      <c r="AB71" s="24"/>
    </row>
    <row r="72" spans="1:29" s="23" customFormat="1">
      <c r="A72" s="18"/>
      <c r="B72" s="18"/>
      <c r="C72" s="18"/>
      <c r="D72" s="24"/>
      <c r="F72" s="24"/>
      <c r="G72" s="24"/>
      <c r="H72" s="24"/>
      <c r="I72" s="24"/>
      <c r="J72" s="18"/>
      <c r="K72" s="18"/>
      <c r="L72" s="18"/>
      <c r="M72" s="18"/>
      <c r="N72" s="18"/>
      <c r="O72" s="18"/>
      <c r="P72" s="18"/>
      <c r="Q72" s="18"/>
      <c r="R72" s="18"/>
      <c r="S72" s="18"/>
      <c r="T72" s="18"/>
      <c r="U72" s="18"/>
      <c r="V72" s="18"/>
      <c r="W72" s="18"/>
      <c r="X72" s="18"/>
      <c r="Y72" s="18"/>
      <c r="Z72" s="18"/>
      <c r="AA72" s="18"/>
      <c r="AB72" s="24"/>
    </row>
  </sheetData>
  <mergeCells count="27">
    <mergeCell ref="AB62:AB66"/>
    <mergeCell ref="A1:AB1"/>
    <mergeCell ref="A2:AB2"/>
    <mergeCell ref="A3:AB3"/>
    <mergeCell ref="D4:J4"/>
    <mergeCell ref="Q4:AB4"/>
    <mergeCell ref="A5:A6"/>
    <mergeCell ref="AB54:AB57"/>
    <mergeCell ref="AB5:AB6"/>
    <mergeCell ref="AB24:AB28"/>
    <mergeCell ref="AB43:AB47"/>
    <mergeCell ref="AB16:AB20"/>
    <mergeCell ref="V5:X5"/>
    <mergeCell ref="Y5:AA5"/>
    <mergeCell ref="Q5:U5"/>
    <mergeCell ref="C5:C6"/>
    <mergeCell ref="P5:P6"/>
    <mergeCell ref="G5:G6"/>
    <mergeCell ref="H5:I5"/>
    <mergeCell ref="B5:B6"/>
    <mergeCell ref="D5:D6"/>
    <mergeCell ref="E5:E6"/>
    <mergeCell ref="F5:F6"/>
    <mergeCell ref="M5:O5"/>
    <mergeCell ref="J5:J6"/>
    <mergeCell ref="K5:K6"/>
    <mergeCell ref="L5:L6"/>
  </mergeCells>
  <pageMargins left="0.19685039400000001" right="7.8740157000000005E-2" top="1.0905511809999999" bottom="0.65" header="0.118110236220472" footer="0"/>
  <pageSetup paperSize="9" scale="85" orientation="landscape" verticalDpi="0" r:id="rId1"/>
  <headerFooter>
    <oddHeader>&amp;C&amp;P</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2"/>
  <sheetViews>
    <sheetView tabSelected="1" view="pageLayout" zoomScaleNormal="100" workbookViewId="0">
      <selection activeCell="C12" sqref="C12"/>
    </sheetView>
  </sheetViews>
  <sheetFormatPr defaultColWidth="9" defaultRowHeight="15"/>
  <cols>
    <col min="1" max="1" width="5" style="18" customWidth="1"/>
    <col min="2" max="2" width="38" style="18" customWidth="1"/>
    <col min="3" max="3" width="13.875" style="18" customWidth="1"/>
    <col min="4" max="4" width="11.75" style="24" hidden="1" customWidth="1"/>
    <col min="5" max="5" width="0.875" style="23" hidden="1" customWidth="1"/>
    <col min="6" max="6" width="9.5" style="24" customWidth="1"/>
    <col min="7" max="7" width="14.375" style="24" hidden="1" customWidth="1"/>
    <col min="8" max="8" width="8.25" style="24" hidden="1" customWidth="1"/>
    <col min="9" max="9" width="8.5" style="24" hidden="1" customWidth="1"/>
    <col min="10" max="10" width="6.5" style="18" hidden="1" customWidth="1"/>
    <col min="11" max="11" width="7.125" style="18" hidden="1" customWidth="1"/>
    <col min="12" max="12" width="9.625" style="18" hidden="1" customWidth="1"/>
    <col min="13" max="13" width="8.625" style="18" customWidth="1"/>
    <col min="14" max="14" width="7.25" style="18" customWidth="1"/>
    <col min="15" max="15" width="7" style="18" customWidth="1"/>
    <col min="16" max="16" width="7.875" style="18" hidden="1" customWidth="1"/>
    <col min="17" max="17" width="14.375" style="18" hidden="1" customWidth="1"/>
    <col min="18" max="18" width="7.5" style="18" hidden="1" customWidth="1"/>
    <col min="19" max="19" width="7.875" style="18" hidden="1" customWidth="1"/>
    <col min="20" max="20" width="7.375" style="18" hidden="1" customWidth="1"/>
    <col min="21" max="21" width="8.75" style="18" hidden="1" customWidth="1"/>
    <col min="22" max="23" width="8.75" style="18" customWidth="1"/>
    <col min="24" max="24" width="5.875" style="18" customWidth="1"/>
    <col min="25" max="26" width="8.75" style="18" customWidth="1"/>
    <col min="27" max="27" width="6.875" style="18" customWidth="1"/>
    <col min="28" max="28" width="21.625" style="24" customWidth="1"/>
    <col min="29" max="16384" width="9" style="18"/>
  </cols>
  <sheetData>
    <row r="1" spans="1:30">
      <c r="A1" s="63" t="s">
        <v>129</v>
      </c>
      <c r="B1" s="63"/>
      <c r="C1" s="63"/>
      <c r="D1" s="63"/>
      <c r="E1" s="63"/>
      <c r="F1" s="63"/>
      <c r="G1" s="63"/>
      <c r="H1" s="63"/>
      <c r="I1" s="63"/>
      <c r="J1" s="63"/>
      <c r="K1" s="63"/>
      <c r="L1" s="63"/>
      <c r="M1" s="63"/>
      <c r="N1" s="63"/>
      <c r="O1" s="63"/>
      <c r="P1" s="63"/>
      <c r="Q1" s="63"/>
      <c r="R1" s="63"/>
      <c r="S1" s="63"/>
      <c r="T1" s="63"/>
      <c r="U1" s="63"/>
      <c r="V1" s="63"/>
      <c r="W1" s="63"/>
      <c r="X1" s="63"/>
      <c r="Y1" s="63"/>
      <c r="Z1" s="63"/>
      <c r="AA1" s="63"/>
      <c r="AB1" s="63"/>
    </row>
    <row r="2" spans="1:30" ht="35.25" customHeight="1">
      <c r="A2" s="64" t="s">
        <v>127</v>
      </c>
      <c r="B2" s="64"/>
      <c r="C2" s="64"/>
      <c r="D2" s="64"/>
      <c r="E2" s="64"/>
      <c r="F2" s="64"/>
      <c r="G2" s="64"/>
      <c r="H2" s="64"/>
      <c r="I2" s="64"/>
      <c r="J2" s="64"/>
      <c r="K2" s="64"/>
      <c r="L2" s="64"/>
      <c r="M2" s="64"/>
      <c r="N2" s="64"/>
      <c r="O2" s="64"/>
      <c r="P2" s="64"/>
      <c r="Q2" s="64"/>
      <c r="R2" s="64"/>
      <c r="S2" s="64"/>
      <c r="T2" s="64"/>
      <c r="U2" s="64"/>
      <c r="V2" s="64"/>
      <c r="W2" s="64"/>
      <c r="X2" s="64"/>
      <c r="Y2" s="64"/>
      <c r="Z2" s="64"/>
      <c r="AA2" s="64"/>
      <c r="AB2" s="64"/>
    </row>
    <row r="3" spans="1:30">
      <c r="A3" s="65" t="s">
        <v>131</v>
      </c>
      <c r="B3" s="65"/>
      <c r="C3" s="65"/>
      <c r="D3" s="65"/>
      <c r="E3" s="65"/>
      <c r="F3" s="65"/>
      <c r="G3" s="65"/>
      <c r="H3" s="65"/>
      <c r="I3" s="65"/>
      <c r="J3" s="65"/>
      <c r="K3" s="65"/>
      <c r="L3" s="65"/>
      <c r="M3" s="65"/>
      <c r="N3" s="65"/>
      <c r="O3" s="65"/>
      <c r="P3" s="65"/>
      <c r="Q3" s="65"/>
      <c r="R3" s="65"/>
      <c r="S3" s="65"/>
      <c r="T3" s="65"/>
      <c r="U3" s="65"/>
      <c r="V3" s="65"/>
      <c r="W3" s="65"/>
      <c r="X3" s="65"/>
      <c r="Y3" s="65"/>
      <c r="Z3" s="65"/>
      <c r="AA3" s="65"/>
      <c r="AB3" s="65"/>
    </row>
    <row r="4" spans="1:30" s="22" customFormat="1">
      <c r="A4" s="21"/>
      <c r="B4" s="21"/>
      <c r="C4" s="21"/>
      <c r="D4" s="66"/>
      <c r="E4" s="66"/>
      <c r="F4" s="66"/>
      <c r="G4" s="66"/>
      <c r="H4" s="66"/>
      <c r="I4" s="66"/>
      <c r="J4" s="66"/>
      <c r="K4" s="21"/>
      <c r="L4" s="21"/>
      <c r="M4" s="21"/>
      <c r="N4" s="21"/>
      <c r="O4" s="21"/>
      <c r="P4" s="21"/>
      <c r="Q4" s="67" t="s">
        <v>0</v>
      </c>
      <c r="R4" s="67"/>
      <c r="S4" s="67"/>
      <c r="T4" s="67"/>
      <c r="U4" s="67"/>
      <c r="V4" s="67"/>
      <c r="W4" s="67"/>
      <c r="X4" s="67"/>
      <c r="Y4" s="67"/>
      <c r="Z4" s="67"/>
      <c r="AA4" s="67"/>
      <c r="AB4" s="67"/>
    </row>
    <row r="5" spans="1:30" s="22" customFormat="1" ht="32.25" customHeight="1">
      <c r="A5" s="59" t="s">
        <v>1</v>
      </c>
      <c r="B5" s="59" t="s">
        <v>2</v>
      </c>
      <c r="C5" s="58" t="s">
        <v>94</v>
      </c>
      <c r="D5" s="57" t="s">
        <v>3</v>
      </c>
      <c r="E5" s="57" t="s">
        <v>4</v>
      </c>
      <c r="F5" s="58" t="s">
        <v>5</v>
      </c>
      <c r="G5" s="58" t="s">
        <v>118</v>
      </c>
      <c r="H5" s="58" t="s">
        <v>107</v>
      </c>
      <c r="I5" s="58"/>
      <c r="J5" s="58" t="s">
        <v>6</v>
      </c>
      <c r="K5" s="58" t="s">
        <v>92</v>
      </c>
      <c r="L5" s="58" t="s">
        <v>78</v>
      </c>
      <c r="M5" s="58" t="s">
        <v>124</v>
      </c>
      <c r="N5" s="58"/>
      <c r="O5" s="58"/>
      <c r="P5" s="57" t="s">
        <v>7</v>
      </c>
      <c r="Q5" s="57" t="s">
        <v>93</v>
      </c>
      <c r="R5" s="57"/>
      <c r="S5" s="57"/>
      <c r="T5" s="57"/>
      <c r="U5" s="57"/>
      <c r="V5" s="69" t="s">
        <v>125</v>
      </c>
      <c r="W5" s="70"/>
      <c r="X5" s="71"/>
      <c r="Y5" s="72" t="s">
        <v>126</v>
      </c>
      <c r="Z5" s="73"/>
      <c r="AA5" s="74"/>
      <c r="AB5" s="58" t="s">
        <v>91</v>
      </c>
    </row>
    <row r="6" spans="1:30" s="22" customFormat="1" ht="66.95" customHeight="1">
      <c r="A6" s="59"/>
      <c r="B6" s="59"/>
      <c r="C6" s="58"/>
      <c r="D6" s="57"/>
      <c r="E6" s="57"/>
      <c r="F6" s="58"/>
      <c r="G6" s="58"/>
      <c r="H6" s="54" t="s">
        <v>108</v>
      </c>
      <c r="I6" s="54" t="s">
        <v>109</v>
      </c>
      <c r="J6" s="58"/>
      <c r="K6" s="58"/>
      <c r="L6" s="58"/>
      <c r="M6" s="54" t="s">
        <v>90</v>
      </c>
      <c r="N6" s="54" t="s">
        <v>88</v>
      </c>
      <c r="O6" s="54" t="s">
        <v>130</v>
      </c>
      <c r="P6" s="57"/>
      <c r="Q6" s="54" t="s">
        <v>88</v>
      </c>
      <c r="R6" s="54" t="s">
        <v>89</v>
      </c>
      <c r="S6" s="9"/>
      <c r="T6" s="9"/>
      <c r="U6" s="53" t="s">
        <v>89</v>
      </c>
      <c r="V6" s="54" t="s">
        <v>90</v>
      </c>
      <c r="W6" s="54" t="s">
        <v>88</v>
      </c>
      <c r="X6" s="54" t="s">
        <v>130</v>
      </c>
      <c r="Y6" s="54" t="s">
        <v>90</v>
      </c>
      <c r="Z6" s="54" t="s">
        <v>88</v>
      </c>
      <c r="AA6" s="54" t="s">
        <v>130</v>
      </c>
      <c r="AB6" s="58"/>
    </row>
    <row r="7" spans="1:30" ht="30" customHeight="1">
      <c r="A7" s="55"/>
      <c r="B7" s="25" t="s">
        <v>106</v>
      </c>
      <c r="C7" s="25"/>
      <c r="D7" s="26"/>
      <c r="E7" s="55"/>
      <c r="F7" s="54"/>
      <c r="G7" s="11">
        <f>SUBTOTAL(109,G8:G66)</f>
        <v>557846.19999999995</v>
      </c>
      <c r="H7" s="11">
        <f>SUBTOTAL(109,H8:H66)</f>
        <v>239378.8</v>
      </c>
      <c r="I7" s="11">
        <f>SUBTOTAL(109,I8:I66)</f>
        <v>5470</v>
      </c>
      <c r="J7" s="11"/>
      <c r="K7" s="11">
        <f t="shared" ref="K7:W7" si="0">SUBTOTAL(109,K8:K66)</f>
        <v>151.95331861575244</v>
      </c>
      <c r="L7" s="11">
        <f t="shared" si="0"/>
        <v>789345</v>
      </c>
      <c r="M7" s="11">
        <f t="shared" si="0"/>
        <v>791755</v>
      </c>
      <c r="N7" s="11">
        <f t="shared" si="0"/>
        <v>742553</v>
      </c>
      <c r="O7" s="11">
        <f t="shared" si="0"/>
        <v>49202</v>
      </c>
      <c r="P7" s="11">
        <f t="shared" si="0"/>
        <v>124998</v>
      </c>
      <c r="Q7" s="11">
        <f t="shared" si="0"/>
        <v>12871.173913043478</v>
      </c>
      <c r="R7" s="11">
        <f t="shared" si="0"/>
        <v>173059</v>
      </c>
      <c r="S7" s="11">
        <f t="shared" si="0"/>
        <v>124051</v>
      </c>
      <c r="T7" s="11">
        <f t="shared" si="0"/>
        <v>21086.2</v>
      </c>
      <c r="U7" s="11">
        <f t="shared" si="0"/>
        <v>0</v>
      </c>
      <c r="V7" s="11">
        <f t="shared" si="0"/>
        <v>305196</v>
      </c>
      <c r="W7" s="11">
        <f t="shared" si="0"/>
        <v>305196</v>
      </c>
      <c r="X7" s="11"/>
      <c r="Y7" s="11">
        <f>SUBTOTAL(109,Y8:Y66)</f>
        <v>240482</v>
      </c>
      <c r="Z7" s="11">
        <f>SUBTOTAL(109,Z8:Z66)</f>
        <v>215482</v>
      </c>
      <c r="AA7" s="11">
        <f>SUBTOTAL(109,AA8:AA66)</f>
        <v>25000</v>
      </c>
      <c r="AB7" s="54"/>
      <c r="AC7" s="27"/>
    </row>
    <row r="8" spans="1:30" ht="28.5">
      <c r="A8" s="55" t="s">
        <v>8</v>
      </c>
      <c r="B8" s="28" t="s">
        <v>9</v>
      </c>
      <c r="C8" s="28"/>
      <c r="D8" s="53"/>
      <c r="E8" s="53"/>
      <c r="F8" s="54"/>
      <c r="G8" s="11">
        <f t="shared" ref="G8:W8" si="1">SUBTOTAL(109,G9:G14)</f>
        <v>51000</v>
      </c>
      <c r="H8" s="11">
        <f t="shared" si="1"/>
        <v>28942</v>
      </c>
      <c r="I8" s="11">
        <f t="shared" si="1"/>
        <v>5470</v>
      </c>
      <c r="J8" s="11">
        <f t="shared" si="1"/>
        <v>2633.95</v>
      </c>
      <c r="K8" s="11">
        <f t="shared" si="1"/>
        <v>51.407202110898076</v>
      </c>
      <c r="L8" s="11">
        <f t="shared" si="1"/>
        <v>107336</v>
      </c>
      <c r="M8" s="11">
        <f t="shared" si="1"/>
        <v>74472</v>
      </c>
      <c r="N8" s="11">
        <f t="shared" si="1"/>
        <v>67702</v>
      </c>
      <c r="O8" s="11">
        <f t="shared" si="1"/>
        <v>6770</v>
      </c>
      <c r="P8" s="11">
        <f t="shared" si="1"/>
        <v>5500</v>
      </c>
      <c r="Q8" s="11">
        <f t="shared" si="1"/>
        <v>2422</v>
      </c>
      <c r="R8" s="11">
        <f t="shared" si="1"/>
        <v>29890</v>
      </c>
      <c r="S8" s="11">
        <f t="shared" si="1"/>
        <v>29890</v>
      </c>
      <c r="T8" s="11">
        <f t="shared" si="1"/>
        <v>6770.2</v>
      </c>
      <c r="U8" s="11">
        <f t="shared" si="1"/>
        <v>0</v>
      </c>
      <c r="V8" s="11">
        <f t="shared" si="1"/>
        <v>20000</v>
      </c>
      <c r="W8" s="11">
        <f t="shared" si="1"/>
        <v>20000</v>
      </c>
      <c r="X8" s="11"/>
      <c r="Y8" s="11">
        <f t="shared" ref="Y8:AA8" si="2">SUBTOTAL(109,Y9:Y14)</f>
        <v>19576</v>
      </c>
      <c r="Z8" s="11">
        <f t="shared" si="2"/>
        <v>16186</v>
      </c>
      <c r="AA8" s="11">
        <f t="shared" si="2"/>
        <v>3390</v>
      </c>
      <c r="AB8" s="54"/>
      <c r="AC8" s="27"/>
    </row>
    <row r="9" spans="1:30" ht="21.95" customHeight="1">
      <c r="A9" s="41" t="s">
        <v>10</v>
      </c>
      <c r="B9" s="14" t="s">
        <v>11</v>
      </c>
      <c r="C9" s="14"/>
      <c r="D9" s="4" t="s">
        <v>84</v>
      </c>
      <c r="E9" s="50"/>
      <c r="F9" s="51"/>
      <c r="G9" s="1">
        <f>SUBTOTAL(109,G10:G14)</f>
        <v>51000</v>
      </c>
      <c r="H9" s="1">
        <f t="shared" ref="H9:I9" si="3">SUBTOTAL(109,H10:H14)</f>
        <v>28942</v>
      </c>
      <c r="I9" s="1">
        <f t="shared" si="3"/>
        <v>5470</v>
      </c>
      <c r="J9" s="1">
        <f>SUM(J10:J14)</f>
        <v>1316.9750000000001</v>
      </c>
      <c r="K9" s="19">
        <f>N9/J9</f>
        <v>51.407202110898076</v>
      </c>
      <c r="L9" s="1">
        <f>SUBTOTAL(109,L10:L14)</f>
        <v>107336</v>
      </c>
      <c r="M9" s="1">
        <f>SUBTOTAL(109,M10:M14)</f>
        <v>74472</v>
      </c>
      <c r="N9" s="1">
        <f>SUBTOTAL(109,N10:N14)</f>
        <v>67702</v>
      </c>
      <c r="O9" s="1">
        <f>SUBTOTAL(109,O10:O14)</f>
        <v>6770</v>
      </c>
      <c r="P9" s="1">
        <f t="shared" ref="P9:W9" si="4">SUBTOTAL(109,P10:P14)</f>
        <v>5500</v>
      </c>
      <c r="Q9" s="1">
        <f t="shared" si="4"/>
        <v>2422</v>
      </c>
      <c r="R9" s="1">
        <f t="shared" si="4"/>
        <v>29890</v>
      </c>
      <c r="S9" s="1">
        <f t="shared" si="4"/>
        <v>29890</v>
      </c>
      <c r="T9" s="1">
        <f t="shared" si="4"/>
        <v>6770.2</v>
      </c>
      <c r="U9" s="1">
        <f t="shared" si="4"/>
        <v>0</v>
      </c>
      <c r="V9" s="1">
        <f t="shared" si="4"/>
        <v>20000</v>
      </c>
      <c r="W9" s="1">
        <f t="shared" si="4"/>
        <v>20000</v>
      </c>
      <c r="X9" s="1"/>
      <c r="Y9" s="1">
        <f t="shared" ref="Y9:AA9" si="5">SUBTOTAL(109,Y10:Y14)</f>
        <v>19576</v>
      </c>
      <c r="Z9" s="1">
        <f t="shared" si="5"/>
        <v>16186</v>
      </c>
      <c r="AA9" s="1">
        <f t="shared" si="5"/>
        <v>3390</v>
      </c>
      <c r="AB9" s="20"/>
      <c r="AC9" s="27"/>
    </row>
    <row r="10" spans="1:30" ht="20.25" customHeight="1">
      <c r="A10" s="2">
        <v>1</v>
      </c>
      <c r="B10" s="3" t="s">
        <v>12</v>
      </c>
      <c r="C10" s="3"/>
      <c r="D10" s="4" t="s">
        <v>79</v>
      </c>
      <c r="E10" s="29"/>
      <c r="F10" s="31"/>
      <c r="G10" s="37">
        <f>500*21</f>
        <v>10500</v>
      </c>
      <c r="H10" s="1">
        <f>M10-G10</f>
        <v>21210</v>
      </c>
      <c r="I10" s="31"/>
      <c r="J10" s="1">
        <f>(206+801)*0.4+702*0.225</f>
        <v>560.75</v>
      </c>
      <c r="K10" s="19"/>
      <c r="L10" s="1">
        <f>N10+T10</f>
        <v>31713</v>
      </c>
      <c r="M10" s="1">
        <f t="shared" ref="M10:M39" si="6">N10+O10</f>
        <v>31710</v>
      </c>
      <c r="N10" s="1">
        <f>ROUND((118702-51000)/$J$9*J10,-1)</f>
        <v>28830</v>
      </c>
      <c r="O10" s="1">
        <f>ROUND(N10*0.1,-1)</f>
        <v>2880</v>
      </c>
      <c r="P10" s="1">
        <v>1500</v>
      </c>
      <c r="Q10" s="1">
        <f>2422*J10/J9</f>
        <v>1031.2545796237589</v>
      </c>
      <c r="R10" s="1">
        <f>(N10-P10-Q10)/2</f>
        <v>13149.372710188121</v>
      </c>
      <c r="S10" s="1">
        <f t="shared" ref="S10:S14" si="7">R10</f>
        <v>13149.372710188121</v>
      </c>
      <c r="T10" s="1">
        <f>N10*0.1</f>
        <v>2883</v>
      </c>
      <c r="U10" s="1"/>
      <c r="V10" s="1">
        <f>W10+X10</f>
        <v>4500</v>
      </c>
      <c r="W10" s="1">
        <f>1500+3000</f>
        <v>4500</v>
      </c>
      <c r="X10" s="1"/>
      <c r="Y10" s="1">
        <f>Z10+AA10</f>
        <v>8330</v>
      </c>
      <c r="Z10" s="1">
        <f>ROUND(16186/$J$9*J10,-1)</f>
        <v>6890</v>
      </c>
      <c r="AA10" s="1">
        <f>ROUND(O10/2,-1)</f>
        <v>1440</v>
      </c>
      <c r="AB10" s="56" t="s">
        <v>13</v>
      </c>
      <c r="AC10" s="27"/>
    </row>
    <row r="11" spans="1:30" ht="18.95" customHeight="1">
      <c r="A11" s="2">
        <v>2</v>
      </c>
      <c r="B11" s="3" t="s">
        <v>15</v>
      </c>
      <c r="C11" s="3"/>
      <c r="D11" s="4" t="s">
        <v>80</v>
      </c>
      <c r="E11" s="29"/>
      <c r="F11" s="31"/>
      <c r="G11" s="37">
        <f>500*19</f>
        <v>9500</v>
      </c>
      <c r="H11" s="1">
        <f t="shared" ref="H11:H14" si="8">M11-G11</f>
        <v>4350</v>
      </c>
      <c r="I11" s="31"/>
      <c r="J11" s="1">
        <f>(204+376)*0.4+57*0.225</f>
        <v>244.82499999999999</v>
      </c>
      <c r="K11" s="19"/>
      <c r="L11" s="1">
        <v>24483</v>
      </c>
      <c r="M11" s="1">
        <f t="shared" si="6"/>
        <v>13850</v>
      </c>
      <c r="N11" s="1">
        <f>ROUND((118702-51000)/$J$9*J11,-1)</f>
        <v>12590</v>
      </c>
      <c r="O11" s="1">
        <f>ROUND(N11*0.1,-1)</f>
        <v>1260</v>
      </c>
      <c r="P11" s="1">
        <v>500</v>
      </c>
      <c r="Q11" s="1">
        <f>2422*J11/J9</f>
        <v>450.24860001138973</v>
      </c>
      <c r="R11" s="1">
        <f>(N11-P11-Q11)/2</f>
        <v>5819.8756999943053</v>
      </c>
      <c r="S11" s="1">
        <f t="shared" si="7"/>
        <v>5819.8756999943053</v>
      </c>
      <c r="T11" s="1">
        <f t="shared" ref="T11:T14" si="9">N11*0.1</f>
        <v>1259</v>
      </c>
      <c r="U11" s="1"/>
      <c r="V11" s="1">
        <f t="shared" ref="V11:V14" si="10">W11+X11</f>
        <v>3500</v>
      </c>
      <c r="W11" s="1">
        <f>500+3000</f>
        <v>3500</v>
      </c>
      <c r="X11" s="1"/>
      <c r="Y11" s="1">
        <f t="shared" ref="Y11:Y14" si="11">Z11+AA11</f>
        <v>3640</v>
      </c>
      <c r="Z11" s="1">
        <f t="shared" ref="Z11:Z13" si="12">ROUND(16186/$J$9*J11,-1)</f>
        <v>3010</v>
      </c>
      <c r="AA11" s="1">
        <f t="shared" ref="AA11:AA14" si="13">ROUND(O11/2,-1)</f>
        <v>630</v>
      </c>
      <c r="AB11" s="56" t="s">
        <v>16</v>
      </c>
      <c r="AC11" s="27"/>
    </row>
    <row r="12" spans="1:30" ht="19.5" customHeight="1">
      <c r="A12" s="2">
        <v>3</v>
      </c>
      <c r="B12" s="3" t="s">
        <v>17</v>
      </c>
      <c r="C12" s="3"/>
      <c r="D12" s="4" t="s">
        <v>81</v>
      </c>
      <c r="E12" s="29"/>
      <c r="F12" s="31"/>
      <c r="G12" s="37">
        <f>500*22</f>
        <v>11000</v>
      </c>
      <c r="H12" s="1">
        <f t="shared" si="8"/>
        <v>1360</v>
      </c>
      <c r="I12" s="31"/>
      <c r="J12" s="1">
        <f>(149+276)*0.4+216*0.225</f>
        <v>218.6</v>
      </c>
      <c r="K12" s="19"/>
      <c r="L12" s="1">
        <f>149*40+276*40+216*22.5</f>
        <v>21860</v>
      </c>
      <c r="M12" s="1">
        <f t="shared" si="6"/>
        <v>12360</v>
      </c>
      <c r="N12" s="1">
        <f>ROUND((118702-51000)/$J$9*J12,-1)</f>
        <v>11240</v>
      </c>
      <c r="O12" s="1">
        <f>ROUND(N12*0.1,-1)</f>
        <v>1120</v>
      </c>
      <c r="P12" s="1">
        <v>1000</v>
      </c>
      <c r="Q12" s="1">
        <f>2422*J12/J9</f>
        <v>402.01917272537435</v>
      </c>
      <c r="R12" s="1">
        <f>(N12-P12-Q12)/2</f>
        <v>4918.9904136373125</v>
      </c>
      <c r="S12" s="1">
        <f t="shared" si="7"/>
        <v>4918.9904136373125</v>
      </c>
      <c r="T12" s="1">
        <f t="shared" si="9"/>
        <v>1124</v>
      </c>
      <c r="U12" s="1"/>
      <c r="V12" s="1">
        <f t="shared" si="10"/>
        <v>4000</v>
      </c>
      <c r="W12" s="1">
        <f>1000+3000</f>
        <v>4000</v>
      </c>
      <c r="X12" s="1"/>
      <c r="Y12" s="1">
        <f t="shared" si="11"/>
        <v>3250</v>
      </c>
      <c r="Z12" s="1">
        <f t="shared" si="12"/>
        <v>2690</v>
      </c>
      <c r="AA12" s="1">
        <f t="shared" si="13"/>
        <v>560</v>
      </c>
      <c r="AB12" s="56" t="s">
        <v>18</v>
      </c>
      <c r="AC12" s="27"/>
      <c r="AD12" s="27"/>
    </row>
    <row r="13" spans="1:30" ht="18" customHeight="1">
      <c r="A13" s="2">
        <v>4</v>
      </c>
      <c r="B13" s="3" t="s">
        <v>19</v>
      </c>
      <c r="C13" s="3"/>
      <c r="D13" s="4" t="s">
        <v>82</v>
      </c>
      <c r="E13" s="30" t="s">
        <v>43</v>
      </c>
      <c r="F13" s="31"/>
      <c r="G13" s="37">
        <f>500*36</f>
        <v>18000</v>
      </c>
      <c r="H13" s="1"/>
      <c r="I13" s="1">
        <f>G13-M13</f>
        <v>5470</v>
      </c>
      <c r="J13" s="1">
        <f>(271+283)*0.4</f>
        <v>221.60000000000002</v>
      </c>
      <c r="K13" s="19"/>
      <c r="L13" s="1">
        <f>271*40+283*40</f>
        <v>22160</v>
      </c>
      <c r="M13" s="1">
        <f t="shared" si="6"/>
        <v>12530</v>
      </c>
      <c r="N13" s="1">
        <f>ROUND((118702-51000)/$J$9*J13,-1)</f>
        <v>11390</v>
      </c>
      <c r="O13" s="1">
        <f>ROUND(N13*0.1,-1)</f>
        <v>1140</v>
      </c>
      <c r="P13" s="1">
        <v>2000</v>
      </c>
      <c r="Q13" s="1">
        <f>2422*J13/J9</f>
        <v>407.53636173807399</v>
      </c>
      <c r="R13" s="1">
        <f>(N13-P13-Q13)/2</f>
        <v>4491.2318191309632</v>
      </c>
      <c r="S13" s="1">
        <f t="shared" si="7"/>
        <v>4491.2318191309632</v>
      </c>
      <c r="T13" s="1">
        <f t="shared" si="9"/>
        <v>1139</v>
      </c>
      <c r="U13" s="1"/>
      <c r="V13" s="1">
        <f t="shared" si="10"/>
        <v>7000</v>
      </c>
      <c r="W13" s="1">
        <f>2000+5000</f>
        <v>7000</v>
      </c>
      <c r="X13" s="1"/>
      <c r="Y13" s="1">
        <f t="shared" si="11"/>
        <v>3290</v>
      </c>
      <c r="Z13" s="1">
        <f t="shared" si="12"/>
        <v>2720</v>
      </c>
      <c r="AA13" s="1">
        <f t="shared" si="13"/>
        <v>570</v>
      </c>
      <c r="AB13" s="56" t="s">
        <v>20</v>
      </c>
      <c r="AC13" s="27"/>
    </row>
    <row r="14" spans="1:30" ht="16.5" customHeight="1">
      <c r="A14" s="2">
        <v>5</v>
      </c>
      <c r="B14" s="3" t="s">
        <v>21</v>
      </c>
      <c r="C14" s="3"/>
      <c r="D14" s="4" t="s">
        <v>83</v>
      </c>
      <c r="E14" s="29"/>
      <c r="F14" s="31"/>
      <c r="G14" s="37">
        <f>500*4</f>
        <v>2000</v>
      </c>
      <c r="H14" s="1">
        <f t="shared" si="8"/>
        <v>2022</v>
      </c>
      <c r="I14" s="31"/>
      <c r="J14" s="1">
        <f>(69+109)*0.4</f>
        <v>71.2</v>
      </c>
      <c r="K14" s="19"/>
      <c r="L14" s="1">
        <f>69*40+109*40+0*22.5</f>
        <v>7120</v>
      </c>
      <c r="M14" s="1">
        <f t="shared" si="6"/>
        <v>4022</v>
      </c>
      <c r="N14" s="1">
        <f>ROUND((118702-51000)/$J$9*J14,-1)-8</f>
        <v>3652</v>
      </c>
      <c r="O14" s="1">
        <f>ROUND(N14*0.1,-1)</f>
        <v>370</v>
      </c>
      <c r="P14" s="1">
        <v>500</v>
      </c>
      <c r="Q14" s="1">
        <f>2422*J14/J9</f>
        <v>130.94128590140281</v>
      </c>
      <c r="R14" s="1">
        <f>(N14-P14-Q14)/2</f>
        <v>1510.5293570492986</v>
      </c>
      <c r="S14" s="1">
        <f t="shared" si="7"/>
        <v>1510.5293570492986</v>
      </c>
      <c r="T14" s="1">
        <f t="shared" si="9"/>
        <v>365.20000000000005</v>
      </c>
      <c r="U14" s="1"/>
      <c r="V14" s="1">
        <f t="shared" si="10"/>
        <v>1000</v>
      </c>
      <c r="W14" s="1">
        <f>500+500</f>
        <v>1000</v>
      </c>
      <c r="X14" s="1"/>
      <c r="Y14" s="1">
        <f t="shared" si="11"/>
        <v>1066</v>
      </c>
      <c r="Z14" s="1">
        <f>ROUND(16186/$J$9*J14,-1)-4</f>
        <v>876</v>
      </c>
      <c r="AA14" s="1">
        <f t="shared" si="13"/>
        <v>190</v>
      </c>
      <c r="AB14" s="56" t="s">
        <v>22</v>
      </c>
      <c r="AC14" s="27"/>
    </row>
    <row r="15" spans="1:30" s="12" customFormat="1" ht="28.5">
      <c r="A15" s="55" t="s">
        <v>24</v>
      </c>
      <c r="B15" s="32" t="s">
        <v>25</v>
      </c>
      <c r="C15" s="32"/>
      <c r="D15" s="55"/>
      <c r="E15" s="55"/>
      <c r="F15" s="56"/>
      <c r="G15" s="11">
        <f t="shared" ref="G15:M15" si="14">SUBTOTAL(109,G16:G20)</f>
        <v>157371.19999999998</v>
      </c>
      <c r="H15" s="11">
        <f t="shared" si="14"/>
        <v>39342.799999999996</v>
      </c>
      <c r="I15" s="11"/>
      <c r="J15" s="11">
        <f t="shared" si="14"/>
        <v>2221.7000000000003</v>
      </c>
      <c r="K15" s="11">
        <f t="shared" si="14"/>
        <v>0</v>
      </c>
      <c r="L15" s="11">
        <f t="shared" si="14"/>
        <v>196714</v>
      </c>
      <c r="M15" s="11">
        <f t="shared" si="14"/>
        <v>196714</v>
      </c>
      <c r="N15" s="11">
        <f>SUBTOTAL(109,N16:N20)</f>
        <v>196714</v>
      </c>
      <c r="O15" s="11"/>
      <c r="P15" s="11">
        <f t="shared" ref="P15:W15" si="15">SUBTOTAL(109,P16:P20)</f>
        <v>35409</v>
      </c>
      <c r="Q15" s="11">
        <f t="shared" si="15"/>
        <v>0</v>
      </c>
      <c r="R15" s="11">
        <f t="shared" si="15"/>
        <v>0</v>
      </c>
      <c r="S15" s="11">
        <f t="shared" si="15"/>
        <v>0</v>
      </c>
      <c r="T15" s="11">
        <f t="shared" si="15"/>
        <v>0</v>
      </c>
      <c r="U15" s="11">
        <f t="shared" si="15"/>
        <v>0</v>
      </c>
      <c r="V15" s="11">
        <f t="shared" si="15"/>
        <v>82875</v>
      </c>
      <c r="W15" s="11">
        <f t="shared" si="15"/>
        <v>82875</v>
      </c>
      <c r="X15" s="11"/>
      <c r="Y15" s="11">
        <f t="shared" ref="Y15:Z15" si="16">SUBTOTAL(109,Y16:Y20)</f>
        <v>44898</v>
      </c>
      <c r="Z15" s="11">
        <f t="shared" si="16"/>
        <v>44898</v>
      </c>
      <c r="AA15" s="11"/>
      <c r="AB15" s="54"/>
      <c r="AC15" s="27"/>
    </row>
    <row r="16" spans="1:30" ht="15.75">
      <c r="A16" s="2">
        <v>1</v>
      </c>
      <c r="B16" s="3" t="s">
        <v>12</v>
      </c>
      <c r="C16" s="3"/>
      <c r="D16" s="2" t="s">
        <v>26</v>
      </c>
      <c r="E16" s="5">
        <v>32400</v>
      </c>
      <c r="F16" s="56"/>
      <c r="G16" s="37">
        <v>32399.952941176471</v>
      </c>
      <c r="H16" s="1">
        <f>M16-G16</f>
        <v>3370.0470588235294</v>
      </c>
      <c r="I16" s="1"/>
      <c r="J16" s="6">
        <f>30+(39400-3000)/100+10</f>
        <v>404</v>
      </c>
      <c r="K16" s="1"/>
      <c r="L16" s="1">
        <f>N16</f>
        <v>35770</v>
      </c>
      <c r="M16" s="1">
        <f t="shared" ref="M16:M20" si="17">N16+O16</f>
        <v>35770</v>
      </c>
      <c r="N16" s="1">
        <f>ROUND(196714/$J$15*J16,-1)</f>
        <v>35770</v>
      </c>
      <c r="O16" s="1"/>
      <c r="P16" s="1">
        <v>7290</v>
      </c>
      <c r="Q16" s="1"/>
      <c r="R16" s="1"/>
      <c r="S16" s="1"/>
      <c r="T16" s="1"/>
      <c r="U16" s="1"/>
      <c r="V16" s="1">
        <f>W16+X16</f>
        <v>17062</v>
      </c>
      <c r="W16" s="1">
        <f>7290+9772</f>
        <v>17062</v>
      </c>
      <c r="X16" s="1"/>
      <c r="Y16" s="1">
        <f>Z16+AA16</f>
        <v>8160</v>
      </c>
      <c r="Z16" s="1">
        <f>ROUND((53429-8531)/$J$15*J16,-1)</f>
        <v>8160</v>
      </c>
      <c r="AA16" s="1"/>
      <c r="AB16" s="68" t="s">
        <v>27</v>
      </c>
      <c r="AC16" s="27"/>
    </row>
    <row r="17" spans="1:29" ht="15.75">
      <c r="A17" s="2">
        <v>2</v>
      </c>
      <c r="B17" s="3" t="s">
        <v>15</v>
      </c>
      <c r="C17" s="3"/>
      <c r="D17" s="2" t="s">
        <v>71</v>
      </c>
      <c r="E17" s="7">
        <v>29314</v>
      </c>
      <c r="F17" s="56"/>
      <c r="G17" s="37">
        <v>29314.243137254904</v>
      </c>
      <c r="H17" s="1">
        <f>M17-G17</f>
        <v>12245.756862745096</v>
      </c>
      <c r="I17" s="56"/>
      <c r="J17" s="6">
        <f>20+(46436-2000)/100+5</f>
        <v>469.36</v>
      </c>
      <c r="K17" s="1"/>
      <c r="L17" s="1">
        <f t="shared" ref="L17:L20" si="18">N17</f>
        <v>41560</v>
      </c>
      <c r="M17" s="1">
        <f t="shared" si="17"/>
        <v>41560</v>
      </c>
      <c r="N17" s="1">
        <f t="shared" ref="N17:N19" si="19">ROUND(196714/$J$15*J17,-1)</f>
        <v>41560</v>
      </c>
      <c r="O17" s="1"/>
      <c r="P17" s="1">
        <v>6596</v>
      </c>
      <c r="Q17" s="1"/>
      <c r="R17" s="1"/>
      <c r="S17" s="1"/>
      <c r="T17" s="1"/>
      <c r="U17" s="1"/>
      <c r="V17" s="1">
        <f t="shared" ref="V17:V20" si="20">W17+X17</f>
        <v>15438</v>
      </c>
      <c r="W17" s="1">
        <f>6596+8842</f>
        <v>15438</v>
      </c>
      <c r="X17" s="1"/>
      <c r="Y17" s="1">
        <f t="shared" ref="Y17:Y20" si="21">Z17+AA17</f>
        <v>9490</v>
      </c>
      <c r="Z17" s="1">
        <f>ROUND((53429-8531)/$J$15*J17,-1)</f>
        <v>9490</v>
      </c>
      <c r="AA17" s="1"/>
      <c r="AB17" s="68"/>
      <c r="AC17" s="27"/>
    </row>
    <row r="18" spans="1:29" ht="15.75">
      <c r="A18" s="2">
        <v>3</v>
      </c>
      <c r="B18" s="3" t="s">
        <v>17</v>
      </c>
      <c r="C18" s="3"/>
      <c r="D18" s="4" t="s">
        <v>70</v>
      </c>
      <c r="E18" s="7">
        <v>45000</v>
      </c>
      <c r="F18" s="56"/>
      <c r="G18" s="37">
        <v>33942.807843137256</v>
      </c>
      <c r="H18" s="1">
        <f>M18-G18</f>
        <v>6347.192156862744</v>
      </c>
      <c r="I18" s="56"/>
      <c r="J18" s="6">
        <f>10+(45000-1000)/100+5</f>
        <v>455</v>
      </c>
      <c r="K18" s="1"/>
      <c r="L18" s="1">
        <f t="shared" si="18"/>
        <v>40290</v>
      </c>
      <c r="M18" s="1">
        <f t="shared" si="17"/>
        <v>40290</v>
      </c>
      <c r="N18" s="1">
        <f t="shared" si="19"/>
        <v>40290</v>
      </c>
      <c r="O18" s="1"/>
      <c r="P18" s="1">
        <v>7637</v>
      </c>
      <c r="Q18" s="1"/>
      <c r="R18" s="1"/>
      <c r="S18" s="1"/>
      <c r="T18" s="1"/>
      <c r="U18" s="1"/>
      <c r="V18" s="1">
        <f t="shared" si="20"/>
        <v>17875</v>
      </c>
      <c r="W18" s="1">
        <f>7637+10238</f>
        <v>17875</v>
      </c>
      <c r="X18" s="1"/>
      <c r="Y18" s="1">
        <f t="shared" si="21"/>
        <v>9200</v>
      </c>
      <c r="Z18" s="1">
        <f>ROUND((53429-8531)/$J$15*J18,-1)</f>
        <v>9200</v>
      </c>
      <c r="AA18" s="1"/>
      <c r="AB18" s="68"/>
      <c r="AC18" s="27"/>
    </row>
    <row r="19" spans="1:29" ht="15.75">
      <c r="A19" s="2">
        <v>4</v>
      </c>
      <c r="B19" s="3" t="s">
        <v>19</v>
      </c>
      <c r="C19" s="3"/>
      <c r="D19" s="2"/>
      <c r="E19" s="7">
        <v>55543</v>
      </c>
      <c r="F19" s="56"/>
      <c r="G19" s="37">
        <v>55542.776470588236</v>
      </c>
      <c r="H19" s="1">
        <f>M19-G19</f>
        <v>4957.2235294117636</v>
      </c>
      <c r="I19" s="56"/>
      <c r="J19" s="6">
        <f>20+(67334-2000)/100+10</f>
        <v>683.34</v>
      </c>
      <c r="K19" s="1"/>
      <c r="L19" s="1">
        <f t="shared" si="18"/>
        <v>60500</v>
      </c>
      <c r="M19" s="1">
        <f t="shared" si="17"/>
        <v>60500</v>
      </c>
      <c r="N19" s="1">
        <f t="shared" si="19"/>
        <v>60500</v>
      </c>
      <c r="O19" s="1"/>
      <c r="P19" s="1">
        <v>12497</v>
      </c>
      <c r="Q19" s="1"/>
      <c r="R19" s="1"/>
      <c r="S19" s="1"/>
      <c r="T19" s="1"/>
      <c r="U19" s="1"/>
      <c r="V19" s="1">
        <f t="shared" si="20"/>
        <v>29250</v>
      </c>
      <c r="W19" s="1">
        <f>12497+16753</f>
        <v>29250</v>
      </c>
      <c r="X19" s="1"/>
      <c r="Y19" s="1">
        <f t="shared" si="21"/>
        <v>13810</v>
      </c>
      <c r="Z19" s="1">
        <f>ROUND((53429-8531)/$J$15*J19,-1)</f>
        <v>13810</v>
      </c>
      <c r="AA19" s="1"/>
      <c r="AB19" s="68"/>
      <c r="AC19" s="27"/>
    </row>
    <row r="20" spans="1:29" ht="15.75">
      <c r="A20" s="2">
        <v>5</v>
      </c>
      <c r="B20" s="3" t="s">
        <v>21</v>
      </c>
      <c r="C20" s="3"/>
      <c r="D20" s="2"/>
      <c r="E20" s="7"/>
      <c r="F20" s="56"/>
      <c r="G20" s="37">
        <v>6171.4196078431378</v>
      </c>
      <c r="H20" s="1">
        <f>M20-G20</f>
        <v>12422.580392156862</v>
      </c>
      <c r="I20" s="1"/>
      <c r="J20" s="8">
        <f>10+(21000-1000)/100</f>
        <v>210</v>
      </c>
      <c r="K20" s="1"/>
      <c r="L20" s="1">
        <f t="shared" si="18"/>
        <v>18594</v>
      </c>
      <c r="M20" s="1">
        <f t="shared" si="17"/>
        <v>18594</v>
      </c>
      <c r="N20" s="1">
        <f>ROUND(196714/$J$15*J20,-1)+4</f>
        <v>18594</v>
      </c>
      <c r="O20" s="1"/>
      <c r="P20" s="1">
        <v>1389</v>
      </c>
      <c r="Q20" s="1"/>
      <c r="R20" s="1"/>
      <c r="S20" s="1"/>
      <c r="T20" s="1"/>
      <c r="U20" s="1"/>
      <c r="V20" s="1">
        <f t="shared" si="20"/>
        <v>3250</v>
      </c>
      <c r="W20" s="1">
        <f>1389+1861</f>
        <v>3250</v>
      </c>
      <c r="X20" s="1"/>
      <c r="Y20" s="1">
        <f t="shared" si="21"/>
        <v>4238</v>
      </c>
      <c r="Z20" s="1">
        <f>ROUND((53429-8531)/$J$15*J20,-1)-2</f>
        <v>4238</v>
      </c>
      <c r="AA20" s="1"/>
      <c r="AB20" s="68"/>
      <c r="AC20" s="27"/>
    </row>
    <row r="21" spans="1:29" s="12" customFormat="1" ht="57">
      <c r="A21" s="55" t="s">
        <v>28</v>
      </c>
      <c r="B21" s="9" t="s">
        <v>29</v>
      </c>
      <c r="C21" s="9"/>
      <c r="D21" s="53"/>
      <c r="E21" s="53"/>
      <c r="F21" s="56"/>
      <c r="G21" s="11">
        <f>SUBTOTAL(109,G22:G31)</f>
        <v>129289</v>
      </c>
      <c r="H21" s="11">
        <f>SUBTOTAL(109,H22:H31)</f>
        <v>48820</v>
      </c>
      <c r="I21" s="11"/>
      <c r="J21" s="11"/>
      <c r="K21" s="11">
        <f t="shared" ref="K21:AA21" si="22">SUBTOTAL(109,K22:K31)</f>
        <v>0</v>
      </c>
      <c r="L21" s="11">
        <f t="shared" si="22"/>
        <v>170947</v>
      </c>
      <c r="M21" s="11">
        <f t="shared" si="22"/>
        <v>178109</v>
      </c>
      <c r="N21" s="11">
        <f t="shared" si="22"/>
        <v>163789</v>
      </c>
      <c r="O21" s="11">
        <f t="shared" si="22"/>
        <v>14320</v>
      </c>
      <c r="P21" s="11">
        <f t="shared" si="22"/>
        <v>29482</v>
      </c>
      <c r="Q21" s="11">
        <f t="shared" si="22"/>
        <v>0</v>
      </c>
      <c r="R21" s="11">
        <f t="shared" si="22"/>
        <v>16892</v>
      </c>
      <c r="S21" s="11">
        <f t="shared" si="22"/>
        <v>13392</v>
      </c>
      <c r="T21" s="11">
        <f t="shared" si="22"/>
        <v>14316</v>
      </c>
      <c r="U21" s="11">
        <f t="shared" si="22"/>
        <v>0</v>
      </c>
      <c r="V21" s="11">
        <f t="shared" si="22"/>
        <v>69004</v>
      </c>
      <c r="W21" s="11">
        <f t="shared" si="22"/>
        <v>69004</v>
      </c>
      <c r="X21" s="11"/>
      <c r="Y21" s="11">
        <f t="shared" si="22"/>
        <v>61712</v>
      </c>
      <c r="Z21" s="11">
        <f t="shared" si="22"/>
        <v>47392</v>
      </c>
      <c r="AA21" s="11">
        <f t="shared" si="22"/>
        <v>14320</v>
      </c>
      <c r="AB21" s="54"/>
      <c r="AC21" s="27"/>
    </row>
    <row r="22" spans="1:29" ht="42.75">
      <c r="A22" s="55"/>
      <c r="B22" s="32" t="s">
        <v>30</v>
      </c>
      <c r="C22" s="32"/>
      <c r="D22" s="55"/>
      <c r="E22" s="55"/>
      <c r="F22" s="56"/>
      <c r="G22" s="11">
        <f>SUBTOTAL(109,G23:G31)</f>
        <v>129289</v>
      </c>
      <c r="H22" s="11">
        <f>SUBTOTAL(109,H23:H31)</f>
        <v>48820</v>
      </c>
      <c r="I22" s="11"/>
      <c r="J22" s="11"/>
      <c r="K22" s="11"/>
      <c r="L22" s="11">
        <f t="shared" ref="L22:AA22" si="23">SUBTOTAL(109,L23:L31)</f>
        <v>170947</v>
      </c>
      <c r="M22" s="11">
        <f t="shared" si="23"/>
        <v>178109</v>
      </c>
      <c r="N22" s="11">
        <f t="shared" si="23"/>
        <v>163789</v>
      </c>
      <c r="O22" s="11">
        <f t="shared" si="23"/>
        <v>14320</v>
      </c>
      <c r="P22" s="11">
        <f t="shared" si="23"/>
        <v>29482</v>
      </c>
      <c r="Q22" s="11">
        <f t="shared" si="23"/>
        <v>0</v>
      </c>
      <c r="R22" s="11">
        <f t="shared" si="23"/>
        <v>16892</v>
      </c>
      <c r="S22" s="11">
        <f t="shared" si="23"/>
        <v>13392</v>
      </c>
      <c r="T22" s="11">
        <f t="shared" si="23"/>
        <v>14316</v>
      </c>
      <c r="U22" s="11">
        <f t="shared" si="23"/>
        <v>0</v>
      </c>
      <c r="V22" s="11">
        <f t="shared" si="23"/>
        <v>69004</v>
      </c>
      <c r="W22" s="11">
        <f t="shared" si="23"/>
        <v>69004</v>
      </c>
      <c r="X22" s="11"/>
      <c r="Y22" s="11">
        <f t="shared" si="23"/>
        <v>61712</v>
      </c>
      <c r="Z22" s="11">
        <f t="shared" si="23"/>
        <v>47392</v>
      </c>
      <c r="AA22" s="11">
        <f t="shared" si="23"/>
        <v>14320</v>
      </c>
      <c r="AB22" s="54"/>
      <c r="AC22" s="27"/>
    </row>
    <row r="23" spans="1:29" ht="30">
      <c r="A23" s="2" t="s">
        <v>10</v>
      </c>
      <c r="B23" s="3" t="s">
        <v>31</v>
      </c>
      <c r="C23" s="3"/>
      <c r="D23" s="4" t="s">
        <v>32</v>
      </c>
      <c r="E23" s="2"/>
      <c r="F23" s="56"/>
      <c r="G23" s="1">
        <f>SUBTOTAL(109,G24:G28)</f>
        <v>93789</v>
      </c>
      <c r="H23" s="1">
        <f t="shared" ref="H23" si="24">SUBTOTAL(109,H24:H28)</f>
        <v>48820</v>
      </c>
      <c r="I23" s="1"/>
      <c r="J23" s="1">
        <f>SUBTOTAL(109,J24:J28)</f>
        <v>1432.9150000000002</v>
      </c>
      <c r="K23" s="19"/>
      <c r="L23" s="1">
        <f t="shared" ref="L23:Q23" si="25">SUBTOTAL(109,L24:L28)</f>
        <v>135447</v>
      </c>
      <c r="M23" s="1">
        <f t="shared" si="25"/>
        <v>142609</v>
      </c>
      <c r="N23" s="1">
        <f t="shared" si="25"/>
        <v>142609</v>
      </c>
      <c r="O23" s="1"/>
      <c r="P23" s="1">
        <f t="shared" si="25"/>
        <v>24266</v>
      </c>
      <c r="Q23" s="1">
        <f t="shared" si="25"/>
        <v>0</v>
      </c>
      <c r="R23" s="1"/>
      <c r="S23" s="1"/>
      <c r="T23" s="1"/>
      <c r="U23" s="1"/>
      <c r="V23" s="1">
        <f>SUBTOTAL(109,V24:V28)</f>
        <v>52860</v>
      </c>
      <c r="W23" s="1">
        <f>SUBTOTAL(109,W24:W28)</f>
        <v>52860</v>
      </c>
      <c r="X23" s="1"/>
      <c r="Y23" s="1">
        <f t="shared" ref="Y23:Z23" si="26">SUBTOTAL(109,Y24:Y28)</f>
        <v>42356</v>
      </c>
      <c r="Z23" s="1">
        <f t="shared" si="26"/>
        <v>42356</v>
      </c>
      <c r="AA23" s="1"/>
      <c r="AB23" s="56"/>
      <c r="AC23" s="27"/>
    </row>
    <row r="24" spans="1:29" ht="15.75">
      <c r="A24" s="2">
        <v>1</v>
      </c>
      <c r="B24" s="3" t="s">
        <v>12</v>
      </c>
      <c r="C24" s="3"/>
      <c r="D24" s="2" t="s">
        <v>14</v>
      </c>
      <c r="E24" s="2"/>
      <c r="F24" s="56"/>
      <c r="G24" s="37">
        <v>23126</v>
      </c>
      <c r="H24" s="1">
        <f>M24-G24</f>
        <v>12044</v>
      </c>
      <c r="I24" s="56"/>
      <c r="J24" s="1">
        <f>3*100+2*10+((35.93+45.45+29.76)*0.3)</f>
        <v>353.34199999999998</v>
      </c>
      <c r="K24" s="1"/>
      <c r="L24" s="1">
        <v>33400</v>
      </c>
      <c r="M24" s="1">
        <f t="shared" si="6"/>
        <v>35170</v>
      </c>
      <c r="N24" s="1">
        <f>ROUND((163789-21180)/$J$23*J24,-1)</f>
        <v>35170</v>
      </c>
      <c r="O24" s="1"/>
      <c r="P24" s="1">
        <v>5983</v>
      </c>
      <c r="Q24" s="1"/>
      <c r="R24" s="1">
        <f>J24*$R$23/$J$23</f>
        <v>0</v>
      </c>
      <c r="S24" s="1">
        <f>J24*$S$23/$J$23</f>
        <v>0</v>
      </c>
      <c r="T24" s="1"/>
      <c r="U24" s="1"/>
      <c r="V24" s="1">
        <f>W24+X24</f>
        <v>13034</v>
      </c>
      <c r="W24" s="1">
        <f>5983+7051</f>
        <v>13034</v>
      </c>
      <c r="X24" s="1"/>
      <c r="Y24" s="1">
        <f>Z24+AA24</f>
        <v>10440</v>
      </c>
      <c r="Z24" s="1">
        <f>ROUND((47392-5036)/$J$23*J24,-1)</f>
        <v>10440</v>
      </c>
      <c r="AA24" s="1"/>
      <c r="AB24" s="68" t="s">
        <v>27</v>
      </c>
      <c r="AC24" s="27"/>
    </row>
    <row r="25" spans="1:29" ht="15.75">
      <c r="A25" s="2">
        <v>2</v>
      </c>
      <c r="B25" s="3" t="s">
        <v>15</v>
      </c>
      <c r="C25" s="3"/>
      <c r="D25" s="4" t="s">
        <v>33</v>
      </c>
      <c r="E25" s="2"/>
      <c r="F25" s="56"/>
      <c r="G25" s="37">
        <v>11792</v>
      </c>
      <c r="H25" s="1">
        <f t="shared" ref="H25:H28" si="27">M25-G25</f>
        <v>6138</v>
      </c>
      <c r="I25" s="56"/>
      <c r="J25" s="1">
        <f>1*100+1*10+4*15+33.91*0.3</f>
        <v>180.173</v>
      </c>
      <c r="K25" s="1"/>
      <c r="L25" s="1">
        <v>17031</v>
      </c>
      <c r="M25" s="1">
        <f t="shared" si="6"/>
        <v>17930</v>
      </c>
      <c r="N25" s="1">
        <f>ROUND((163789-21180)/$J$23*J25,-1)</f>
        <v>17930</v>
      </c>
      <c r="O25" s="1"/>
      <c r="P25" s="1">
        <v>3051</v>
      </c>
      <c r="Q25" s="1"/>
      <c r="R25" s="1">
        <f>J25*$R$23/$J$23</f>
        <v>0</v>
      </c>
      <c r="S25" s="1">
        <f>J25*$S$23/$J$23</f>
        <v>0</v>
      </c>
      <c r="T25" s="1"/>
      <c r="U25" s="1"/>
      <c r="V25" s="1">
        <f t="shared" ref="V25:V28" si="28">W25+X25</f>
        <v>6646</v>
      </c>
      <c r="W25" s="1">
        <f>3051+3595</f>
        <v>6646</v>
      </c>
      <c r="X25" s="1"/>
      <c r="Y25" s="1">
        <f t="shared" ref="Y25:Y28" si="29">Z25+AA25</f>
        <v>5330</v>
      </c>
      <c r="Z25" s="1">
        <f>ROUND((47392-5036)/$J$23*J25,-1)</f>
        <v>5330</v>
      </c>
      <c r="AA25" s="1"/>
      <c r="AB25" s="68"/>
      <c r="AC25" s="27"/>
    </row>
    <row r="26" spans="1:29" ht="15.75">
      <c r="A26" s="2">
        <v>3</v>
      </c>
      <c r="B26" s="3" t="s">
        <v>17</v>
      </c>
      <c r="C26" s="3"/>
      <c r="D26" s="4" t="s">
        <v>34</v>
      </c>
      <c r="E26" s="2"/>
      <c r="F26" s="56"/>
      <c r="G26" s="37">
        <v>18677</v>
      </c>
      <c r="H26" s="1">
        <f t="shared" si="27"/>
        <v>9713</v>
      </c>
      <c r="I26" s="56"/>
      <c r="J26" s="1">
        <f>2*100+1*10+2*15+(72.6+78.4)*0.3</f>
        <v>285.3</v>
      </c>
      <c r="K26" s="1"/>
      <c r="L26" s="1">
        <v>26968</v>
      </c>
      <c r="M26" s="1">
        <f t="shared" si="6"/>
        <v>28390</v>
      </c>
      <c r="N26" s="1">
        <f>ROUND((163789-21180)/$J$23*J26,-1)</f>
        <v>28390</v>
      </c>
      <c r="O26" s="1"/>
      <c r="P26" s="1">
        <v>4832</v>
      </c>
      <c r="Q26" s="1"/>
      <c r="R26" s="1">
        <f>J26*$R$23/$J$23</f>
        <v>0</v>
      </c>
      <c r="S26" s="1">
        <f>J26*$S$23/$J$23</f>
        <v>0</v>
      </c>
      <c r="T26" s="1"/>
      <c r="U26" s="1"/>
      <c r="V26" s="1">
        <f t="shared" si="28"/>
        <v>10526</v>
      </c>
      <c r="W26" s="1">
        <f>4832+5694</f>
        <v>10526</v>
      </c>
      <c r="X26" s="1"/>
      <c r="Y26" s="1">
        <f t="shared" si="29"/>
        <v>8430</v>
      </c>
      <c r="Z26" s="1">
        <f>ROUND((47392-5036)/$J$23*J26,-1)</f>
        <v>8430</v>
      </c>
      <c r="AA26" s="1"/>
      <c r="AB26" s="68"/>
      <c r="AC26" s="27"/>
    </row>
    <row r="27" spans="1:29" ht="15.75">
      <c r="A27" s="2">
        <v>4</v>
      </c>
      <c r="B27" s="3" t="s">
        <v>19</v>
      </c>
      <c r="C27" s="3"/>
      <c r="D27" s="2" t="s">
        <v>35</v>
      </c>
      <c r="E27" s="2"/>
      <c r="F27" s="56"/>
      <c r="G27" s="37">
        <v>32735</v>
      </c>
      <c r="H27" s="1">
        <f t="shared" si="27"/>
        <v>17045</v>
      </c>
      <c r="I27" s="56"/>
      <c r="J27" s="1">
        <f>4*100+4*10+(79.13+81.56+18.93+20.88)*0.3</f>
        <v>500.15</v>
      </c>
      <c r="K27" s="1"/>
      <c r="L27" s="1">
        <v>47277</v>
      </c>
      <c r="M27" s="1">
        <f t="shared" si="6"/>
        <v>49780</v>
      </c>
      <c r="N27" s="1">
        <f>ROUND((163789-21180)/$J$23*J27,-1)</f>
        <v>49780</v>
      </c>
      <c r="O27" s="1"/>
      <c r="P27" s="1">
        <v>8470</v>
      </c>
      <c r="Q27" s="1"/>
      <c r="R27" s="1">
        <f>J27*$R$23/$J$23</f>
        <v>0</v>
      </c>
      <c r="S27" s="1">
        <f>J27*$S$23/$J$23</f>
        <v>0</v>
      </c>
      <c r="T27" s="1"/>
      <c r="U27" s="1"/>
      <c r="V27" s="1">
        <f t="shared" si="28"/>
        <v>18450</v>
      </c>
      <c r="W27" s="1">
        <f>8470+9980</f>
        <v>18450</v>
      </c>
      <c r="X27" s="1"/>
      <c r="Y27" s="1">
        <f t="shared" si="29"/>
        <v>14780</v>
      </c>
      <c r="Z27" s="1">
        <f>ROUND((47392-5036)/$J$23*J27,-1)</f>
        <v>14780</v>
      </c>
      <c r="AA27" s="1"/>
      <c r="AB27" s="68"/>
      <c r="AC27" s="27"/>
    </row>
    <row r="28" spans="1:29" ht="15.75">
      <c r="A28" s="2">
        <v>5</v>
      </c>
      <c r="B28" s="3" t="s">
        <v>21</v>
      </c>
      <c r="C28" s="3"/>
      <c r="D28" s="2" t="s">
        <v>36</v>
      </c>
      <c r="E28" s="2"/>
      <c r="F28" s="56"/>
      <c r="G28" s="39">
        <v>7459</v>
      </c>
      <c r="H28" s="1">
        <f t="shared" si="27"/>
        <v>3880</v>
      </c>
      <c r="I28" s="56"/>
      <c r="J28" s="1">
        <f>1*100+ 46.5*0.3</f>
        <v>113.95</v>
      </c>
      <c r="K28" s="1"/>
      <c r="L28" s="1">
        <v>10771</v>
      </c>
      <c r="M28" s="1">
        <f t="shared" si="6"/>
        <v>11339</v>
      </c>
      <c r="N28" s="1">
        <f>ROUND((163789-21180)/$J$23*J28,-1)-1</f>
        <v>11339</v>
      </c>
      <c r="O28" s="1"/>
      <c r="P28" s="1">
        <v>1930</v>
      </c>
      <c r="Q28" s="1"/>
      <c r="R28" s="1">
        <f>J28*$R$23/$J$23</f>
        <v>0</v>
      </c>
      <c r="S28" s="1">
        <f>J28*$S$23/$J$23</f>
        <v>0</v>
      </c>
      <c r="T28" s="1"/>
      <c r="U28" s="1"/>
      <c r="V28" s="1">
        <f t="shared" si="28"/>
        <v>4204</v>
      </c>
      <c r="W28" s="1">
        <f>1930+2274</f>
        <v>4204</v>
      </c>
      <c r="X28" s="1"/>
      <c r="Y28" s="1">
        <f t="shared" si="29"/>
        <v>3376</v>
      </c>
      <c r="Z28" s="1">
        <f>ROUND((47392-5036)/$J$23*J28,-1)+6</f>
        <v>3376</v>
      </c>
      <c r="AA28" s="1"/>
      <c r="AB28" s="68"/>
      <c r="AC28" s="27"/>
    </row>
    <row r="29" spans="1:29" ht="30">
      <c r="A29" s="2" t="s">
        <v>23</v>
      </c>
      <c r="B29" s="3" t="s">
        <v>37</v>
      </c>
      <c r="C29" s="3"/>
      <c r="D29" s="2"/>
      <c r="E29" s="2"/>
      <c r="F29" s="56"/>
      <c r="G29" s="1">
        <f t="shared" ref="G29:AA29" si="30">SUBTOTAL(109,G30:G31)</f>
        <v>35500</v>
      </c>
      <c r="H29" s="1"/>
      <c r="I29" s="1"/>
      <c r="J29" s="1">
        <f t="shared" si="30"/>
        <v>0</v>
      </c>
      <c r="K29" s="1">
        <f t="shared" si="30"/>
        <v>0</v>
      </c>
      <c r="L29" s="1">
        <f t="shared" si="30"/>
        <v>35500</v>
      </c>
      <c r="M29" s="1">
        <f t="shared" si="30"/>
        <v>35500</v>
      </c>
      <c r="N29" s="1">
        <f t="shared" si="30"/>
        <v>21180</v>
      </c>
      <c r="O29" s="1">
        <f t="shared" si="30"/>
        <v>14320</v>
      </c>
      <c r="P29" s="1">
        <f t="shared" si="30"/>
        <v>5216</v>
      </c>
      <c r="Q29" s="1">
        <f t="shared" si="30"/>
        <v>0</v>
      </c>
      <c r="R29" s="1">
        <f t="shared" si="30"/>
        <v>16892</v>
      </c>
      <c r="S29" s="1">
        <f t="shared" si="30"/>
        <v>13392</v>
      </c>
      <c r="T29" s="1">
        <f t="shared" si="30"/>
        <v>14316</v>
      </c>
      <c r="U29" s="1">
        <f t="shared" si="30"/>
        <v>0</v>
      </c>
      <c r="V29" s="1">
        <f t="shared" si="30"/>
        <v>16144</v>
      </c>
      <c r="W29" s="1">
        <f t="shared" si="30"/>
        <v>16144</v>
      </c>
      <c r="X29" s="1"/>
      <c r="Y29" s="1">
        <f t="shared" si="30"/>
        <v>19356</v>
      </c>
      <c r="Z29" s="1">
        <f t="shared" si="30"/>
        <v>5036</v>
      </c>
      <c r="AA29" s="1">
        <f t="shared" si="30"/>
        <v>14320</v>
      </c>
      <c r="AB29" s="56"/>
      <c r="AC29" s="27"/>
    </row>
    <row r="30" spans="1:29" ht="45">
      <c r="A30" s="2">
        <v>1</v>
      </c>
      <c r="B30" s="3" t="s">
        <v>38</v>
      </c>
      <c r="C30" s="3" t="s">
        <v>96</v>
      </c>
      <c r="D30" s="2" t="s">
        <v>39</v>
      </c>
      <c r="E30" s="2"/>
      <c r="F30" s="56" t="s">
        <v>40</v>
      </c>
      <c r="G30" s="37">
        <v>5500</v>
      </c>
      <c r="H30" s="56"/>
      <c r="I30" s="56"/>
      <c r="J30" s="19"/>
      <c r="K30" s="1"/>
      <c r="L30" s="1">
        <v>5500</v>
      </c>
      <c r="M30" s="1">
        <f t="shared" si="6"/>
        <v>5500</v>
      </c>
      <c r="N30" s="1">
        <v>4400</v>
      </c>
      <c r="O30" s="1">
        <v>1100</v>
      </c>
      <c r="P30" s="1">
        <v>2000</v>
      </c>
      <c r="Q30" s="1"/>
      <c r="R30" s="1">
        <f>L30-(P30+Q30)</f>
        <v>3500</v>
      </c>
      <c r="S30" s="1"/>
      <c r="T30" s="1">
        <v>1100</v>
      </c>
      <c r="U30" s="1"/>
      <c r="V30" s="1">
        <f>W30+X30</f>
        <v>4000</v>
      </c>
      <c r="W30" s="1">
        <f>2000+2000</f>
        <v>4000</v>
      </c>
      <c r="X30" s="1"/>
      <c r="Y30" s="1">
        <f>Z30+AA30</f>
        <v>1500</v>
      </c>
      <c r="Z30" s="1">
        <f>N30-W30</f>
        <v>400</v>
      </c>
      <c r="AA30" s="1">
        <f>O30</f>
        <v>1100</v>
      </c>
      <c r="AB30" s="56" t="s">
        <v>18</v>
      </c>
      <c r="AC30" s="27"/>
    </row>
    <row r="31" spans="1:29" ht="45">
      <c r="A31" s="34">
        <v>2</v>
      </c>
      <c r="B31" s="35" t="s">
        <v>41</v>
      </c>
      <c r="C31" s="35" t="s">
        <v>97</v>
      </c>
      <c r="D31" s="2" t="s">
        <v>86</v>
      </c>
      <c r="E31" s="17"/>
      <c r="F31" s="56" t="s">
        <v>40</v>
      </c>
      <c r="G31" s="40">
        <v>30000</v>
      </c>
      <c r="H31" s="56"/>
      <c r="I31" s="56"/>
      <c r="J31" s="19"/>
      <c r="K31" s="1"/>
      <c r="L31" s="1">
        <v>30000</v>
      </c>
      <c r="M31" s="1">
        <f t="shared" si="6"/>
        <v>30000</v>
      </c>
      <c r="N31" s="1">
        <v>16780</v>
      </c>
      <c r="O31" s="1">
        <v>13220</v>
      </c>
      <c r="P31" s="1">
        <v>3216</v>
      </c>
      <c r="Q31" s="1"/>
      <c r="R31" s="1">
        <f>(L31-P31-Q31)/2</f>
        <v>13392</v>
      </c>
      <c r="S31" s="1">
        <f>R31</f>
        <v>13392</v>
      </c>
      <c r="T31" s="1">
        <v>13216</v>
      </c>
      <c r="U31" s="1"/>
      <c r="V31" s="1">
        <f>W31+X31</f>
        <v>12144</v>
      </c>
      <c r="W31" s="1">
        <f>3216+8928</f>
        <v>12144</v>
      </c>
      <c r="X31" s="1"/>
      <c r="Y31" s="1">
        <f>Z31+AA31</f>
        <v>17856</v>
      </c>
      <c r="Z31" s="1">
        <f>N31-W31</f>
        <v>4636</v>
      </c>
      <c r="AA31" s="1">
        <f>O31</f>
        <v>13220</v>
      </c>
      <c r="AB31" s="36" t="s">
        <v>13</v>
      </c>
      <c r="AC31" s="27"/>
    </row>
    <row r="32" spans="1:29" s="12" customFormat="1" ht="28.5">
      <c r="A32" s="55" t="s">
        <v>44</v>
      </c>
      <c r="B32" s="9" t="s">
        <v>45</v>
      </c>
      <c r="C32" s="9"/>
      <c r="D32" s="53"/>
      <c r="E32" s="10"/>
      <c r="F32" s="54"/>
      <c r="G32" s="11">
        <f t="shared" ref="G32:Z32" si="31">SUBTOTAL(109,G33:G39)</f>
        <v>47000</v>
      </c>
      <c r="H32" s="11">
        <f t="shared" si="31"/>
        <v>7737</v>
      </c>
      <c r="I32" s="11"/>
      <c r="J32" s="11">
        <f t="shared" si="31"/>
        <v>664.41199999999992</v>
      </c>
      <c r="K32" s="11">
        <f t="shared" si="31"/>
        <v>0</v>
      </c>
      <c r="L32" s="11">
        <f t="shared" si="31"/>
        <v>54737</v>
      </c>
      <c r="M32" s="11">
        <f t="shared" si="31"/>
        <v>54737</v>
      </c>
      <c r="N32" s="11">
        <f t="shared" si="31"/>
        <v>54737</v>
      </c>
      <c r="O32" s="11"/>
      <c r="P32" s="11">
        <f t="shared" si="31"/>
        <v>9853</v>
      </c>
      <c r="Q32" s="11">
        <f t="shared" si="31"/>
        <v>0</v>
      </c>
      <c r="R32" s="11">
        <f t="shared" si="31"/>
        <v>37514</v>
      </c>
      <c r="S32" s="11">
        <f t="shared" si="31"/>
        <v>7370</v>
      </c>
      <c r="T32" s="11">
        <f t="shared" si="31"/>
        <v>0</v>
      </c>
      <c r="U32" s="11">
        <f t="shared" si="31"/>
        <v>0</v>
      </c>
      <c r="V32" s="11">
        <f t="shared" si="31"/>
        <v>23061</v>
      </c>
      <c r="W32" s="11">
        <f t="shared" si="31"/>
        <v>23061</v>
      </c>
      <c r="X32" s="11"/>
      <c r="Y32" s="11">
        <f t="shared" si="31"/>
        <v>25680</v>
      </c>
      <c r="Z32" s="11">
        <f t="shared" si="31"/>
        <v>25680</v>
      </c>
      <c r="AA32" s="11"/>
      <c r="AB32" s="11"/>
      <c r="AC32" s="27"/>
    </row>
    <row r="33" spans="1:29" s="12" customFormat="1" ht="71.25">
      <c r="A33" s="55"/>
      <c r="B33" s="9" t="s">
        <v>46</v>
      </c>
      <c r="C33" s="9"/>
      <c r="D33" s="53"/>
      <c r="E33" s="10"/>
      <c r="F33" s="54"/>
      <c r="G33" s="11">
        <f t="shared" ref="G33:Z33" si="32">SUBTOTAL(109,G34:G39)</f>
        <v>47000</v>
      </c>
      <c r="H33" s="11">
        <f t="shared" si="32"/>
        <v>7737</v>
      </c>
      <c r="I33" s="11"/>
      <c r="J33" s="11">
        <f t="shared" si="32"/>
        <v>664.41199999999992</v>
      </c>
      <c r="K33" s="11">
        <f t="shared" si="32"/>
        <v>0</v>
      </c>
      <c r="L33" s="11">
        <f t="shared" si="32"/>
        <v>54737</v>
      </c>
      <c r="M33" s="11">
        <f t="shared" si="32"/>
        <v>54737</v>
      </c>
      <c r="N33" s="11">
        <f t="shared" si="32"/>
        <v>54737</v>
      </c>
      <c r="O33" s="11"/>
      <c r="P33" s="11">
        <f t="shared" si="32"/>
        <v>9853</v>
      </c>
      <c r="Q33" s="11">
        <f t="shared" si="32"/>
        <v>0</v>
      </c>
      <c r="R33" s="11">
        <f t="shared" si="32"/>
        <v>37514</v>
      </c>
      <c r="S33" s="11">
        <f t="shared" si="32"/>
        <v>7370</v>
      </c>
      <c r="T33" s="11">
        <f t="shared" si="32"/>
        <v>0</v>
      </c>
      <c r="U33" s="11">
        <f t="shared" si="32"/>
        <v>0</v>
      </c>
      <c r="V33" s="11">
        <f t="shared" si="32"/>
        <v>23061</v>
      </c>
      <c r="W33" s="11">
        <f t="shared" si="32"/>
        <v>23061</v>
      </c>
      <c r="X33" s="11"/>
      <c r="Y33" s="11">
        <f t="shared" si="32"/>
        <v>25680</v>
      </c>
      <c r="Z33" s="11">
        <f t="shared" si="32"/>
        <v>25680</v>
      </c>
      <c r="AA33" s="11"/>
      <c r="AB33" s="11"/>
      <c r="AC33" s="27"/>
    </row>
    <row r="34" spans="1:29" s="12" customFormat="1" ht="45">
      <c r="A34" s="2">
        <v>1</v>
      </c>
      <c r="B34" s="14" t="s">
        <v>73</v>
      </c>
      <c r="C34" s="14" t="s">
        <v>98</v>
      </c>
      <c r="D34" s="4"/>
      <c r="E34" s="10"/>
      <c r="F34" s="56" t="s">
        <v>40</v>
      </c>
      <c r="G34" s="38">
        <v>7000</v>
      </c>
      <c r="H34" s="1">
        <f>M34-G34</f>
        <v>0</v>
      </c>
      <c r="I34" s="56"/>
      <c r="J34" s="1">
        <v>85</v>
      </c>
      <c r="K34" s="1"/>
      <c r="L34" s="1">
        <f t="shared" ref="L34:L39" si="33">N34+T34</f>
        <v>7000</v>
      </c>
      <c r="M34" s="1">
        <f t="shared" si="6"/>
        <v>7000</v>
      </c>
      <c r="N34" s="1">
        <v>7000</v>
      </c>
      <c r="O34" s="1"/>
      <c r="P34" s="1">
        <v>1921</v>
      </c>
      <c r="Q34" s="1"/>
      <c r="R34" s="1">
        <f>(N34-P34-Q34)</f>
        <v>5079</v>
      </c>
      <c r="S34" s="1"/>
      <c r="T34" s="1"/>
      <c r="U34" s="1"/>
      <c r="V34" s="1">
        <f>W34+X34</f>
        <v>3779</v>
      </c>
      <c r="W34" s="1">
        <f>1921+1858</f>
        <v>3779</v>
      </c>
      <c r="X34" s="1"/>
      <c r="Y34" s="1">
        <f>Z34+AA34</f>
        <v>3221</v>
      </c>
      <c r="Z34" s="1">
        <f>M34-V34</f>
        <v>3221</v>
      </c>
      <c r="AA34" s="1"/>
      <c r="AB34" s="56" t="s">
        <v>16</v>
      </c>
      <c r="AC34" s="27"/>
    </row>
    <row r="35" spans="1:29" s="12" customFormat="1" ht="45">
      <c r="A35" s="2">
        <v>2</v>
      </c>
      <c r="B35" s="14" t="s">
        <v>74</v>
      </c>
      <c r="C35" s="14" t="s">
        <v>96</v>
      </c>
      <c r="D35" s="4"/>
      <c r="E35" s="10"/>
      <c r="F35" s="56" t="s">
        <v>40</v>
      </c>
      <c r="G35" s="38">
        <v>7000</v>
      </c>
      <c r="H35" s="1">
        <f t="shared" ref="H35:H39" si="34">M35-G35</f>
        <v>0</v>
      </c>
      <c r="I35" s="56"/>
      <c r="J35" s="1">
        <v>85</v>
      </c>
      <c r="K35" s="1"/>
      <c r="L35" s="1">
        <f t="shared" si="33"/>
        <v>7000</v>
      </c>
      <c r="M35" s="1">
        <f t="shared" si="6"/>
        <v>7000</v>
      </c>
      <c r="N35" s="1">
        <v>7000</v>
      </c>
      <c r="O35" s="1"/>
      <c r="P35" s="1">
        <v>1921</v>
      </c>
      <c r="Q35" s="1"/>
      <c r="R35" s="1">
        <f t="shared" ref="R35:R38" si="35">(N35-P35-Q35)</f>
        <v>5079</v>
      </c>
      <c r="S35" s="1"/>
      <c r="T35" s="1"/>
      <c r="U35" s="1"/>
      <c r="V35" s="1">
        <f t="shared" ref="V35:V39" si="36">W35+X35</f>
        <v>3779</v>
      </c>
      <c r="W35" s="1">
        <f>1921+1858</f>
        <v>3779</v>
      </c>
      <c r="X35" s="1"/>
      <c r="Y35" s="1">
        <f t="shared" ref="Y35:Y39" si="37">Z35+AA35</f>
        <v>3221</v>
      </c>
      <c r="Z35" s="1">
        <f t="shared" ref="Z35:Z38" si="38">M35-V35</f>
        <v>3221</v>
      </c>
      <c r="AA35" s="1"/>
      <c r="AB35" s="56" t="s">
        <v>87</v>
      </c>
      <c r="AC35" s="27"/>
    </row>
    <row r="36" spans="1:29" s="12" customFormat="1" ht="30">
      <c r="A36" s="2">
        <v>3</v>
      </c>
      <c r="B36" s="14" t="s">
        <v>75</v>
      </c>
      <c r="C36" s="14" t="s">
        <v>99</v>
      </c>
      <c r="D36" s="4"/>
      <c r="E36" s="10"/>
      <c r="F36" s="56" t="s">
        <v>40</v>
      </c>
      <c r="G36" s="38">
        <v>7000</v>
      </c>
      <c r="H36" s="1">
        <f t="shared" si="34"/>
        <v>0</v>
      </c>
      <c r="I36" s="56"/>
      <c r="J36" s="1">
        <v>85</v>
      </c>
      <c r="K36" s="1"/>
      <c r="L36" s="1">
        <f t="shared" si="33"/>
        <v>7000</v>
      </c>
      <c r="M36" s="1">
        <f t="shared" si="6"/>
        <v>7000</v>
      </c>
      <c r="N36" s="1">
        <v>7000</v>
      </c>
      <c r="O36" s="1"/>
      <c r="P36" s="1">
        <v>1921</v>
      </c>
      <c r="Q36" s="1"/>
      <c r="R36" s="1">
        <f t="shared" si="35"/>
        <v>5079</v>
      </c>
      <c r="S36" s="1"/>
      <c r="T36" s="1"/>
      <c r="U36" s="1"/>
      <c r="V36" s="1">
        <f t="shared" si="36"/>
        <v>3779</v>
      </c>
      <c r="W36" s="1">
        <f>1921+1858</f>
        <v>3779</v>
      </c>
      <c r="X36" s="1"/>
      <c r="Y36" s="1">
        <f t="shared" si="37"/>
        <v>3221</v>
      </c>
      <c r="Z36" s="1">
        <f t="shared" si="38"/>
        <v>3221</v>
      </c>
      <c r="AA36" s="1"/>
      <c r="AB36" s="56" t="s">
        <v>20</v>
      </c>
      <c r="AC36" s="27"/>
    </row>
    <row r="37" spans="1:29" s="12" customFormat="1" ht="45">
      <c r="A37" s="2">
        <v>4</v>
      </c>
      <c r="B37" s="14" t="s">
        <v>76</v>
      </c>
      <c r="C37" s="14" t="s">
        <v>95</v>
      </c>
      <c r="D37" s="4"/>
      <c r="E37" s="10"/>
      <c r="F37" s="56" t="s">
        <v>40</v>
      </c>
      <c r="G37" s="38">
        <v>7000</v>
      </c>
      <c r="H37" s="1">
        <f t="shared" si="34"/>
        <v>0</v>
      </c>
      <c r="I37" s="56"/>
      <c r="J37" s="1">
        <v>85.063999999999993</v>
      </c>
      <c r="K37" s="1"/>
      <c r="L37" s="1">
        <f t="shared" si="33"/>
        <v>7000</v>
      </c>
      <c r="M37" s="1">
        <f t="shared" si="6"/>
        <v>7000</v>
      </c>
      <c r="N37" s="1">
        <v>7000</v>
      </c>
      <c r="O37" s="1"/>
      <c r="P37" s="1">
        <v>1920</v>
      </c>
      <c r="Q37" s="1"/>
      <c r="R37" s="1">
        <f t="shared" si="35"/>
        <v>5080</v>
      </c>
      <c r="S37" s="1"/>
      <c r="T37" s="1"/>
      <c r="U37" s="1"/>
      <c r="V37" s="1">
        <f t="shared" si="36"/>
        <v>3778</v>
      </c>
      <c r="W37" s="1">
        <f>1920+1858</f>
        <v>3778</v>
      </c>
      <c r="X37" s="1"/>
      <c r="Y37" s="1">
        <f t="shared" si="37"/>
        <v>3222</v>
      </c>
      <c r="Z37" s="1">
        <f t="shared" si="38"/>
        <v>3222</v>
      </c>
      <c r="AA37" s="1"/>
      <c r="AB37" s="56" t="s">
        <v>22</v>
      </c>
      <c r="AC37" s="27"/>
    </row>
    <row r="38" spans="1:29" s="12" customFormat="1" ht="45">
      <c r="A38" s="2">
        <v>5</v>
      </c>
      <c r="B38" s="14" t="s">
        <v>77</v>
      </c>
      <c r="C38" s="14" t="s">
        <v>100</v>
      </c>
      <c r="D38" s="4"/>
      <c r="E38" s="10"/>
      <c r="F38" s="56" t="s">
        <v>40</v>
      </c>
      <c r="G38" s="38">
        <v>7000</v>
      </c>
      <c r="H38" s="1">
        <f t="shared" si="34"/>
        <v>4747</v>
      </c>
      <c r="I38" s="56"/>
      <c r="J38" s="1">
        <v>144</v>
      </c>
      <c r="K38" s="1"/>
      <c r="L38" s="1">
        <f t="shared" si="33"/>
        <v>11747</v>
      </c>
      <c r="M38" s="1">
        <f t="shared" si="6"/>
        <v>11747</v>
      </c>
      <c r="N38" s="1">
        <f>7000+4747</f>
        <v>11747</v>
      </c>
      <c r="O38" s="1"/>
      <c r="P38" s="1">
        <v>1920</v>
      </c>
      <c r="Q38" s="1"/>
      <c r="R38" s="1">
        <f t="shared" si="35"/>
        <v>9827</v>
      </c>
      <c r="S38" s="1"/>
      <c r="T38" s="1"/>
      <c r="U38" s="1"/>
      <c r="V38" s="1">
        <f t="shared" si="36"/>
        <v>3778</v>
      </c>
      <c r="W38" s="1">
        <f>1920+1858</f>
        <v>3778</v>
      </c>
      <c r="X38" s="1"/>
      <c r="Y38" s="1">
        <f t="shared" si="37"/>
        <v>7969</v>
      </c>
      <c r="Z38" s="1">
        <f t="shared" si="38"/>
        <v>7969</v>
      </c>
      <c r="AA38" s="1"/>
      <c r="AB38" s="56" t="s">
        <v>48</v>
      </c>
      <c r="AC38" s="27"/>
    </row>
    <row r="39" spans="1:29" s="12" customFormat="1" ht="30">
      <c r="A39" s="2">
        <v>6</v>
      </c>
      <c r="B39" s="16" t="s">
        <v>49</v>
      </c>
      <c r="C39" s="16" t="s">
        <v>101</v>
      </c>
      <c r="D39" s="4"/>
      <c r="E39" s="17"/>
      <c r="F39" s="56" t="s">
        <v>42</v>
      </c>
      <c r="G39" s="38">
        <v>12000</v>
      </c>
      <c r="H39" s="1">
        <f t="shared" si="34"/>
        <v>2990</v>
      </c>
      <c r="I39" s="56"/>
      <c r="J39" s="1">
        <v>180.34799999999998</v>
      </c>
      <c r="K39" s="1"/>
      <c r="L39" s="1">
        <f t="shared" si="33"/>
        <v>14990</v>
      </c>
      <c r="M39" s="1">
        <f t="shared" si="6"/>
        <v>14990</v>
      </c>
      <c r="N39" s="1">
        <f>12000+2990</f>
        <v>14990</v>
      </c>
      <c r="O39" s="1"/>
      <c r="P39" s="1">
        <v>250</v>
      </c>
      <c r="Q39" s="1"/>
      <c r="R39" s="1">
        <f>(N39-P39-Q39)/2</f>
        <v>7370</v>
      </c>
      <c r="S39" s="1">
        <f>R39</f>
        <v>7370</v>
      </c>
      <c r="T39" s="1"/>
      <c r="U39" s="1"/>
      <c r="V39" s="1">
        <f t="shared" si="36"/>
        <v>4168</v>
      </c>
      <c r="W39" s="1">
        <f>250+3918</f>
        <v>4168</v>
      </c>
      <c r="X39" s="1"/>
      <c r="Y39" s="1">
        <f t="shared" si="37"/>
        <v>4826</v>
      </c>
      <c r="Z39" s="1">
        <f>M39*60/100-V39</f>
        <v>4826</v>
      </c>
      <c r="AA39" s="1"/>
      <c r="AB39" s="56" t="s">
        <v>50</v>
      </c>
      <c r="AC39" s="27"/>
    </row>
    <row r="40" spans="1:29" s="12" customFormat="1" ht="42.75">
      <c r="A40" s="55" t="s">
        <v>51</v>
      </c>
      <c r="B40" s="9" t="s">
        <v>52</v>
      </c>
      <c r="C40" s="9"/>
      <c r="D40" s="53"/>
      <c r="E40" s="10"/>
      <c r="F40" s="56"/>
      <c r="G40" s="11"/>
      <c r="H40" s="11">
        <f>M40</f>
        <v>41425</v>
      </c>
      <c r="I40" s="11"/>
      <c r="J40" s="33">
        <f>J41+J42+J48+J49</f>
        <v>412</v>
      </c>
      <c r="K40" s="13">
        <f>N40/J40</f>
        <v>100.54611650485437</v>
      </c>
      <c r="L40" s="11">
        <f>SUBTOTAL(109,L41:L49)</f>
        <v>28925</v>
      </c>
      <c r="M40" s="11">
        <f>SUBTOTAL(109,M41:M51)</f>
        <v>41425</v>
      </c>
      <c r="N40" s="11">
        <f>SUBTOTAL(109,N41:N51)</f>
        <v>41425</v>
      </c>
      <c r="O40" s="11"/>
      <c r="P40" s="11">
        <f t="shared" ref="P40:W40" si="39">SUBTOTAL(109,P41:P51)</f>
        <v>5481</v>
      </c>
      <c r="Q40" s="11">
        <f t="shared" si="39"/>
        <v>10449.173913043478</v>
      </c>
      <c r="R40" s="11">
        <f t="shared" si="39"/>
        <v>6535</v>
      </c>
      <c r="S40" s="11">
        <f t="shared" si="39"/>
        <v>6535</v>
      </c>
      <c r="T40" s="11">
        <f t="shared" si="39"/>
        <v>0</v>
      </c>
      <c r="U40" s="11">
        <f t="shared" si="39"/>
        <v>0</v>
      </c>
      <c r="V40" s="11">
        <f t="shared" si="39"/>
        <v>15855</v>
      </c>
      <c r="W40" s="11">
        <f t="shared" si="39"/>
        <v>15855</v>
      </c>
      <c r="X40" s="11"/>
      <c r="Y40" s="11">
        <f>SUBTOTAL(109,Y41:Y51)</f>
        <v>13491</v>
      </c>
      <c r="Z40" s="11">
        <f>SUBTOTAL(109,Z41:Z51)</f>
        <v>13491</v>
      </c>
      <c r="AA40" s="11"/>
      <c r="AB40" s="54"/>
      <c r="AC40" s="27"/>
    </row>
    <row r="41" spans="1:29" ht="60" hidden="1">
      <c r="A41" s="2" t="s">
        <v>10</v>
      </c>
      <c r="B41" s="16" t="s">
        <v>53</v>
      </c>
      <c r="C41" s="16"/>
      <c r="D41" s="4" t="s">
        <v>54</v>
      </c>
      <c r="E41" s="17"/>
      <c r="F41" s="56"/>
      <c r="G41" s="56"/>
      <c r="H41" s="56"/>
      <c r="I41" s="56"/>
      <c r="J41" s="19">
        <f>2*7</f>
        <v>14</v>
      </c>
      <c r="K41" s="1"/>
      <c r="L41" s="1">
        <v>2258</v>
      </c>
      <c r="M41" s="1">
        <f t="shared" ref="M41:M60" si="40">N41+O41</f>
        <v>1460</v>
      </c>
      <c r="N41" s="1">
        <f>ROUND((42885)/$J$40*J41,-1)</f>
        <v>1460</v>
      </c>
      <c r="O41" s="1"/>
      <c r="P41" s="1">
        <v>2258</v>
      </c>
      <c r="Q41" s="1">
        <v>0</v>
      </c>
      <c r="R41" s="7"/>
      <c r="S41" s="7"/>
      <c r="T41" s="7">
        <f>L41-N41</f>
        <v>798</v>
      </c>
      <c r="U41" s="7"/>
      <c r="V41" s="1">
        <f>W41+X41</f>
        <v>1460</v>
      </c>
      <c r="W41" s="1">
        <v>1460</v>
      </c>
      <c r="X41" s="7"/>
      <c r="Y41" s="1">
        <f>Z41+AA41</f>
        <v>0</v>
      </c>
      <c r="Z41" s="7"/>
      <c r="AA41" s="1"/>
      <c r="AB41" s="56" t="s">
        <v>13</v>
      </c>
      <c r="AC41" s="27"/>
    </row>
    <row r="42" spans="1:29" ht="45">
      <c r="A42" s="2" t="s">
        <v>10</v>
      </c>
      <c r="B42" s="16" t="s">
        <v>55</v>
      </c>
      <c r="C42" s="16"/>
      <c r="D42" s="4" t="s">
        <v>72</v>
      </c>
      <c r="E42" s="17"/>
      <c r="F42" s="56"/>
      <c r="G42" s="56"/>
      <c r="H42" s="56"/>
      <c r="I42" s="56"/>
      <c r="J42" s="1">
        <f t="shared" ref="J42:K42" si="41">SUBTOTAL(109,J43:J47)</f>
        <v>158</v>
      </c>
      <c r="K42" s="1">
        <f t="shared" si="41"/>
        <v>0</v>
      </c>
      <c r="L42" s="1">
        <f>SUBTOTAL(109,L43:L47)</f>
        <v>16435</v>
      </c>
      <c r="M42" s="1">
        <f>SUBTOTAL(109,M43:M47)</f>
        <v>16435</v>
      </c>
      <c r="N42" s="1">
        <f>SUBTOTAL(109,N43:N47)</f>
        <v>16435</v>
      </c>
      <c r="O42" s="1"/>
      <c r="P42" s="1">
        <f t="shared" ref="P42:W42" si="42">SUBTOTAL(109,P43:P47)</f>
        <v>5481</v>
      </c>
      <c r="Q42" s="1">
        <f t="shared" si="42"/>
        <v>5938.7391304347821</v>
      </c>
      <c r="R42" s="1">
        <f t="shared" si="42"/>
        <v>2545.217391304348</v>
      </c>
      <c r="S42" s="1">
        <f t="shared" si="42"/>
        <v>2545.217391304348</v>
      </c>
      <c r="T42" s="1">
        <f t="shared" si="42"/>
        <v>0</v>
      </c>
      <c r="U42" s="1">
        <f t="shared" si="42"/>
        <v>0</v>
      </c>
      <c r="V42" s="1">
        <f t="shared" si="42"/>
        <v>11345</v>
      </c>
      <c r="W42" s="1">
        <f t="shared" si="42"/>
        <v>11345</v>
      </c>
      <c r="X42" s="1"/>
      <c r="Y42" s="1">
        <f t="shared" ref="Y42:Z42" si="43">SUBTOTAL(109,Y43:Y47)</f>
        <v>4761</v>
      </c>
      <c r="Z42" s="1">
        <f t="shared" si="43"/>
        <v>4761</v>
      </c>
      <c r="AA42" s="1"/>
      <c r="AB42" s="56"/>
      <c r="AC42" s="27"/>
    </row>
    <row r="43" spans="1:29">
      <c r="A43" s="2">
        <v>1</v>
      </c>
      <c r="B43" s="16" t="s">
        <v>47</v>
      </c>
      <c r="C43" s="16"/>
      <c r="D43" s="4">
        <v>21</v>
      </c>
      <c r="E43" s="17"/>
      <c r="F43" s="56"/>
      <c r="G43" s="56"/>
      <c r="H43" s="56"/>
      <c r="I43" s="56"/>
      <c r="J43" s="15">
        <f>D43*2</f>
        <v>42</v>
      </c>
      <c r="K43" s="1"/>
      <c r="L43" s="1">
        <f t="shared" ref="L43:L48" si="44">N43+T43</f>
        <v>4370</v>
      </c>
      <c r="M43" s="1">
        <f t="shared" si="40"/>
        <v>4370</v>
      </c>
      <c r="N43" s="1">
        <f>ROUND((42885)/$J$40*J43,-1)</f>
        <v>4370</v>
      </c>
      <c r="O43" s="1"/>
      <c r="P43" s="1">
        <v>1128</v>
      </c>
      <c r="Q43" s="1">
        <f>10374/(156+120)*J43</f>
        <v>1578.6521739130435</v>
      </c>
      <c r="R43" s="7">
        <f t="shared" ref="R43:R48" si="45">(N43-P43-Q43)/2</f>
        <v>831.67391304347825</v>
      </c>
      <c r="S43" s="7">
        <f t="shared" ref="S43:S48" si="46">R43</f>
        <v>831.67391304347825</v>
      </c>
      <c r="T43" s="7"/>
      <c r="U43" s="7"/>
      <c r="V43" s="1">
        <f>W43+X43</f>
        <v>2708</v>
      </c>
      <c r="W43" s="7">
        <f>1128+1580</f>
        <v>2708</v>
      </c>
      <c r="X43" s="7"/>
      <c r="Y43" s="1">
        <f>Z43+AA43</f>
        <v>1530</v>
      </c>
      <c r="Z43" s="1">
        <f>ROUND((13491-311)/($J$40-14-2-34)*J43,-1)</f>
        <v>1530</v>
      </c>
      <c r="AA43" s="7"/>
      <c r="AB43" s="68" t="s">
        <v>27</v>
      </c>
      <c r="AC43" s="27"/>
    </row>
    <row r="44" spans="1:29">
      <c r="A44" s="2">
        <v>2</v>
      </c>
      <c r="B44" s="16" t="s">
        <v>15</v>
      </c>
      <c r="C44" s="16"/>
      <c r="D44" s="4">
        <v>19</v>
      </c>
      <c r="E44" s="17"/>
      <c r="F44" s="56"/>
      <c r="G44" s="56"/>
      <c r="H44" s="56"/>
      <c r="I44" s="56"/>
      <c r="J44" s="15">
        <f>D44*2</f>
        <v>38</v>
      </c>
      <c r="K44" s="1"/>
      <c r="L44" s="1">
        <f t="shared" si="44"/>
        <v>3960</v>
      </c>
      <c r="M44" s="1">
        <f t="shared" si="40"/>
        <v>3960</v>
      </c>
      <c r="N44" s="1">
        <f>ROUND((42885)/$J$40*J44,-1)</f>
        <v>3960</v>
      </c>
      <c r="O44" s="1"/>
      <c r="P44" s="1">
        <v>1021</v>
      </c>
      <c r="Q44" s="1">
        <f t="shared" ref="Q44:Q48" si="47">10374/(156+120)*J44</f>
        <v>1428.304347826087</v>
      </c>
      <c r="R44" s="7">
        <f t="shared" si="45"/>
        <v>755.3478260869565</v>
      </c>
      <c r="S44" s="7">
        <f t="shared" si="46"/>
        <v>755.3478260869565</v>
      </c>
      <c r="T44" s="7"/>
      <c r="U44" s="7"/>
      <c r="V44" s="1">
        <f t="shared" ref="V44:V47" si="48">W44+X44</f>
        <v>2451</v>
      </c>
      <c r="W44" s="7">
        <f>1021+1430</f>
        <v>2451</v>
      </c>
      <c r="X44" s="7"/>
      <c r="Y44" s="1">
        <f t="shared" ref="Y44:Y48" si="49">Z44+AA44</f>
        <v>1380</v>
      </c>
      <c r="Z44" s="1">
        <f>ROUND((13491-311)/($J$40-14-2-34)*J44,-1)</f>
        <v>1380</v>
      </c>
      <c r="AA44" s="7"/>
      <c r="AB44" s="68"/>
      <c r="AC44" s="27"/>
    </row>
    <row r="45" spans="1:29">
      <c r="A45" s="2">
        <v>3</v>
      </c>
      <c r="B45" s="16" t="s">
        <v>56</v>
      </c>
      <c r="C45" s="16"/>
      <c r="D45" s="4">
        <v>21</v>
      </c>
      <c r="E45" s="17"/>
      <c r="F45" s="56"/>
      <c r="G45" s="56"/>
      <c r="H45" s="56"/>
      <c r="I45" s="56"/>
      <c r="J45" s="15">
        <f>D45*2</f>
        <v>42</v>
      </c>
      <c r="K45" s="1"/>
      <c r="L45" s="1">
        <f t="shared" si="44"/>
        <v>4370</v>
      </c>
      <c r="M45" s="1">
        <f t="shared" si="40"/>
        <v>4370</v>
      </c>
      <c r="N45" s="1">
        <f>ROUND((42885)/$J$40*J45,-1)</f>
        <v>4370</v>
      </c>
      <c r="O45" s="1"/>
      <c r="P45" s="1">
        <v>1182</v>
      </c>
      <c r="Q45" s="1">
        <f t="shared" si="47"/>
        <v>1578.6521739130435</v>
      </c>
      <c r="R45" s="7">
        <f t="shared" si="45"/>
        <v>804.67391304347825</v>
      </c>
      <c r="S45" s="7">
        <f t="shared" si="46"/>
        <v>804.67391304347825</v>
      </c>
      <c r="T45" s="7"/>
      <c r="U45" s="7"/>
      <c r="V45" s="1">
        <f t="shared" si="48"/>
        <v>2762</v>
      </c>
      <c r="W45" s="7">
        <f>1182+1580</f>
        <v>2762</v>
      </c>
      <c r="X45" s="7"/>
      <c r="Y45" s="1">
        <f t="shared" si="49"/>
        <v>1540</v>
      </c>
      <c r="Z45" s="1">
        <f>ROUND((13491-311)/($J$40-14-2-34)*J45,-1)+10</f>
        <v>1540</v>
      </c>
      <c r="AA45" s="7"/>
      <c r="AB45" s="68"/>
      <c r="AC45" s="27"/>
    </row>
    <row r="46" spans="1:29">
      <c r="A46" s="2">
        <v>4</v>
      </c>
      <c r="B46" s="16" t="s">
        <v>19</v>
      </c>
      <c r="C46" s="16"/>
      <c r="D46" s="4">
        <v>17</v>
      </c>
      <c r="E46" s="17"/>
      <c r="F46" s="56"/>
      <c r="G46" s="56"/>
      <c r="H46" s="56"/>
      <c r="I46" s="56"/>
      <c r="J46" s="15">
        <f>D46*2</f>
        <v>34</v>
      </c>
      <c r="K46" s="1"/>
      <c r="L46" s="1">
        <f t="shared" si="44"/>
        <v>3519</v>
      </c>
      <c r="M46" s="1">
        <f t="shared" si="40"/>
        <v>3519</v>
      </c>
      <c r="N46" s="1">
        <f>ROUND((42885)/$J$40*J46,-1)-21</f>
        <v>3519</v>
      </c>
      <c r="O46" s="1"/>
      <c r="P46" s="1">
        <v>1934</v>
      </c>
      <c r="Q46" s="1">
        <f t="shared" si="47"/>
        <v>1277.9565217391305</v>
      </c>
      <c r="R46" s="7">
        <f t="shared" si="45"/>
        <v>153.52173913043475</v>
      </c>
      <c r="S46" s="7">
        <f t="shared" si="46"/>
        <v>153.52173913043475</v>
      </c>
      <c r="T46" s="7"/>
      <c r="U46" s="7"/>
      <c r="V46" s="1">
        <f t="shared" si="48"/>
        <v>3208</v>
      </c>
      <c r="W46" s="7">
        <f>1934+1274</f>
        <v>3208</v>
      </c>
      <c r="X46" s="7"/>
      <c r="Y46" s="1">
        <f t="shared" si="49"/>
        <v>311</v>
      </c>
      <c r="Z46" s="1">
        <f>N46-W46</f>
        <v>311</v>
      </c>
      <c r="AA46" s="7"/>
      <c r="AB46" s="68"/>
      <c r="AC46" s="27"/>
    </row>
    <row r="47" spans="1:29">
      <c r="A47" s="2">
        <v>5</v>
      </c>
      <c r="B47" s="16" t="s">
        <v>21</v>
      </c>
      <c r="C47" s="16"/>
      <c r="D47" s="42">
        <v>1</v>
      </c>
      <c r="E47" s="17"/>
      <c r="F47" s="56"/>
      <c r="G47" s="56"/>
      <c r="H47" s="56"/>
      <c r="I47" s="56"/>
      <c r="J47" s="15">
        <f>D47*2</f>
        <v>2</v>
      </c>
      <c r="K47" s="1"/>
      <c r="L47" s="1">
        <f t="shared" si="44"/>
        <v>216</v>
      </c>
      <c r="M47" s="1">
        <f t="shared" si="40"/>
        <v>216</v>
      </c>
      <c r="N47" s="1">
        <f>ROUND((42885)/$J$40*J47,-1)+6</f>
        <v>216</v>
      </c>
      <c r="O47" s="1"/>
      <c r="P47" s="1">
        <v>216</v>
      </c>
      <c r="Q47" s="1">
        <f t="shared" si="47"/>
        <v>75.173913043478265</v>
      </c>
      <c r="R47" s="7"/>
      <c r="S47" s="7"/>
      <c r="T47" s="7"/>
      <c r="U47" s="7"/>
      <c r="V47" s="1">
        <f t="shared" si="48"/>
        <v>216</v>
      </c>
      <c r="W47" s="7">
        <v>216</v>
      </c>
      <c r="X47" s="7"/>
      <c r="Y47" s="1">
        <f t="shared" si="49"/>
        <v>0</v>
      </c>
      <c r="Z47" s="1"/>
      <c r="AA47" s="7"/>
      <c r="AB47" s="68"/>
      <c r="AC47" s="27"/>
    </row>
    <row r="48" spans="1:29" ht="60">
      <c r="A48" s="2" t="s">
        <v>112</v>
      </c>
      <c r="B48" s="16" t="s">
        <v>57</v>
      </c>
      <c r="C48" s="16"/>
      <c r="D48" s="4" t="s">
        <v>58</v>
      </c>
      <c r="E48" s="17"/>
      <c r="F48" s="56"/>
      <c r="G48" s="56"/>
      <c r="H48" s="56"/>
      <c r="I48" s="56"/>
      <c r="J48" s="15">
        <f>2*60</f>
        <v>120</v>
      </c>
      <c r="K48" s="1"/>
      <c r="L48" s="1">
        <f t="shared" si="44"/>
        <v>12490</v>
      </c>
      <c r="M48" s="1">
        <f t="shared" si="40"/>
        <v>12490</v>
      </c>
      <c r="N48" s="1">
        <f>ROUND((42885)/$J$40*J48,-1)</f>
        <v>12490</v>
      </c>
      <c r="O48" s="1"/>
      <c r="P48" s="1"/>
      <c r="Q48" s="1">
        <f t="shared" si="47"/>
        <v>4510.434782608696</v>
      </c>
      <c r="R48" s="7">
        <f t="shared" si="45"/>
        <v>3989.782608695652</v>
      </c>
      <c r="S48" s="7">
        <f t="shared" si="46"/>
        <v>3989.782608695652</v>
      </c>
      <c r="T48" s="7"/>
      <c r="U48" s="7"/>
      <c r="V48" s="7">
        <f>W48+X48</f>
        <v>4510</v>
      </c>
      <c r="W48" s="7">
        <v>4510</v>
      </c>
      <c r="X48" s="7"/>
      <c r="Y48" s="1">
        <f t="shared" si="49"/>
        <v>4370</v>
      </c>
      <c r="Z48" s="1">
        <f>ROUND((13491-311)/($J$40-14-2-34)*J48,-1)</f>
        <v>4370</v>
      </c>
      <c r="AA48" s="7"/>
      <c r="AB48" s="56" t="s">
        <v>111</v>
      </c>
      <c r="AC48" s="27"/>
    </row>
    <row r="49" spans="1:29" ht="45">
      <c r="A49" s="2" t="s">
        <v>113</v>
      </c>
      <c r="B49" s="16" t="s">
        <v>128</v>
      </c>
      <c r="C49" s="16"/>
      <c r="D49" s="4" t="s">
        <v>85</v>
      </c>
      <c r="E49" s="17"/>
      <c r="F49" s="56"/>
      <c r="G49" s="56"/>
      <c r="H49" s="56"/>
      <c r="I49" s="56"/>
      <c r="J49" s="1">
        <f t="shared" ref="J49:L49" si="50">SUBTOTAL(109,J50:J51)</f>
        <v>120</v>
      </c>
      <c r="K49" s="1">
        <f t="shared" si="50"/>
        <v>0</v>
      </c>
      <c r="L49" s="1">
        <f t="shared" si="50"/>
        <v>12500</v>
      </c>
      <c r="M49" s="1">
        <f>SUBTOTAL(109,M50:M51)</f>
        <v>12500</v>
      </c>
      <c r="N49" s="1">
        <f>SUBTOTAL(109,N50:N51)</f>
        <v>12500</v>
      </c>
      <c r="O49" s="1"/>
      <c r="P49" s="1"/>
      <c r="Q49" s="1"/>
      <c r="R49" s="1"/>
      <c r="S49" s="1"/>
      <c r="T49" s="1"/>
      <c r="U49" s="1"/>
      <c r="V49" s="1"/>
      <c r="W49" s="1"/>
      <c r="X49" s="1"/>
      <c r="Y49" s="1">
        <f t="shared" ref="Y49:Z49" si="51">SUBTOTAL(109,Y50:Y51)</f>
        <v>4360</v>
      </c>
      <c r="Z49" s="1">
        <f t="shared" si="51"/>
        <v>4360</v>
      </c>
      <c r="AA49" s="1"/>
      <c r="AB49" s="56"/>
      <c r="AC49" s="27"/>
    </row>
    <row r="50" spans="1:29" ht="30">
      <c r="A50" s="2">
        <v>1</v>
      </c>
      <c r="B50" s="16" t="s">
        <v>117</v>
      </c>
      <c r="C50" s="4" t="s">
        <v>99</v>
      </c>
      <c r="D50" s="4"/>
      <c r="E50" s="17"/>
      <c r="F50" s="56" t="s">
        <v>114</v>
      </c>
      <c r="G50" s="56"/>
      <c r="H50" s="56"/>
      <c r="I50" s="56"/>
      <c r="J50" s="15">
        <v>60</v>
      </c>
      <c r="K50" s="1"/>
      <c r="L50" s="1">
        <f>M50</f>
        <v>6250</v>
      </c>
      <c r="M50" s="1">
        <f t="shared" si="40"/>
        <v>6250</v>
      </c>
      <c r="N50" s="1">
        <f>ROUND((42885)/$J$40*J50,-1)</f>
        <v>6250</v>
      </c>
      <c r="O50" s="1"/>
      <c r="P50" s="1"/>
      <c r="Q50" s="1"/>
      <c r="R50" s="7"/>
      <c r="S50" s="7"/>
      <c r="T50" s="7"/>
      <c r="U50" s="7"/>
      <c r="V50" s="7"/>
      <c r="W50" s="7"/>
      <c r="X50" s="7"/>
      <c r="Y50" s="1">
        <f>Z50+AA50</f>
        <v>2180</v>
      </c>
      <c r="Z50" s="1">
        <f>ROUND((13491-311)/($J$40-14-2-34)*J50,-1)</f>
        <v>2180</v>
      </c>
      <c r="AA50" s="7"/>
      <c r="AB50" s="56" t="s">
        <v>123</v>
      </c>
      <c r="AC50" s="27"/>
    </row>
    <row r="51" spans="1:29" ht="45">
      <c r="A51" s="2">
        <v>2</v>
      </c>
      <c r="B51" s="16" t="s">
        <v>115</v>
      </c>
      <c r="C51" s="4" t="s">
        <v>116</v>
      </c>
      <c r="D51" s="4"/>
      <c r="E51" s="17"/>
      <c r="F51" s="56" t="s">
        <v>114</v>
      </c>
      <c r="G51" s="56"/>
      <c r="H51" s="56"/>
      <c r="I51" s="56"/>
      <c r="J51" s="15">
        <v>60</v>
      </c>
      <c r="K51" s="1"/>
      <c r="L51" s="1">
        <f t="shared" ref="L51" si="52">M51</f>
        <v>6250</v>
      </c>
      <c r="M51" s="1">
        <f t="shared" si="40"/>
        <v>6250</v>
      </c>
      <c r="N51" s="1">
        <f>ROUND((42885)/$J$40*J51,-1)</f>
        <v>6250</v>
      </c>
      <c r="O51" s="1"/>
      <c r="P51" s="1"/>
      <c r="Q51" s="1"/>
      <c r="R51" s="7"/>
      <c r="S51" s="7"/>
      <c r="T51" s="7"/>
      <c r="U51" s="7"/>
      <c r="V51" s="7"/>
      <c r="W51" s="7"/>
      <c r="X51" s="7"/>
      <c r="Y51" s="1">
        <f>Z51+AA51</f>
        <v>2180</v>
      </c>
      <c r="Z51" s="1">
        <f>ROUND((13491-311)/($J$40-14-2-34)*J51,-1)</f>
        <v>2180</v>
      </c>
      <c r="AA51" s="7"/>
      <c r="AB51" s="56" t="s">
        <v>123</v>
      </c>
      <c r="AC51" s="27"/>
    </row>
    <row r="52" spans="1:29" s="12" customFormat="1" ht="42.75">
      <c r="A52" s="55" t="s">
        <v>104</v>
      </c>
      <c r="B52" s="9" t="s">
        <v>59</v>
      </c>
      <c r="C52" s="9"/>
      <c r="D52" s="53"/>
      <c r="E52" s="53"/>
      <c r="F52" s="54"/>
      <c r="G52" s="11">
        <f>SUBTOTAL(109,G53:G60)</f>
        <v>173186</v>
      </c>
      <c r="H52" s="11">
        <f>SUBTOTAL(109,H53:H60)</f>
        <v>45000</v>
      </c>
      <c r="I52" s="11"/>
      <c r="J52" s="11"/>
      <c r="K52" s="11">
        <f t="shared" ref="K52:Z52" si="53">SUBTOTAL(109,K53:K60)</f>
        <v>0</v>
      </c>
      <c r="L52" s="11">
        <f t="shared" si="53"/>
        <v>218186</v>
      </c>
      <c r="M52" s="11">
        <f t="shared" si="53"/>
        <v>218186</v>
      </c>
      <c r="N52" s="11">
        <f t="shared" si="53"/>
        <v>218186</v>
      </c>
      <c r="O52" s="11"/>
      <c r="P52" s="11">
        <f t="shared" si="53"/>
        <v>39273</v>
      </c>
      <c r="Q52" s="11">
        <f t="shared" si="53"/>
        <v>0</v>
      </c>
      <c r="R52" s="11">
        <f t="shared" si="53"/>
        <v>82228</v>
      </c>
      <c r="S52" s="11">
        <f t="shared" si="53"/>
        <v>66864</v>
      </c>
      <c r="T52" s="11">
        <f t="shared" si="53"/>
        <v>0</v>
      </c>
      <c r="U52" s="11">
        <f t="shared" si="53"/>
        <v>0</v>
      </c>
      <c r="V52" s="11">
        <f t="shared" si="53"/>
        <v>94401</v>
      </c>
      <c r="W52" s="11">
        <f t="shared" si="53"/>
        <v>94401</v>
      </c>
      <c r="X52" s="11"/>
      <c r="Y52" s="11">
        <f t="shared" si="53"/>
        <v>67835</v>
      </c>
      <c r="Z52" s="11">
        <f t="shared" si="53"/>
        <v>67835</v>
      </c>
      <c r="AA52" s="11"/>
      <c r="AB52" s="54"/>
      <c r="AC52" s="27"/>
    </row>
    <row r="53" spans="1:29" ht="42.75">
      <c r="A53" s="55"/>
      <c r="B53" s="9" t="s">
        <v>60</v>
      </c>
      <c r="C53" s="9"/>
      <c r="D53" s="53" t="s">
        <v>61</v>
      </c>
      <c r="E53" s="53"/>
      <c r="F53" s="56"/>
      <c r="G53" s="11">
        <f>SUBTOTAL(109,G54:G60)</f>
        <v>173186</v>
      </c>
      <c r="H53" s="11">
        <f>SUBTOTAL(109,H54:H60)</f>
        <v>45000</v>
      </c>
      <c r="I53" s="11"/>
      <c r="J53" s="11">
        <f>SUBTOTAL(109,J54:J56)</f>
        <v>1804</v>
      </c>
      <c r="K53" s="33"/>
      <c r="L53" s="11">
        <f t="shared" ref="L53:Z53" si="54">SUBTOTAL(109,L54:L60)</f>
        <v>218186</v>
      </c>
      <c r="M53" s="11">
        <f t="shared" si="54"/>
        <v>218186</v>
      </c>
      <c r="N53" s="11">
        <f t="shared" si="54"/>
        <v>218186</v>
      </c>
      <c r="O53" s="11"/>
      <c r="P53" s="11">
        <f t="shared" si="54"/>
        <v>39273</v>
      </c>
      <c r="Q53" s="11">
        <f t="shared" si="54"/>
        <v>0</v>
      </c>
      <c r="R53" s="11">
        <f t="shared" si="54"/>
        <v>82228</v>
      </c>
      <c r="S53" s="11">
        <f t="shared" si="54"/>
        <v>66864</v>
      </c>
      <c r="T53" s="11">
        <f t="shared" si="54"/>
        <v>0</v>
      </c>
      <c r="U53" s="11">
        <f t="shared" si="54"/>
        <v>0</v>
      </c>
      <c r="V53" s="11">
        <f t="shared" si="54"/>
        <v>94401</v>
      </c>
      <c r="W53" s="11">
        <f t="shared" si="54"/>
        <v>94401</v>
      </c>
      <c r="X53" s="11"/>
      <c r="Y53" s="11">
        <f t="shared" si="54"/>
        <v>67835</v>
      </c>
      <c r="Z53" s="11">
        <f t="shared" si="54"/>
        <v>67835</v>
      </c>
      <c r="AA53" s="11"/>
      <c r="AB53" s="54"/>
      <c r="AC53" s="27"/>
    </row>
    <row r="54" spans="1:29">
      <c r="A54" s="2" t="s">
        <v>10</v>
      </c>
      <c r="B54" s="3" t="s">
        <v>17</v>
      </c>
      <c r="C54" s="3"/>
      <c r="D54" s="2" t="s">
        <v>62</v>
      </c>
      <c r="E54" s="2">
        <v>1</v>
      </c>
      <c r="F54" s="56"/>
      <c r="G54" s="1">
        <v>6409</v>
      </c>
      <c r="H54" s="1">
        <f>M54-G54</f>
        <v>3511</v>
      </c>
      <c r="I54" s="56"/>
      <c r="J54" s="1">
        <f>1*82</f>
        <v>82</v>
      </c>
      <c r="K54" s="1"/>
      <c r="L54" s="1">
        <f>N54</f>
        <v>9920</v>
      </c>
      <c r="M54" s="1">
        <f t="shared" si="40"/>
        <v>9920</v>
      </c>
      <c r="N54" s="1">
        <f>ROUND(218186/1804*J54,-1)</f>
        <v>9920</v>
      </c>
      <c r="O54" s="1"/>
      <c r="P54" s="1">
        <v>1136</v>
      </c>
      <c r="Q54" s="1"/>
      <c r="R54" s="1">
        <f>(N54-P54-Q54)/2</f>
        <v>4392</v>
      </c>
      <c r="S54" s="1">
        <f>R54</f>
        <v>4392</v>
      </c>
      <c r="T54" s="1"/>
      <c r="U54" s="1"/>
      <c r="V54" s="1">
        <f>W54+X54</f>
        <v>3124</v>
      </c>
      <c r="W54" s="1">
        <f>1136+1988</f>
        <v>3124</v>
      </c>
      <c r="X54" s="1"/>
      <c r="Y54" s="1">
        <f>Z54+AA54</f>
        <v>3080</v>
      </c>
      <c r="Z54" s="1">
        <f>ROUND(67835/1804*J54,-1)</f>
        <v>3080</v>
      </c>
      <c r="AA54" s="1"/>
      <c r="AB54" s="68" t="s">
        <v>27</v>
      </c>
      <c r="AC54" s="27"/>
    </row>
    <row r="55" spans="1:29">
      <c r="A55" s="2" t="s">
        <v>112</v>
      </c>
      <c r="B55" s="3" t="s">
        <v>21</v>
      </c>
      <c r="C55" s="3"/>
      <c r="D55" s="2" t="s">
        <v>63</v>
      </c>
      <c r="E55" s="2">
        <v>4</v>
      </c>
      <c r="F55" s="56"/>
      <c r="G55" s="1">
        <v>25637</v>
      </c>
      <c r="H55" s="1">
        <f t="shared" ref="H55" si="55">M55-G55</f>
        <v>14033</v>
      </c>
      <c r="I55" s="56"/>
      <c r="J55" s="1">
        <f>4*82</f>
        <v>328</v>
      </c>
      <c r="K55" s="1"/>
      <c r="L55" s="1">
        <f>N55</f>
        <v>39670</v>
      </c>
      <c r="M55" s="1">
        <f t="shared" si="40"/>
        <v>39670</v>
      </c>
      <c r="N55" s="1">
        <f>ROUND(218186/1804*J55,-1)</f>
        <v>39670</v>
      </c>
      <c r="O55" s="1"/>
      <c r="P55" s="1">
        <v>4546</v>
      </c>
      <c r="Q55" s="1"/>
      <c r="R55" s="1">
        <f>(N55-P55-Q55)/2</f>
        <v>17562</v>
      </c>
      <c r="S55" s="1">
        <f t="shared" ref="S55" si="56">R55</f>
        <v>17562</v>
      </c>
      <c r="T55" s="1"/>
      <c r="U55" s="1"/>
      <c r="V55" s="1">
        <f>W55+X55</f>
        <v>12499</v>
      </c>
      <c r="W55" s="1">
        <f>4546+7953</f>
        <v>12499</v>
      </c>
      <c r="X55" s="1"/>
      <c r="Y55" s="1">
        <f>Z55+AA55</f>
        <v>12330</v>
      </c>
      <c r="Z55" s="1">
        <f>ROUND(67835/1804*J55,-1)</f>
        <v>12330</v>
      </c>
      <c r="AA55" s="1"/>
      <c r="AB55" s="68"/>
      <c r="AC55" s="27"/>
    </row>
    <row r="56" spans="1:29">
      <c r="A56" s="2" t="s">
        <v>113</v>
      </c>
      <c r="B56" s="3" t="s">
        <v>64</v>
      </c>
      <c r="C56" s="3"/>
      <c r="D56" s="2" t="s">
        <v>65</v>
      </c>
      <c r="E56" s="2">
        <v>17</v>
      </c>
      <c r="F56" s="56"/>
      <c r="G56" s="1">
        <f>SUBTOTAL(109,G57:G60)</f>
        <v>141140</v>
      </c>
      <c r="H56" s="1">
        <f>SUBTOTAL(109,H57:H60)</f>
        <v>27456</v>
      </c>
      <c r="I56" s="56"/>
      <c r="J56" s="1">
        <f>17*82</f>
        <v>1394</v>
      </c>
      <c r="K56" s="19"/>
      <c r="L56" s="1">
        <f>SUBTOTAL(109,L57:L60)</f>
        <v>168596</v>
      </c>
      <c r="M56" s="1">
        <f>SUBTOTAL(109,M57:M60)</f>
        <v>168596</v>
      </c>
      <c r="N56" s="1">
        <f>SUBTOTAL(109,N57:N60)</f>
        <v>168596</v>
      </c>
      <c r="O56" s="1"/>
      <c r="P56" s="1">
        <f>SUBTOTAL(109,P57:P60)</f>
        <v>33591</v>
      </c>
      <c r="Q56" s="1"/>
      <c r="R56" s="1">
        <f>SUBTOTAL(109,R57:R60)</f>
        <v>60274</v>
      </c>
      <c r="S56" s="1">
        <f>SUBTOTAL(109,S57:S60)</f>
        <v>44910</v>
      </c>
      <c r="T56" s="1"/>
      <c r="U56" s="1"/>
      <c r="V56" s="1">
        <f>SUBTOTAL(109,V57:V60)</f>
        <v>78778</v>
      </c>
      <c r="W56" s="1">
        <f>SUBTOTAL(109,W57:W60)</f>
        <v>78778</v>
      </c>
      <c r="X56" s="1"/>
      <c r="Y56" s="1">
        <f t="shared" ref="Y56:Z56" si="57">SUBTOTAL(109,Y57:Y60)</f>
        <v>52425</v>
      </c>
      <c r="Z56" s="1">
        <f t="shared" si="57"/>
        <v>52425</v>
      </c>
      <c r="AA56" s="1"/>
      <c r="AB56" s="68"/>
      <c r="AC56" s="27"/>
    </row>
    <row r="57" spans="1:29" ht="30">
      <c r="A57" s="2" t="s">
        <v>119</v>
      </c>
      <c r="B57" s="3" t="s">
        <v>121</v>
      </c>
      <c r="C57" s="3"/>
      <c r="D57" s="2" t="s">
        <v>65</v>
      </c>
      <c r="E57" s="2">
        <v>17</v>
      </c>
      <c r="F57" s="56"/>
      <c r="G57" s="1">
        <v>96140</v>
      </c>
      <c r="H57" s="1">
        <f>M57-G57</f>
        <v>27456</v>
      </c>
      <c r="I57" s="56"/>
      <c r="J57" s="1"/>
      <c r="K57" s="19"/>
      <c r="L57" s="1">
        <f>N57</f>
        <v>123596</v>
      </c>
      <c r="M57" s="1">
        <f t="shared" si="40"/>
        <v>123596</v>
      </c>
      <c r="N57" s="1">
        <f>123598-2</f>
        <v>123596</v>
      </c>
      <c r="O57" s="1"/>
      <c r="P57" s="1">
        <v>19318</v>
      </c>
      <c r="Q57" s="1"/>
      <c r="R57" s="1">
        <v>29547</v>
      </c>
      <c r="S57" s="1">
        <v>44910</v>
      </c>
      <c r="T57" s="1">
        <f>T56-T58</f>
        <v>0</v>
      </c>
      <c r="U57" s="1"/>
      <c r="V57" s="1">
        <f>W57+X57</f>
        <v>49141</v>
      </c>
      <c r="W57" s="1">
        <f>19318+29823</f>
        <v>49141</v>
      </c>
      <c r="X57" s="1"/>
      <c r="Y57" s="1">
        <f>Z57+AA57</f>
        <v>37062</v>
      </c>
      <c r="Z57" s="1">
        <f>67835-Z54-Z55-Z58</f>
        <v>37062</v>
      </c>
      <c r="AA57" s="1"/>
      <c r="AB57" s="68"/>
      <c r="AC57" s="27"/>
    </row>
    <row r="58" spans="1:29" s="12" customFormat="1" ht="30">
      <c r="A58" s="2" t="s">
        <v>120</v>
      </c>
      <c r="B58" s="3" t="s">
        <v>122</v>
      </c>
      <c r="C58" s="3"/>
      <c r="D58" s="2"/>
      <c r="E58" s="2"/>
      <c r="F58" s="56"/>
      <c r="G58" s="1">
        <f>SUBTOTAL(109,G59:G60)</f>
        <v>45000</v>
      </c>
      <c r="H58" s="56"/>
      <c r="I58" s="56"/>
      <c r="J58" s="1"/>
      <c r="K58" s="1"/>
      <c r="L58" s="1">
        <f>SUBTOTAL(109,L59:L60)</f>
        <v>45000</v>
      </c>
      <c r="M58" s="1">
        <f>SUBTOTAL(109,M59:M60)</f>
        <v>45000</v>
      </c>
      <c r="N58" s="1">
        <f t="shared" ref="N58:Z58" si="58">SUBTOTAL(109,N59:N60)</f>
        <v>45000</v>
      </c>
      <c r="O58" s="1"/>
      <c r="P58" s="1">
        <f t="shared" si="58"/>
        <v>14273</v>
      </c>
      <c r="Q58" s="1">
        <f t="shared" si="58"/>
        <v>0</v>
      </c>
      <c r="R58" s="1">
        <f t="shared" si="58"/>
        <v>30727</v>
      </c>
      <c r="S58" s="1">
        <f t="shared" si="58"/>
        <v>0</v>
      </c>
      <c r="T58" s="1">
        <f t="shared" si="58"/>
        <v>0</v>
      </c>
      <c r="U58" s="1">
        <f t="shared" si="58"/>
        <v>0</v>
      </c>
      <c r="V58" s="1">
        <f t="shared" si="58"/>
        <v>29637</v>
      </c>
      <c r="W58" s="1">
        <f t="shared" si="58"/>
        <v>29637</v>
      </c>
      <c r="X58" s="1"/>
      <c r="Y58" s="1">
        <f t="shared" si="58"/>
        <v>15363</v>
      </c>
      <c r="Z58" s="1">
        <f t="shared" si="58"/>
        <v>15363</v>
      </c>
      <c r="AA58" s="1"/>
      <c r="AB58" s="54"/>
      <c r="AC58" s="27"/>
    </row>
    <row r="59" spans="1:29" ht="45">
      <c r="A59" s="41" t="s">
        <v>103</v>
      </c>
      <c r="B59" s="14" t="s">
        <v>66</v>
      </c>
      <c r="C59" s="14" t="s">
        <v>102</v>
      </c>
      <c r="D59" s="4"/>
      <c r="E59" s="10"/>
      <c r="F59" s="56" t="s">
        <v>40</v>
      </c>
      <c r="G59" s="1">
        <v>30000</v>
      </c>
      <c r="H59" s="56"/>
      <c r="I59" s="56"/>
      <c r="J59" s="1"/>
      <c r="K59" s="1"/>
      <c r="L59" s="1">
        <f>N59+T59</f>
        <v>30000</v>
      </c>
      <c r="M59" s="1">
        <f t="shared" si="40"/>
        <v>30000</v>
      </c>
      <c r="N59" s="1">
        <v>30000</v>
      </c>
      <c r="O59" s="1"/>
      <c r="P59" s="1">
        <v>9500</v>
      </c>
      <c r="Q59" s="1"/>
      <c r="R59" s="20">
        <f>N59-P59-Q59</f>
        <v>20500</v>
      </c>
      <c r="S59" s="20">
        <v>0</v>
      </c>
      <c r="T59" s="20"/>
      <c r="U59" s="20"/>
      <c r="V59" s="20">
        <f>W59+X59</f>
        <v>19750</v>
      </c>
      <c r="W59" s="20">
        <f>9500+10250</f>
        <v>19750</v>
      </c>
      <c r="X59" s="20"/>
      <c r="Y59" s="20">
        <f>Z59+AA59</f>
        <v>10250</v>
      </c>
      <c r="Z59" s="20">
        <f>M59-V59</f>
        <v>10250</v>
      </c>
      <c r="AA59" s="20"/>
      <c r="AB59" s="56" t="s">
        <v>67</v>
      </c>
      <c r="AC59" s="27"/>
    </row>
    <row r="60" spans="1:29" ht="45">
      <c r="A60" s="41" t="s">
        <v>103</v>
      </c>
      <c r="B60" s="14" t="s">
        <v>68</v>
      </c>
      <c r="C60" s="14" t="s">
        <v>99</v>
      </c>
      <c r="D60" s="4"/>
      <c r="E60" s="2"/>
      <c r="F60" s="56" t="s">
        <v>40</v>
      </c>
      <c r="G60" s="1">
        <v>15000</v>
      </c>
      <c r="H60" s="56"/>
      <c r="I60" s="56"/>
      <c r="J60" s="1"/>
      <c r="K60" s="1"/>
      <c r="L60" s="1">
        <f>N60+T60</f>
        <v>15000</v>
      </c>
      <c r="M60" s="1">
        <f t="shared" si="40"/>
        <v>15000</v>
      </c>
      <c r="N60" s="1">
        <v>15000</v>
      </c>
      <c r="O60" s="1"/>
      <c r="P60" s="1">
        <f>14273-9500</f>
        <v>4773</v>
      </c>
      <c r="Q60" s="1"/>
      <c r="R60" s="20">
        <f>N60-P60-Q60</f>
        <v>10227</v>
      </c>
      <c r="S60" s="20">
        <v>0</v>
      </c>
      <c r="T60" s="20"/>
      <c r="U60" s="20"/>
      <c r="V60" s="20">
        <f>W60+X60</f>
        <v>9887</v>
      </c>
      <c r="W60" s="20">
        <f>4773+5114</f>
        <v>9887</v>
      </c>
      <c r="X60" s="20"/>
      <c r="Y60" s="20">
        <f>Z60+AA60</f>
        <v>5113</v>
      </c>
      <c r="Z60" s="20">
        <f>M60-V60</f>
        <v>5113</v>
      </c>
      <c r="AA60" s="20"/>
      <c r="AB60" s="56" t="s">
        <v>67</v>
      </c>
      <c r="AC60" s="27"/>
    </row>
    <row r="61" spans="1:29">
      <c r="A61" s="55" t="s">
        <v>69</v>
      </c>
      <c r="B61" s="25" t="s">
        <v>105</v>
      </c>
      <c r="C61" s="25"/>
      <c r="D61" s="26"/>
      <c r="E61" s="55"/>
      <c r="F61" s="54"/>
      <c r="G61" s="11"/>
      <c r="H61" s="11">
        <v>28112</v>
      </c>
      <c r="I61" s="11"/>
      <c r="J61" s="54"/>
      <c r="K61" s="54"/>
      <c r="L61" s="11"/>
      <c r="M61" s="11">
        <f>SUBTOTAL(109,M62:M66)</f>
        <v>28112</v>
      </c>
      <c r="N61" s="11"/>
      <c r="O61" s="11">
        <f t="shared" ref="O61:AA61" si="59">SUBTOTAL(109,O62:O66)</f>
        <v>28112</v>
      </c>
      <c r="P61" s="11">
        <f t="shared" si="59"/>
        <v>0</v>
      </c>
      <c r="Q61" s="11">
        <f t="shared" si="59"/>
        <v>0</v>
      </c>
      <c r="R61" s="11">
        <f t="shared" si="59"/>
        <v>0</v>
      </c>
      <c r="S61" s="11">
        <f t="shared" si="59"/>
        <v>0</v>
      </c>
      <c r="T61" s="11">
        <f t="shared" si="59"/>
        <v>0</v>
      </c>
      <c r="U61" s="11">
        <f t="shared" si="59"/>
        <v>0</v>
      </c>
      <c r="V61" s="11"/>
      <c r="W61" s="11"/>
      <c r="X61" s="11"/>
      <c r="Y61" s="11">
        <f t="shared" si="59"/>
        <v>7290</v>
      </c>
      <c r="Z61" s="11"/>
      <c r="AA61" s="11">
        <f t="shared" si="59"/>
        <v>7290</v>
      </c>
      <c r="AB61" s="54"/>
      <c r="AC61" s="27"/>
    </row>
    <row r="62" spans="1:29">
      <c r="A62" s="2">
        <v>1</v>
      </c>
      <c r="B62" s="3" t="s">
        <v>12</v>
      </c>
      <c r="C62" s="3"/>
      <c r="D62" s="2"/>
      <c r="E62" s="4"/>
      <c r="F62" s="56"/>
      <c r="G62" s="56"/>
      <c r="H62" s="56"/>
      <c r="I62" s="56"/>
      <c r="J62" s="1"/>
      <c r="K62" s="1"/>
      <c r="L62" s="1"/>
      <c r="M62" s="1">
        <f t="shared" ref="M62:M64" si="60">O62</f>
        <v>5790</v>
      </c>
      <c r="N62" s="1"/>
      <c r="O62" s="1">
        <f>ROUND((50000-21090-798)/102*21,-1)</f>
        <v>5790</v>
      </c>
      <c r="P62" s="1"/>
      <c r="Q62" s="1"/>
      <c r="R62" s="1"/>
      <c r="S62" s="1"/>
      <c r="T62" s="1"/>
      <c r="U62" s="1"/>
      <c r="V62" s="1"/>
      <c r="W62" s="1"/>
      <c r="X62" s="1"/>
      <c r="Y62" s="1">
        <f t="shared" ref="Y62:Y64" si="61">AA62+Z62</f>
        <v>1500</v>
      </c>
      <c r="Z62" s="1"/>
      <c r="AA62" s="1">
        <f>ROUND((25000-17710)/102*21,-1)</f>
        <v>1500</v>
      </c>
      <c r="AB62" s="60" t="s">
        <v>27</v>
      </c>
      <c r="AC62" s="27"/>
    </row>
    <row r="63" spans="1:29">
      <c r="A63" s="2">
        <v>2</v>
      </c>
      <c r="B63" s="3" t="s">
        <v>15</v>
      </c>
      <c r="C63" s="3"/>
      <c r="D63" s="2"/>
      <c r="E63" s="4"/>
      <c r="F63" s="56"/>
      <c r="G63" s="56"/>
      <c r="H63" s="56"/>
      <c r="I63" s="56"/>
      <c r="J63" s="1"/>
      <c r="K63" s="1"/>
      <c r="L63" s="1"/>
      <c r="M63" s="1">
        <f t="shared" si="60"/>
        <v>5240</v>
      </c>
      <c r="N63" s="1"/>
      <c r="O63" s="1">
        <f>ROUND((50000-21090-798)/102*19,-1)</f>
        <v>5240</v>
      </c>
      <c r="P63" s="1"/>
      <c r="Q63" s="1"/>
      <c r="R63" s="1"/>
      <c r="S63" s="1"/>
      <c r="T63" s="1"/>
      <c r="U63" s="1"/>
      <c r="V63" s="1"/>
      <c r="W63" s="1"/>
      <c r="X63" s="1"/>
      <c r="Y63" s="1">
        <f t="shared" si="61"/>
        <v>1360</v>
      </c>
      <c r="Z63" s="1"/>
      <c r="AA63" s="1">
        <f>ROUND((25000-17710)/102*19,-1)</f>
        <v>1360</v>
      </c>
      <c r="AB63" s="61"/>
      <c r="AC63" s="27"/>
    </row>
    <row r="64" spans="1:29">
      <c r="A64" s="2">
        <v>3</v>
      </c>
      <c r="B64" s="3" t="s">
        <v>17</v>
      </c>
      <c r="C64" s="3"/>
      <c r="D64" s="2"/>
      <c r="E64" s="4"/>
      <c r="F64" s="56"/>
      <c r="G64" s="56"/>
      <c r="H64" s="56"/>
      <c r="I64" s="56"/>
      <c r="J64" s="1"/>
      <c r="K64" s="1"/>
      <c r="L64" s="1"/>
      <c r="M64" s="1">
        <f t="shared" si="60"/>
        <v>6062</v>
      </c>
      <c r="N64" s="1"/>
      <c r="O64" s="1">
        <f>ROUND((50000-21090-798)/102*22,-1)+2</f>
        <v>6062</v>
      </c>
      <c r="P64" s="1"/>
      <c r="Q64" s="1"/>
      <c r="R64" s="1"/>
      <c r="S64" s="1"/>
      <c r="T64" s="1"/>
      <c r="U64" s="1"/>
      <c r="V64" s="1"/>
      <c r="W64" s="1"/>
      <c r="X64" s="1"/>
      <c r="Y64" s="1">
        <f t="shared" si="61"/>
        <v>1570</v>
      </c>
      <c r="Z64" s="1"/>
      <c r="AA64" s="1">
        <f>ROUND((25000-17710)/102*22,-1)</f>
        <v>1570</v>
      </c>
      <c r="AB64" s="61"/>
      <c r="AC64" s="27"/>
    </row>
    <row r="65" spans="1:29">
      <c r="A65" s="2">
        <v>4</v>
      </c>
      <c r="B65" s="3" t="s">
        <v>19</v>
      </c>
      <c r="C65" s="3"/>
      <c r="D65" s="2"/>
      <c r="E65" s="4"/>
      <c r="F65" s="56"/>
      <c r="G65" s="56"/>
      <c r="H65" s="56"/>
      <c r="I65" s="56"/>
      <c r="J65" s="1"/>
      <c r="K65" s="1"/>
      <c r="L65" s="1"/>
      <c r="M65" s="1">
        <f>O65</f>
        <v>9920</v>
      </c>
      <c r="N65" s="1"/>
      <c r="O65" s="1">
        <f>ROUND((50000-21090-798)/102*36,-1)</f>
        <v>9920</v>
      </c>
      <c r="P65" s="1"/>
      <c r="Q65" s="1"/>
      <c r="R65" s="1"/>
      <c r="S65" s="1"/>
      <c r="T65" s="1"/>
      <c r="U65" s="1"/>
      <c r="V65" s="1"/>
      <c r="W65" s="1"/>
      <c r="X65" s="1"/>
      <c r="Y65" s="1">
        <f>AA65+Z65</f>
        <v>2570</v>
      </c>
      <c r="Z65" s="1"/>
      <c r="AA65" s="1">
        <f>ROUND((25000-17710)/102*36,-1)</f>
        <v>2570</v>
      </c>
      <c r="AB65" s="61"/>
      <c r="AC65" s="27"/>
    </row>
    <row r="66" spans="1:29">
      <c r="A66" s="2">
        <v>5</v>
      </c>
      <c r="B66" s="3" t="s">
        <v>21</v>
      </c>
      <c r="C66" s="3"/>
      <c r="D66" s="2"/>
      <c r="E66" s="4"/>
      <c r="F66" s="56"/>
      <c r="G66" s="56"/>
      <c r="H66" s="56"/>
      <c r="I66" s="56"/>
      <c r="J66" s="1"/>
      <c r="K66" s="1"/>
      <c r="L66" s="1"/>
      <c r="M66" s="1">
        <f t="shared" ref="M66" si="62">O66</f>
        <v>1100</v>
      </c>
      <c r="N66" s="1"/>
      <c r="O66" s="1">
        <f>ROUND((50000-21090-798)/102*4,-1)</f>
        <v>1100</v>
      </c>
      <c r="P66" s="1"/>
      <c r="Q66" s="1"/>
      <c r="R66" s="1"/>
      <c r="S66" s="1"/>
      <c r="T66" s="1"/>
      <c r="U66" s="1"/>
      <c r="V66" s="1"/>
      <c r="W66" s="1"/>
      <c r="X66" s="1"/>
      <c r="Y66" s="1">
        <f t="shared" ref="Y66" si="63">AA66+Z66</f>
        <v>290</v>
      </c>
      <c r="Z66" s="1"/>
      <c r="AA66" s="1">
        <f>ROUND((25000-17710)/102*4,-1)</f>
        <v>290</v>
      </c>
      <c r="AB66" s="62"/>
      <c r="AC66" s="27"/>
    </row>
    <row r="70" spans="1:29" s="23" customFormat="1">
      <c r="A70" s="18"/>
      <c r="B70" s="18"/>
      <c r="C70" s="18"/>
      <c r="D70" s="24"/>
      <c r="F70" s="24"/>
      <c r="G70" s="24"/>
      <c r="H70" s="24"/>
      <c r="I70" s="24"/>
      <c r="J70" s="18"/>
      <c r="K70" s="18"/>
      <c r="L70" s="18"/>
      <c r="M70" s="18"/>
      <c r="N70" s="18"/>
      <c r="O70" s="18"/>
      <c r="P70" s="18"/>
      <c r="Q70" s="18"/>
      <c r="R70" s="18"/>
      <c r="S70" s="18"/>
      <c r="T70" s="18"/>
      <c r="U70" s="18"/>
      <c r="V70" s="18"/>
      <c r="W70" s="18"/>
      <c r="X70" s="18"/>
      <c r="Y70" s="18"/>
      <c r="Z70" s="18"/>
      <c r="AA70" s="18"/>
      <c r="AB70" s="24"/>
    </row>
    <row r="71" spans="1:29" s="23" customFormat="1">
      <c r="A71" s="18"/>
      <c r="B71" s="18"/>
      <c r="C71" s="18"/>
      <c r="D71" s="24"/>
      <c r="F71" s="24"/>
      <c r="G71" s="24"/>
      <c r="H71" s="24"/>
      <c r="I71" s="24"/>
      <c r="J71" s="18"/>
      <c r="K71" s="18"/>
      <c r="L71" s="18"/>
      <c r="M71" s="18"/>
      <c r="N71" s="18"/>
      <c r="O71" s="18"/>
      <c r="P71" s="18"/>
      <c r="Q71" s="18"/>
      <c r="R71" s="18"/>
      <c r="S71" s="18"/>
      <c r="T71" s="18"/>
      <c r="U71" s="18"/>
      <c r="V71" s="18"/>
      <c r="W71" s="18"/>
      <c r="X71" s="18"/>
      <c r="Y71" s="18"/>
      <c r="Z71" s="18"/>
      <c r="AA71" s="18"/>
      <c r="AB71" s="24"/>
    </row>
    <row r="72" spans="1:29" s="23" customFormat="1">
      <c r="A72" s="18"/>
      <c r="B72" s="18"/>
      <c r="C72" s="18"/>
      <c r="D72" s="24"/>
      <c r="F72" s="24"/>
      <c r="G72" s="24"/>
      <c r="H72" s="24"/>
      <c r="I72" s="24"/>
      <c r="J72" s="18"/>
      <c r="K72" s="18"/>
      <c r="L72" s="18"/>
      <c r="M72" s="18"/>
      <c r="N72" s="18"/>
      <c r="O72" s="18"/>
      <c r="P72" s="18"/>
      <c r="Q72" s="18"/>
      <c r="R72" s="18"/>
      <c r="S72" s="18"/>
      <c r="T72" s="18"/>
      <c r="U72" s="18"/>
      <c r="V72" s="18"/>
      <c r="W72" s="18"/>
      <c r="X72" s="18"/>
      <c r="Y72" s="18"/>
      <c r="Z72" s="18"/>
      <c r="AA72" s="18"/>
      <c r="AB72" s="24"/>
    </row>
  </sheetData>
  <mergeCells count="27">
    <mergeCell ref="A5:A6"/>
    <mergeCell ref="B5:B6"/>
    <mergeCell ref="C5:C6"/>
    <mergeCell ref="D5:D6"/>
    <mergeCell ref="E5:E6"/>
    <mergeCell ref="A1:AB1"/>
    <mergeCell ref="A2:AB2"/>
    <mergeCell ref="A3:AB3"/>
    <mergeCell ref="D4:J4"/>
    <mergeCell ref="Q4:AB4"/>
    <mergeCell ref="AB5:AB6"/>
    <mergeCell ref="F5:F6"/>
    <mergeCell ref="G5:G6"/>
    <mergeCell ref="H5:I5"/>
    <mergeCell ref="J5:J6"/>
    <mergeCell ref="K5:K6"/>
    <mergeCell ref="L5:L6"/>
    <mergeCell ref="M5:O5"/>
    <mergeCell ref="P5:P6"/>
    <mergeCell ref="Q5:U5"/>
    <mergeCell ref="V5:X5"/>
    <mergeCell ref="Y5:AA5"/>
    <mergeCell ref="AB16:AB20"/>
    <mergeCell ref="AB24:AB28"/>
    <mergeCell ref="AB43:AB47"/>
    <mergeCell ref="AB54:AB57"/>
    <mergeCell ref="AB62:AB66"/>
  </mergeCells>
  <pageMargins left="0.19" right="7.0000000000000007E-2" top="0.75" bottom="1" header="0.3" footer="0.3"/>
  <pageSetup paperSize="9" scale="85" orientation="landscape" verticalDpi="0" r:id="rId1"/>
  <headerFooter>
    <oddHeader>&amp;C&amp;P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NQ 2024</vt:lpstr>
      <vt:lpstr>TTr 2024 FN</vt:lpstr>
      <vt:lpstr>'NQ 2024'!Print_Titles</vt:lpstr>
      <vt:lpstr>'TTr 2024 FN'!Print_Titles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2023-12-01T02:29:28Z</cp:lastPrinted>
  <dcterms:created xsi:type="dcterms:W3CDTF">2023-07-06T01:33:48Z</dcterms:created>
  <dcterms:modified xsi:type="dcterms:W3CDTF">2023-12-04T01:55:33Z</dcterms:modified>
</cp:coreProperties>
</file>