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Windows\Desktop\"/>
    </mc:Choice>
  </mc:AlternateContent>
  <xr:revisionPtr revIDLastSave="0" documentId="8_{BACE461C-C638-4D95-8B99-A294A3D3F44F}" xr6:coauthVersionLast="47" xr6:coauthVersionMax="47" xr10:uidLastSave="{00000000-0000-0000-0000-000000000000}"/>
  <bookViews>
    <workbookView xWindow="-108" yWindow="-108" windowWidth="23256" windowHeight="12456" activeTab="1" xr2:uid="{00000000-000D-0000-FFFF-FFFF00000000}"/>
  </bookViews>
  <sheets>
    <sheet name="NQ 2021 - 2025" sheetId="14" r:id="rId1"/>
    <sheet name="NQ Năm 2023" sheetId="15" r:id="rId2"/>
    <sheet name="TTr 2021 - 2025" sheetId="18" r:id="rId3"/>
    <sheet name="TTr Năm 2023" sheetId="19" r:id="rId4"/>
  </sheets>
  <definedNames>
    <definedName name="_xlnm.Print_Titles" localSheetId="0">'NQ 2021 - 2025'!$6:$7</definedName>
    <definedName name="_xlnm.Print_Titles" localSheetId="1">'NQ Năm 2023'!$6:$7</definedName>
    <definedName name="_xlnm.Print_Titles" localSheetId="2">'TTr 2021 - 2025'!$6:$7</definedName>
    <definedName name="_xlnm.Print_Titles" localSheetId="3">'TTr Năm 2023'!$6:$7</definedName>
  </definedNames>
  <calcPr calcId="181029"/>
</workbook>
</file>

<file path=xl/calcChain.xml><?xml version="1.0" encoding="utf-8"?>
<calcChain xmlns="http://schemas.openxmlformats.org/spreadsheetml/2006/main">
  <c r="J29" i="18" l="1"/>
  <c r="J33" i="18"/>
  <c r="J33" i="14"/>
  <c r="J29" i="14"/>
  <c r="J32" i="14" l="1"/>
  <c r="J31" i="14"/>
  <c r="J30" i="14"/>
  <c r="J32" i="18"/>
  <c r="J31" i="18"/>
  <c r="J30" i="18"/>
  <c r="N78" i="18" l="1"/>
  <c r="G80" i="18"/>
  <c r="N80" i="18" s="1"/>
  <c r="G79" i="18"/>
  <c r="N79" i="18" s="1"/>
  <c r="G78" i="18"/>
  <c r="G77" i="18"/>
  <c r="N77" i="18" s="1"/>
  <c r="G76" i="18"/>
  <c r="N76" i="18" s="1"/>
  <c r="J60" i="18" l="1"/>
  <c r="J54" i="18"/>
  <c r="K55" i="18"/>
  <c r="O55" i="18"/>
  <c r="P55" i="18"/>
  <c r="T55" i="18"/>
  <c r="J56" i="18"/>
  <c r="Q56" i="18" s="1"/>
  <c r="J57" i="18"/>
  <c r="Q57" i="18" s="1"/>
  <c r="J58" i="18"/>
  <c r="Q58" i="18" s="1"/>
  <c r="J59" i="18"/>
  <c r="Q59" i="18"/>
  <c r="Q60" i="18"/>
  <c r="J61" i="18"/>
  <c r="Q61" i="18"/>
  <c r="J62" i="18"/>
  <c r="J62" i="14"/>
  <c r="K62" i="14"/>
  <c r="J60" i="14"/>
  <c r="Q55" i="18" l="1"/>
  <c r="J55" i="18"/>
  <c r="G28" i="14"/>
  <c r="J28" i="14"/>
  <c r="N33" i="14" s="1"/>
  <c r="K28" i="14"/>
  <c r="O28" i="14"/>
  <c r="U53" i="18"/>
  <c r="N29" i="14" l="1"/>
  <c r="N32" i="14"/>
  <c r="N30" i="14"/>
  <c r="N31" i="14"/>
  <c r="P28" i="14"/>
  <c r="Q28" i="14"/>
  <c r="R28" i="14"/>
  <c r="S28" i="14"/>
  <c r="T28" i="14"/>
  <c r="L47" i="14"/>
  <c r="M47" i="14"/>
  <c r="H47" i="14" s="1"/>
  <c r="R47" i="14"/>
  <c r="L48" i="14"/>
  <c r="M48" i="14"/>
  <c r="H48" i="14" s="1"/>
  <c r="R48" i="14"/>
  <c r="L49" i="14"/>
  <c r="M49" i="14"/>
  <c r="H49" i="14" s="1"/>
  <c r="R49" i="14"/>
  <c r="L50" i="14"/>
  <c r="M50" i="14"/>
  <c r="H50" i="14" s="1"/>
  <c r="R50" i="14"/>
  <c r="M31" i="14" l="1"/>
  <c r="H31" i="14" s="1"/>
  <c r="L31" i="14"/>
  <c r="N28" i="14"/>
  <c r="M29" i="14"/>
  <c r="H29" i="14" s="1"/>
  <c r="L29" i="14"/>
  <c r="L30" i="14"/>
  <c r="M30" i="14"/>
  <c r="H30" i="14" s="1"/>
  <c r="L32" i="14"/>
  <c r="M32" i="14"/>
  <c r="H32" i="14" s="1"/>
  <c r="M33" i="14"/>
  <c r="H33" i="14" s="1"/>
  <c r="L33" i="14"/>
  <c r="J28" i="19"/>
  <c r="S28" i="19" s="1"/>
  <c r="Y28" i="19" s="1"/>
  <c r="Q27" i="19"/>
  <c r="J27" i="19"/>
  <c r="S27" i="19" s="1"/>
  <c r="Y27" i="19" s="1"/>
  <c r="Q26" i="19"/>
  <c r="J26" i="19"/>
  <c r="S26" i="19" s="1"/>
  <c r="Y26" i="19" s="1"/>
  <c r="Q25" i="19"/>
  <c r="J25" i="19"/>
  <c r="S24" i="19"/>
  <c r="Y24" i="19" s="1"/>
  <c r="Q24" i="19"/>
  <c r="J24" i="19"/>
  <c r="X23" i="19"/>
  <c r="X22" i="19" s="1"/>
  <c r="W23" i="19"/>
  <c r="W22" i="19" s="1"/>
  <c r="V23" i="19"/>
  <c r="V22" i="19" s="1"/>
  <c r="R23" i="19"/>
  <c r="P23" i="19"/>
  <c r="P22" i="19" s="1"/>
  <c r="O23" i="19"/>
  <c r="O22" i="19" s="1"/>
  <c r="K23" i="19"/>
  <c r="N21" i="19"/>
  <c r="S21" i="19" s="1"/>
  <c r="Y21" i="19" s="1"/>
  <c r="N20" i="19"/>
  <c r="S20" i="19" s="1"/>
  <c r="Y20" i="19" s="1"/>
  <c r="M20" i="19"/>
  <c r="N19" i="19"/>
  <c r="S19" i="19" s="1"/>
  <c r="Y19" i="19" s="1"/>
  <c r="N18" i="19"/>
  <c r="S18" i="19" s="1"/>
  <c r="Y18" i="19" s="1"/>
  <c r="M18" i="19"/>
  <c r="N17" i="19"/>
  <c r="S17" i="19" s="1"/>
  <c r="X16" i="19"/>
  <c r="W16" i="19"/>
  <c r="V16" i="19"/>
  <c r="U16" i="19"/>
  <c r="T16" i="19"/>
  <c r="P16" i="19"/>
  <c r="O16" i="19"/>
  <c r="N16" i="19"/>
  <c r="M16" i="19"/>
  <c r="L16" i="19"/>
  <c r="K16" i="19"/>
  <c r="J16" i="19"/>
  <c r="I16" i="19"/>
  <c r="H16" i="19"/>
  <c r="G16" i="19"/>
  <c r="Q15" i="19"/>
  <c r="L15" i="19"/>
  <c r="J15" i="19"/>
  <c r="G15" i="19"/>
  <c r="Q14" i="19"/>
  <c r="L14" i="19"/>
  <c r="J14" i="19"/>
  <c r="G14" i="19"/>
  <c r="Q13" i="19"/>
  <c r="L13" i="19"/>
  <c r="J13" i="19"/>
  <c r="G13" i="19"/>
  <c r="Q12" i="19"/>
  <c r="J12" i="19"/>
  <c r="G12" i="19"/>
  <c r="Q11" i="19"/>
  <c r="J11" i="19"/>
  <c r="G11" i="19"/>
  <c r="X10" i="19"/>
  <c r="W10" i="19"/>
  <c r="R10" i="19"/>
  <c r="R9" i="19" s="1"/>
  <c r="R8" i="19" s="1"/>
  <c r="P10" i="19"/>
  <c r="O86" i="18"/>
  <c r="M86" i="18" s="1"/>
  <c r="O85" i="18"/>
  <c r="M85" i="18" s="1"/>
  <c r="O84" i="18"/>
  <c r="M84" i="18" s="1"/>
  <c r="O83" i="18"/>
  <c r="M83" i="18" s="1"/>
  <c r="O82" i="18"/>
  <c r="M82" i="18" s="1"/>
  <c r="T81" i="18"/>
  <c r="S81" i="18"/>
  <c r="R81" i="18"/>
  <c r="Q81" i="18"/>
  <c r="P81" i="18"/>
  <c r="N81" i="18"/>
  <c r="J80" i="18"/>
  <c r="J79" i="18"/>
  <c r="J78" i="18"/>
  <c r="J77" i="18"/>
  <c r="J76" i="18"/>
  <c r="T75" i="18"/>
  <c r="T74" i="18" s="1"/>
  <c r="Q75" i="18"/>
  <c r="Q74" i="18" s="1"/>
  <c r="P75" i="18"/>
  <c r="P74" i="18" s="1"/>
  <c r="O75" i="18"/>
  <c r="O74" i="18" s="1"/>
  <c r="K75" i="18"/>
  <c r="K74" i="18" s="1"/>
  <c r="G75" i="18"/>
  <c r="G74" i="18" s="1"/>
  <c r="P73" i="18"/>
  <c r="R73" i="18" s="1"/>
  <c r="M73" i="18"/>
  <c r="L73" i="18"/>
  <c r="R72" i="18"/>
  <c r="M72" i="18"/>
  <c r="L72" i="18"/>
  <c r="T71" i="18"/>
  <c r="T70" i="18" s="1"/>
  <c r="T66" i="18" s="1"/>
  <c r="T65" i="18" s="1"/>
  <c r="Q71" i="18"/>
  <c r="Q66" i="18" s="1"/>
  <c r="Q65" i="18" s="1"/>
  <c r="P71" i="18"/>
  <c r="P69" i="18" s="1"/>
  <c r="P66" i="18" s="1"/>
  <c r="P65" i="18" s="1"/>
  <c r="O71" i="18"/>
  <c r="O66" i="18" s="1"/>
  <c r="O65" i="18" s="1"/>
  <c r="N71" i="18"/>
  <c r="N70" i="18"/>
  <c r="M70" i="18" s="1"/>
  <c r="S69" i="18"/>
  <c r="J69" i="18"/>
  <c r="G69" i="18"/>
  <c r="G66" i="18" s="1"/>
  <c r="G65" i="18" s="1"/>
  <c r="J68" i="18"/>
  <c r="J67" i="18"/>
  <c r="N67" i="18" s="1"/>
  <c r="R67" i="18" s="1"/>
  <c r="I66" i="18"/>
  <c r="I65" i="18" s="1"/>
  <c r="K65" i="18"/>
  <c r="P53" i="18"/>
  <c r="O53" i="18"/>
  <c r="N52" i="18"/>
  <c r="M52" i="18" s="1"/>
  <c r="H52" i="18" s="1"/>
  <c r="N51" i="18"/>
  <c r="M51" i="18" s="1"/>
  <c r="H51" i="18" s="1"/>
  <c r="R50" i="18"/>
  <c r="M50" i="18"/>
  <c r="H50" i="18" s="1"/>
  <c r="L50" i="18"/>
  <c r="R49" i="18"/>
  <c r="M49" i="18"/>
  <c r="H49" i="18" s="1"/>
  <c r="L49" i="18"/>
  <c r="R48" i="18"/>
  <c r="M48" i="18"/>
  <c r="H48" i="18" s="1"/>
  <c r="L48" i="18"/>
  <c r="R47" i="18"/>
  <c r="M47" i="18"/>
  <c r="H47" i="18" s="1"/>
  <c r="L47" i="18"/>
  <c r="T46" i="18"/>
  <c r="T45" i="18" s="1"/>
  <c r="Q46" i="18"/>
  <c r="Q45" i="18" s="1"/>
  <c r="P46" i="18"/>
  <c r="P45" i="18" s="1"/>
  <c r="O46" i="18"/>
  <c r="O45" i="18" s="1"/>
  <c r="K46" i="18"/>
  <c r="K45" i="18" s="1"/>
  <c r="J46" i="18"/>
  <c r="J45" i="18" s="1"/>
  <c r="I46" i="18"/>
  <c r="I45" i="18" s="1"/>
  <c r="G46" i="18"/>
  <c r="G45" i="18" s="1"/>
  <c r="R44" i="18"/>
  <c r="S44" i="18" s="1"/>
  <c r="S42" i="18" s="1"/>
  <c r="M44" i="18"/>
  <c r="R43" i="18"/>
  <c r="M43" i="18"/>
  <c r="T42" i="18"/>
  <c r="T35" i="18" s="1"/>
  <c r="T34" i="18" s="1"/>
  <c r="Q42" i="18"/>
  <c r="P42" i="18"/>
  <c r="O42" i="18"/>
  <c r="N42" i="18"/>
  <c r="L42" i="18"/>
  <c r="K42" i="18"/>
  <c r="K34" i="18" s="1"/>
  <c r="J42" i="18"/>
  <c r="I42" i="18"/>
  <c r="H42" i="18"/>
  <c r="G42" i="18"/>
  <c r="J41" i="18"/>
  <c r="J40" i="18"/>
  <c r="J39" i="18"/>
  <c r="J38" i="18"/>
  <c r="J37" i="18"/>
  <c r="Q36" i="18"/>
  <c r="P36" i="18"/>
  <c r="O36" i="18"/>
  <c r="L36" i="18"/>
  <c r="I36" i="18"/>
  <c r="I35" i="18" s="1"/>
  <c r="I34" i="18" s="1"/>
  <c r="G36" i="18"/>
  <c r="T28" i="18"/>
  <c r="S28" i="18"/>
  <c r="R28" i="18"/>
  <c r="Q28" i="18"/>
  <c r="P28" i="18"/>
  <c r="O28" i="18"/>
  <c r="K28" i="18"/>
  <c r="J28" i="18"/>
  <c r="N33" i="18" s="1"/>
  <c r="G28" i="18"/>
  <c r="N27" i="18"/>
  <c r="N26" i="18"/>
  <c r="Q26" i="18" s="1"/>
  <c r="N25" i="18"/>
  <c r="M25" i="18" s="1"/>
  <c r="N24" i="18"/>
  <c r="M24" i="18" s="1"/>
  <c r="N23" i="18"/>
  <c r="T22" i="18"/>
  <c r="T16" i="18" s="1"/>
  <c r="S22" i="18"/>
  <c r="S16" i="18" s="1"/>
  <c r="R22" i="18"/>
  <c r="R16" i="18" s="1"/>
  <c r="Q22" i="18"/>
  <c r="Q16" i="18" s="1"/>
  <c r="P22" i="18"/>
  <c r="P16" i="18" s="1"/>
  <c r="M21" i="18"/>
  <c r="L21" i="18"/>
  <c r="M20" i="18"/>
  <c r="L20" i="18"/>
  <c r="M19" i="18"/>
  <c r="L19" i="18"/>
  <c r="M18" i="18"/>
  <c r="L18" i="18"/>
  <c r="M17" i="18"/>
  <c r="L17" i="18"/>
  <c r="O16" i="18"/>
  <c r="K16" i="18"/>
  <c r="J16" i="18"/>
  <c r="I16" i="18"/>
  <c r="H16" i="18"/>
  <c r="G16" i="18"/>
  <c r="L15" i="18"/>
  <c r="J15" i="18"/>
  <c r="G15" i="18"/>
  <c r="L14" i="18"/>
  <c r="J14" i="18"/>
  <c r="G14" i="18"/>
  <c r="L13" i="18"/>
  <c r="J13" i="18"/>
  <c r="G13" i="18"/>
  <c r="J12" i="18"/>
  <c r="G12" i="18"/>
  <c r="J11" i="18"/>
  <c r="G11" i="18"/>
  <c r="P10" i="18"/>
  <c r="O86" i="14"/>
  <c r="O85" i="14"/>
  <c r="O84" i="14"/>
  <c r="O83" i="14"/>
  <c r="O82" i="14"/>
  <c r="N70" i="14"/>
  <c r="N27" i="14"/>
  <c r="N26" i="14"/>
  <c r="N25" i="14"/>
  <c r="N24" i="14"/>
  <c r="N23" i="14"/>
  <c r="W9" i="19" l="1"/>
  <c r="W8" i="19" s="1"/>
  <c r="X9" i="19"/>
  <c r="X8" i="19" s="1"/>
  <c r="L35" i="18"/>
  <c r="L34" i="18" s="1"/>
  <c r="G10" i="19"/>
  <c r="G9" i="19" s="1"/>
  <c r="G8" i="19" s="1"/>
  <c r="Q10" i="19"/>
  <c r="Q9" i="19" s="1"/>
  <c r="M17" i="19"/>
  <c r="M19" i="19"/>
  <c r="M21" i="19"/>
  <c r="H28" i="14"/>
  <c r="I28" i="14"/>
  <c r="M28" i="14"/>
  <c r="L28" i="14"/>
  <c r="N29" i="18"/>
  <c r="N32" i="18"/>
  <c r="N31" i="18"/>
  <c r="N30" i="18"/>
  <c r="Q25" i="18"/>
  <c r="Q35" i="18"/>
  <c r="Q34" i="18" s="1"/>
  <c r="R51" i="18"/>
  <c r="G35" i="18"/>
  <c r="G34" i="18" s="1"/>
  <c r="L52" i="18"/>
  <c r="L71" i="18"/>
  <c r="N46" i="18"/>
  <c r="N45" i="18" s="1"/>
  <c r="O35" i="18"/>
  <c r="O34" i="18" s="1"/>
  <c r="L51" i="18"/>
  <c r="L46" i="18" s="1"/>
  <c r="L45" i="18" s="1"/>
  <c r="N69" i="18"/>
  <c r="P9" i="18"/>
  <c r="R69" i="18"/>
  <c r="M26" i="18"/>
  <c r="J75" i="18"/>
  <c r="L70" i="18"/>
  <c r="J10" i="18"/>
  <c r="J9" i="18" s="1"/>
  <c r="R52" i="18"/>
  <c r="S52" i="18" s="1"/>
  <c r="S46" i="18" s="1"/>
  <c r="S45" i="18" s="1"/>
  <c r="M67" i="18"/>
  <c r="H67" i="18" s="1"/>
  <c r="J53" i="18"/>
  <c r="J66" i="18"/>
  <c r="M81" i="18"/>
  <c r="Q24" i="18"/>
  <c r="P35" i="18"/>
  <c r="P34" i="18" s="1"/>
  <c r="M42" i="18"/>
  <c r="N68" i="18"/>
  <c r="L68" i="18" s="1"/>
  <c r="H46" i="18"/>
  <c r="H45" i="18" s="1"/>
  <c r="M71" i="18"/>
  <c r="M69" i="18" s="1"/>
  <c r="P9" i="19"/>
  <c r="P8" i="19" s="1"/>
  <c r="S16" i="19"/>
  <c r="Y17" i="19"/>
  <c r="Y16" i="19" s="1"/>
  <c r="J23" i="19"/>
  <c r="J22" i="19" s="1"/>
  <c r="S25" i="19"/>
  <c r="Y25" i="19" s="1"/>
  <c r="Y23" i="19" s="1"/>
  <c r="Y22" i="19" s="1"/>
  <c r="Q23" i="19"/>
  <c r="Q8" i="19" s="1"/>
  <c r="J10" i="19"/>
  <c r="S11" i="19" s="1"/>
  <c r="H70" i="18"/>
  <c r="H69" i="18" s="1"/>
  <c r="Q23" i="18"/>
  <c r="N22" i="18"/>
  <c r="M23" i="18"/>
  <c r="N15" i="18"/>
  <c r="Q27" i="18"/>
  <c r="M27" i="18"/>
  <c r="G10" i="18"/>
  <c r="G9" i="18" s="1"/>
  <c r="S67" i="18"/>
  <c r="J36" i="18"/>
  <c r="R42" i="18"/>
  <c r="M46" i="18"/>
  <c r="M45" i="18" s="1"/>
  <c r="L67" i="18"/>
  <c r="O81" i="18"/>
  <c r="Q53" i="18"/>
  <c r="T16" i="15"/>
  <c r="U16" i="15"/>
  <c r="V16" i="15"/>
  <c r="W16" i="15"/>
  <c r="X16" i="15"/>
  <c r="N21" i="15"/>
  <c r="N20" i="15"/>
  <c r="N19" i="15"/>
  <c r="N18" i="15"/>
  <c r="N17" i="15"/>
  <c r="N22" i="14"/>
  <c r="N16" i="14" s="1"/>
  <c r="Q27" i="14"/>
  <c r="M26" i="14"/>
  <c r="M25" i="14"/>
  <c r="Q24" i="14"/>
  <c r="Q23" i="14"/>
  <c r="M23" i="14"/>
  <c r="S12" i="19" l="1"/>
  <c r="Y12" i="19" s="1"/>
  <c r="R46" i="18"/>
  <c r="R45" i="18" s="1"/>
  <c r="G8" i="18"/>
  <c r="N66" i="18"/>
  <c r="N65" i="18" s="1"/>
  <c r="Q11" i="18"/>
  <c r="M19" i="15"/>
  <c r="S19" i="15"/>
  <c r="M20" i="15"/>
  <c r="S20" i="15"/>
  <c r="Y20" i="15" s="1"/>
  <c r="M18" i="15"/>
  <c r="S18" i="15"/>
  <c r="M17" i="15"/>
  <c r="S17" i="15"/>
  <c r="M21" i="15"/>
  <c r="S21" i="15"/>
  <c r="N64" i="18"/>
  <c r="M64" i="18" s="1"/>
  <c r="L64" i="18" s="1"/>
  <c r="N58" i="18"/>
  <c r="N61" i="18"/>
  <c r="N60" i="18"/>
  <c r="N54" i="18"/>
  <c r="N63" i="18"/>
  <c r="N57" i="18"/>
  <c r="N59" i="18"/>
  <c r="N56" i="18"/>
  <c r="L69" i="18"/>
  <c r="M33" i="18"/>
  <c r="H33" i="18" s="1"/>
  <c r="L33" i="18"/>
  <c r="M30" i="18"/>
  <c r="H30" i="18" s="1"/>
  <c r="L30" i="18"/>
  <c r="L31" i="18"/>
  <c r="M31" i="18"/>
  <c r="H31" i="18" s="1"/>
  <c r="L29" i="18"/>
  <c r="N28" i="18"/>
  <c r="M29" i="18"/>
  <c r="H29" i="18" s="1"/>
  <c r="M32" i="18"/>
  <c r="H32" i="18" s="1"/>
  <c r="L32" i="18"/>
  <c r="Q12" i="18"/>
  <c r="N13" i="18"/>
  <c r="N14" i="18"/>
  <c r="O14" i="18" s="1"/>
  <c r="M14" i="18" s="1"/>
  <c r="I14" i="18" s="1"/>
  <c r="I10" i="18" s="1"/>
  <c r="I9" i="18" s="1"/>
  <c r="N12" i="18"/>
  <c r="Q15" i="18"/>
  <c r="R15" i="18" s="1"/>
  <c r="S15" i="18" s="1"/>
  <c r="Q13" i="18"/>
  <c r="P8" i="18"/>
  <c r="R68" i="18"/>
  <c r="S68" i="18" s="1"/>
  <c r="M68" i="18"/>
  <c r="H68" i="18" s="1"/>
  <c r="H66" i="18" s="1"/>
  <c r="H65" i="18" s="1"/>
  <c r="Q14" i="18"/>
  <c r="N11" i="18"/>
  <c r="O11" i="18" s="1"/>
  <c r="M11" i="18" s="1"/>
  <c r="J74" i="18"/>
  <c r="L66" i="18"/>
  <c r="L65" i="18" s="1"/>
  <c r="M80" i="18"/>
  <c r="M78" i="18"/>
  <c r="R76" i="18"/>
  <c r="S76" i="18" s="1"/>
  <c r="S66" i="18"/>
  <c r="S65" i="18" s="1"/>
  <c r="N28" i="19"/>
  <c r="N24" i="19"/>
  <c r="N25" i="19"/>
  <c r="N27" i="19"/>
  <c r="N26" i="19"/>
  <c r="Y11" i="19"/>
  <c r="N14" i="19"/>
  <c r="N13" i="19"/>
  <c r="S14" i="19"/>
  <c r="Y14" i="19" s="1"/>
  <c r="N15" i="19"/>
  <c r="S13" i="19"/>
  <c r="Y13" i="19" s="1"/>
  <c r="N12" i="19"/>
  <c r="N11" i="19"/>
  <c r="J9" i="19"/>
  <c r="J8" i="19" s="1"/>
  <c r="S23" i="19"/>
  <c r="S22" i="19" s="1"/>
  <c r="S15" i="19"/>
  <c r="Y15" i="19" s="1"/>
  <c r="N41" i="18"/>
  <c r="M41" i="18" s="1"/>
  <c r="H41" i="18" s="1"/>
  <c r="N39" i="18"/>
  <c r="M39" i="18" s="1"/>
  <c r="H39" i="18" s="1"/>
  <c r="N37" i="18"/>
  <c r="R40" i="18"/>
  <c r="R38" i="18"/>
  <c r="N40" i="18"/>
  <c r="M40" i="18" s="1"/>
  <c r="H40" i="18" s="1"/>
  <c r="N38" i="18"/>
  <c r="M38" i="18" s="1"/>
  <c r="H38" i="18" s="1"/>
  <c r="T13" i="18"/>
  <c r="M76" i="18"/>
  <c r="R37" i="18"/>
  <c r="T12" i="18"/>
  <c r="O12" i="18"/>
  <c r="M12" i="18" s="1"/>
  <c r="H12" i="18" s="1"/>
  <c r="R41" i="18"/>
  <c r="S41" i="18"/>
  <c r="L79" i="18"/>
  <c r="R79" i="18"/>
  <c r="S79" i="18" s="1"/>
  <c r="M79" i="18"/>
  <c r="S39" i="18"/>
  <c r="T15" i="18"/>
  <c r="O15" i="18"/>
  <c r="M15" i="18" s="1"/>
  <c r="H15" i="18" s="1"/>
  <c r="S38" i="18"/>
  <c r="M22" i="18"/>
  <c r="M16" i="18" s="1"/>
  <c r="S40" i="18"/>
  <c r="L77" i="18"/>
  <c r="R77" i="18"/>
  <c r="S77" i="18" s="1"/>
  <c r="M77" i="18"/>
  <c r="S37" i="18"/>
  <c r="R39" i="18"/>
  <c r="N16" i="18"/>
  <c r="L22" i="18"/>
  <c r="L16" i="18" s="1"/>
  <c r="Y18" i="15"/>
  <c r="Y19" i="15"/>
  <c r="Y21" i="15"/>
  <c r="Q26" i="14"/>
  <c r="Q25" i="14"/>
  <c r="M27" i="14"/>
  <c r="M24" i="14"/>
  <c r="S16" i="15" l="1"/>
  <c r="M63" i="18"/>
  <c r="N62" i="18"/>
  <c r="L62" i="18" s="1"/>
  <c r="M60" i="18"/>
  <c r="L60" i="18"/>
  <c r="Y17" i="15"/>
  <c r="R66" i="18"/>
  <c r="R65" i="18" s="1"/>
  <c r="R13" i="18"/>
  <c r="S13" i="18" s="1"/>
  <c r="H28" i="18"/>
  <c r="L28" i="18"/>
  <c r="I28" i="18"/>
  <c r="I8" i="18" s="1"/>
  <c r="M28" i="18"/>
  <c r="R11" i="18"/>
  <c r="S11" i="18" s="1"/>
  <c r="T14" i="18"/>
  <c r="T11" i="18"/>
  <c r="L11" i="18" s="1"/>
  <c r="L10" i="18" s="1"/>
  <c r="L9" i="18" s="1"/>
  <c r="R14" i="18"/>
  <c r="S14" i="18" s="1"/>
  <c r="O13" i="18"/>
  <c r="M13" i="18" s="1"/>
  <c r="H13" i="18" s="1"/>
  <c r="Q10" i="18"/>
  <c r="Q9" i="18" s="1"/>
  <c r="Q8" i="18" s="1"/>
  <c r="N10" i="18"/>
  <c r="K10" i="18" s="1"/>
  <c r="K9" i="18" s="1"/>
  <c r="R12" i="18"/>
  <c r="S12" i="18" s="1"/>
  <c r="R78" i="18"/>
  <c r="S78" i="18" s="1"/>
  <c r="L78" i="18"/>
  <c r="N75" i="18"/>
  <c r="N74" i="18" s="1"/>
  <c r="L76" i="18"/>
  <c r="M66" i="18"/>
  <c r="M65" i="18" s="1"/>
  <c r="L61" i="18"/>
  <c r="R61" i="18"/>
  <c r="S61" i="18" s="1"/>
  <c r="M61" i="18"/>
  <c r="L57" i="18"/>
  <c r="R57" i="18"/>
  <c r="S57" i="18" s="1"/>
  <c r="M57" i="18"/>
  <c r="N55" i="18"/>
  <c r="N53" i="18" s="1"/>
  <c r="K53" i="18" s="1"/>
  <c r="L56" i="18"/>
  <c r="R56" i="18"/>
  <c r="M56" i="18"/>
  <c r="M58" i="18"/>
  <c r="L58" i="18"/>
  <c r="R58" i="18"/>
  <c r="S58" i="18" s="1"/>
  <c r="T54" i="18"/>
  <c r="T53" i="18" s="1"/>
  <c r="M54" i="18"/>
  <c r="L59" i="18"/>
  <c r="R59" i="18"/>
  <c r="S59" i="18" s="1"/>
  <c r="M59" i="18"/>
  <c r="R80" i="18"/>
  <c r="S80" i="18" s="1"/>
  <c r="L80" i="18"/>
  <c r="M24" i="19"/>
  <c r="M23" i="19" s="1"/>
  <c r="M22" i="19" s="1"/>
  <c r="H22" i="19" s="1"/>
  <c r="N23" i="19"/>
  <c r="N22" i="19" s="1"/>
  <c r="K22" i="19" s="1"/>
  <c r="T24" i="19"/>
  <c r="L24" i="19"/>
  <c r="L23" i="19" s="1"/>
  <c r="L22" i="19" s="1"/>
  <c r="O14" i="19"/>
  <c r="M14" i="19" s="1"/>
  <c r="I14" i="19" s="1"/>
  <c r="I10" i="19" s="1"/>
  <c r="I9" i="19" s="1"/>
  <c r="I8" i="19" s="1"/>
  <c r="T14" i="19"/>
  <c r="U14" i="19" s="1"/>
  <c r="V14" i="19"/>
  <c r="T27" i="19"/>
  <c r="U27" i="19" s="1"/>
  <c r="M27" i="19"/>
  <c r="L27" i="19"/>
  <c r="V11" i="19"/>
  <c r="N10" i="19"/>
  <c r="O11" i="19"/>
  <c r="M11" i="19" s="1"/>
  <c r="T11" i="19"/>
  <c r="Y10" i="19"/>
  <c r="Y9" i="19" s="1"/>
  <c r="Y8" i="19" s="1"/>
  <c r="V12" i="19"/>
  <c r="O12" i="19"/>
  <c r="M12" i="19" s="1"/>
  <c r="H12" i="19" s="1"/>
  <c r="T12" i="19"/>
  <c r="U12" i="19" s="1"/>
  <c r="V13" i="19"/>
  <c r="O13" i="19"/>
  <c r="M13" i="19" s="1"/>
  <c r="H13" i="19" s="1"/>
  <c r="T13" i="19"/>
  <c r="U13" i="19" s="1"/>
  <c r="T26" i="19"/>
  <c r="U26" i="19" s="1"/>
  <c r="M26" i="19"/>
  <c r="L26" i="19"/>
  <c r="M28" i="19"/>
  <c r="T28" i="19"/>
  <c r="U28" i="19" s="1"/>
  <c r="L28" i="19"/>
  <c r="T15" i="19"/>
  <c r="U15" i="19" s="1"/>
  <c r="V15" i="19"/>
  <c r="O15" i="19"/>
  <c r="M15" i="19" s="1"/>
  <c r="H15" i="19" s="1"/>
  <c r="S10" i="19"/>
  <c r="S9" i="19" s="1"/>
  <c r="S8" i="19" s="1"/>
  <c r="T25" i="19"/>
  <c r="U25" i="19" s="1"/>
  <c r="M25" i="19"/>
  <c r="L25" i="19"/>
  <c r="H11" i="18"/>
  <c r="O10" i="18"/>
  <c r="O9" i="18" s="1"/>
  <c r="O8" i="18" s="1"/>
  <c r="R35" i="18"/>
  <c r="R34" i="18" s="1"/>
  <c r="S35" i="18"/>
  <c r="S34" i="18" s="1"/>
  <c r="M75" i="18"/>
  <c r="M74" i="18" s="1"/>
  <c r="N36" i="18"/>
  <c r="N35" i="18" s="1"/>
  <c r="N34" i="18" s="1"/>
  <c r="M37" i="18"/>
  <c r="Y16" i="15"/>
  <c r="M22" i="14"/>
  <c r="J25" i="15"/>
  <c r="S25" i="15" s="1"/>
  <c r="Y25" i="15"/>
  <c r="J26" i="15"/>
  <c r="S26" i="15" s="1"/>
  <c r="Y26" i="15"/>
  <c r="J27" i="15"/>
  <c r="S27" i="15" s="1"/>
  <c r="Y27" i="15" s="1"/>
  <c r="J28" i="15"/>
  <c r="S28" i="15" s="1"/>
  <c r="Y28" i="15" s="1"/>
  <c r="J24" i="15"/>
  <c r="S24" i="15" s="1"/>
  <c r="Y24" i="15"/>
  <c r="V23" i="15"/>
  <c r="V22" i="15" s="1"/>
  <c r="W23" i="15"/>
  <c r="W22" i="15" s="1"/>
  <c r="X23" i="15"/>
  <c r="X22" i="15" s="1"/>
  <c r="J12" i="15"/>
  <c r="J11" i="15"/>
  <c r="J13" i="15"/>
  <c r="J14" i="15"/>
  <c r="J15" i="15"/>
  <c r="W10" i="15"/>
  <c r="W9" i="15" s="1"/>
  <c r="X10" i="15"/>
  <c r="X9" i="15" s="1"/>
  <c r="X8" i="15" s="1"/>
  <c r="G14" i="14"/>
  <c r="J11" i="14"/>
  <c r="J12" i="14"/>
  <c r="J13" i="14"/>
  <c r="J14" i="14"/>
  <c r="J15" i="14"/>
  <c r="M17" i="14"/>
  <c r="M18" i="14"/>
  <c r="M19" i="14"/>
  <c r="M20" i="14"/>
  <c r="M21" i="14"/>
  <c r="J37" i="14"/>
  <c r="J38" i="14"/>
  <c r="J39" i="14"/>
  <c r="J40" i="14"/>
  <c r="J41" i="14"/>
  <c r="M43" i="14"/>
  <c r="M44" i="14"/>
  <c r="N51" i="14"/>
  <c r="M51" i="14" s="1"/>
  <c r="H51" i="14" s="1"/>
  <c r="N52" i="14"/>
  <c r="R52" i="14" s="1"/>
  <c r="S52" i="14" s="1"/>
  <c r="S46" i="14" s="1"/>
  <c r="S45" i="14" s="1"/>
  <c r="J54" i="14"/>
  <c r="J56" i="14"/>
  <c r="Q56" i="14" s="1"/>
  <c r="J57" i="14"/>
  <c r="J58" i="14"/>
  <c r="Q58" i="14" s="1"/>
  <c r="J59" i="14"/>
  <c r="Q59" i="14" s="1"/>
  <c r="J61" i="14"/>
  <c r="Q61" i="14" s="1"/>
  <c r="J67" i="14"/>
  <c r="N67" i="14" s="1"/>
  <c r="M67" i="14" s="1"/>
  <c r="H67" i="14" s="1"/>
  <c r="J68" i="14"/>
  <c r="N68" i="14" s="1"/>
  <c r="R68" i="14" s="1"/>
  <c r="S68" i="14" s="1"/>
  <c r="M70" i="14"/>
  <c r="H70" i="14" s="1"/>
  <c r="H69" i="14" s="1"/>
  <c r="M72" i="14"/>
  <c r="M73" i="14"/>
  <c r="J76" i="14"/>
  <c r="J77" i="14"/>
  <c r="J78" i="14"/>
  <c r="J79" i="14"/>
  <c r="J80" i="14"/>
  <c r="M82" i="14"/>
  <c r="M83" i="14"/>
  <c r="M84" i="14"/>
  <c r="M85" i="14"/>
  <c r="M86" i="14"/>
  <c r="G11" i="14"/>
  <c r="G12" i="14"/>
  <c r="G13" i="14"/>
  <c r="G15" i="14"/>
  <c r="G36" i="14"/>
  <c r="G42" i="14"/>
  <c r="G46" i="14"/>
  <c r="G45" i="14" s="1"/>
  <c r="G69" i="14"/>
  <c r="G66" i="14" s="1"/>
  <c r="G65" i="14" s="1"/>
  <c r="G75" i="14"/>
  <c r="G74" i="14"/>
  <c r="I16" i="14"/>
  <c r="I46" i="14"/>
  <c r="I45" i="14" s="1"/>
  <c r="I66" i="14"/>
  <c r="I65" i="14" s="1"/>
  <c r="I42" i="14"/>
  <c r="I36" i="14"/>
  <c r="H42" i="14"/>
  <c r="R23" i="15"/>
  <c r="Q11" i="15"/>
  <c r="Q12" i="15"/>
  <c r="Q13" i="15"/>
  <c r="Q14" i="15"/>
  <c r="Q15" i="15"/>
  <c r="R10" i="15"/>
  <c r="R9" i="15" s="1"/>
  <c r="R8" i="15" s="1"/>
  <c r="P23" i="15"/>
  <c r="Q23" i="15" s="1"/>
  <c r="Q24" i="15"/>
  <c r="Q25" i="15"/>
  <c r="Q26" i="15"/>
  <c r="Q27" i="15"/>
  <c r="N16" i="15"/>
  <c r="S23" i="15"/>
  <c r="S22" i="15" s="1"/>
  <c r="O23" i="15"/>
  <c r="K23" i="15"/>
  <c r="O22" i="15"/>
  <c r="P16" i="15"/>
  <c r="O16" i="15"/>
  <c r="M16" i="15"/>
  <c r="L16" i="15"/>
  <c r="K16" i="15"/>
  <c r="J16" i="15"/>
  <c r="I16" i="15"/>
  <c r="H16" i="15"/>
  <c r="L15" i="15"/>
  <c r="G15" i="15"/>
  <c r="L14" i="15"/>
  <c r="G14" i="15"/>
  <c r="L13" i="15"/>
  <c r="G13" i="15"/>
  <c r="G12" i="15"/>
  <c r="G11" i="15"/>
  <c r="P10" i="15"/>
  <c r="P9" i="15"/>
  <c r="J42" i="14"/>
  <c r="K42" i="14"/>
  <c r="K34" i="14" s="1"/>
  <c r="L36" i="14"/>
  <c r="L42" i="14"/>
  <c r="N42" i="14"/>
  <c r="O36" i="14"/>
  <c r="O42" i="14"/>
  <c r="P36" i="14"/>
  <c r="P42" i="14"/>
  <c r="Q36" i="14"/>
  <c r="Q42" i="14"/>
  <c r="N71" i="14"/>
  <c r="N69" i="14" s="1"/>
  <c r="O71" i="14"/>
  <c r="O66" i="14" s="1"/>
  <c r="O65" i="14" s="1"/>
  <c r="P73" i="14"/>
  <c r="P71" i="14" s="1"/>
  <c r="P69" i="14" s="1"/>
  <c r="P66" i="14" s="1"/>
  <c r="P65" i="14" s="1"/>
  <c r="Q71" i="14"/>
  <c r="Q66" i="14" s="1"/>
  <c r="Q65" i="14" s="1"/>
  <c r="K65" i="14"/>
  <c r="L70" i="14"/>
  <c r="L72" i="14"/>
  <c r="L73" i="14"/>
  <c r="J46" i="14"/>
  <c r="J45" i="14" s="1"/>
  <c r="K46" i="14"/>
  <c r="K45" i="14" s="1"/>
  <c r="O46" i="14"/>
  <c r="O45" i="14" s="1"/>
  <c r="P46" i="14"/>
  <c r="P45" i="14" s="1"/>
  <c r="Q46" i="14"/>
  <c r="Q45" i="14" s="1"/>
  <c r="T46" i="14"/>
  <c r="T45" i="14" s="1"/>
  <c r="R43" i="14"/>
  <c r="R44" i="14"/>
  <c r="S44" i="14" s="1"/>
  <c r="S42" i="14" s="1"/>
  <c r="T42" i="14"/>
  <c r="T35" i="14" s="1"/>
  <c r="T34" i="14" s="1"/>
  <c r="J16" i="14"/>
  <c r="K16" i="14"/>
  <c r="L17" i="14"/>
  <c r="L18" i="14"/>
  <c r="L19" i="14"/>
  <c r="L20" i="14"/>
  <c r="L21" i="14"/>
  <c r="L22" i="14"/>
  <c r="L13" i="14"/>
  <c r="L14" i="14"/>
  <c r="L15" i="14"/>
  <c r="J69" i="14"/>
  <c r="K75" i="14"/>
  <c r="K74" i="14" s="1"/>
  <c r="K55" i="14"/>
  <c r="O16" i="14"/>
  <c r="P10" i="14"/>
  <c r="P22" i="14"/>
  <c r="P16" i="14" s="1"/>
  <c r="Q22" i="14"/>
  <c r="Q16" i="14" s="1"/>
  <c r="Q60" i="14"/>
  <c r="R22" i="14"/>
  <c r="R16" i="14" s="1"/>
  <c r="S22" i="14"/>
  <c r="S16" i="14" s="1"/>
  <c r="T22" i="14"/>
  <c r="T16" i="14" s="1"/>
  <c r="N81" i="14"/>
  <c r="O55" i="14"/>
  <c r="O53" i="14" s="1"/>
  <c r="O75" i="14"/>
  <c r="O74" i="14"/>
  <c r="O81" i="14"/>
  <c r="P81" i="14"/>
  <c r="P55" i="14"/>
  <c r="P53" i="14"/>
  <c r="P75" i="14"/>
  <c r="P74" i="14" s="1"/>
  <c r="Q81" i="14"/>
  <c r="Q75" i="14"/>
  <c r="Q74" i="14" s="1"/>
  <c r="R72" i="14"/>
  <c r="R81" i="14"/>
  <c r="S69" i="14"/>
  <c r="S81" i="14"/>
  <c r="T55" i="14"/>
  <c r="T71" i="14"/>
  <c r="T70" i="14" s="1"/>
  <c r="T66" i="14" s="1"/>
  <c r="T65" i="14" s="1"/>
  <c r="T75" i="14"/>
  <c r="T74" i="14" s="1"/>
  <c r="T81" i="14"/>
  <c r="G16" i="15"/>
  <c r="G16" i="14"/>
  <c r="W8" i="15" l="1"/>
  <c r="R10" i="18"/>
  <c r="R9" i="18" s="1"/>
  <c r="G10" i="15"/>
  <c r="G9" i="15" s="1"/>
  <c r="G8" i="15" s="1"/>
  <c r="Y23" i="15"/>
  <c r="Y22" i="15" s="1"/>
  <c r="S10" i="18"/>
  <c r="S9" i="18" s="1"/>
  <c r="Q10" i="15"/>
  <c r="Q9" i="15" s="1"/>
  <c r="M10" i="18"/>
  <c r="M9" i="18" s="1"/>
  <c r="Q8" i="15"/>
  <c r="S12" i="15"/>
  <c r="Y12" i="15" s="1"/>
  <c r="H10" i="18"/>
  <c r="H9" i="18" s="1"/>
  <c r="S15" i="15"/>
  <c r="Y15" i="15" s="1"/>
  <c r="P22" i="15"/>
  <c r="P8" i="15" s="1"/>
  <c r="J10" i="15"/>
  <c r="S11" i="15" s="1"/>
  <c r="J23" i="15"/>
  <c r="J22" i="15" s="1"/>
  <c r="R75" i="18"/>
  <c r="R74" i="18" s="1"/>
  <c r="L63" i="18"/>
  <c r="M62" i="18"/>
  <c r="S75" i="18"/>
  <c r="S74" i="18" s="1"/>
  <c r="T10" i="18"/>
  <c r="T9" i="18" s="1"/>
  <c r="N9" i="18"/>
  <c r="L75" i="18"/>
  <c r="L74" i="18" s="1"/>
  <c r="M55" i="18"/>
  <c r="M53" i="18" s="1"/>
  <c r="H53" i="18" s="1"/>
  <c r="T8" i="18"/>
  <c r="L55" i="18"/>
  <c r="L53" i="18" s="1"/>
  <c r="K8" i="18"/>
  <c r="R55" i="18"/>
  <c r="R53" i="18" s="1"/>
  <c r="R8" i="18" s="1"/>
  <c r="S56" i="18"/>
  <c r="S55" i="18" s="1"/>
  <c r="S53" i="18" s="1"/>
  <c r="G35" i="14"/>
  <c r="G34" i="14" s="1"/>
  <c r="L67" i="14"/>
  <c r="R67" i="14"/>
  <c r="S67" i="14" s="1"/>
  <c r="S66" i="14" s="1"/>
  <c r="S65" i="14" s="1"/>
  <c r="R51" i="14"/>
  <c r="R46" i="14" s="1"/>
  <c r="R45" i="14" s="1"/>
  <c r="L51" i="14"/>
  <c r="L71" i="14"/>
  <c r="L69" i="14" s="1"/>
  <c r="L35" i="14"/>
  <c r="L34" i="14" s="1"/>
  <c r="P35" i="14"/>
  <c r="P34" i="14" s="1"/>
  <c r="L68" i="14"/>
  <c r="O35" i="14"/>
  <c r="O34" i="14" s="1"/>
  <c r="L16" i="14"/>
  <c r="Q35" i="14"/>
  <c r="Q34" i="14" s="1"/>
  <c r="J75" i="14"/>
  <c r="J74" i="14" s="1"/>
  <c r="J55" i="14"/>
  <c r="J53" i="14" s="1"/>
  <c r="J10" i="14"/>
  <c r="Q14" i="14" s="1"/>
  <c r="R73" i="14"/>
  <c r="R69" i="14" s="1"/>
  <c r="G10" i="14"/>
  <c r="G9" i="14" s="1"/>
  <c r="G8" i="14" s="1"/>
  <c r="M71" i="14"/>
  <c r="M69" i="14" s="1"/>
  <c r="Q57" i="14"/>
  <c r="Q55" i="14" s="1"/>
  <c r="Q53" i="14" s="1"/>
  <c r="J66" i="14"/>
  <c r="I35" i="14"/>
  <c r="I34" i="14" s="1"/>
  <c r="N46" i="14"/>
  <c r="N45" i="14" s="1"/>
  <c r="M42" i="14"/>
  <c r="R42" i="14"/>
  <c r="J36" i="14"/>
  <c r="N41" i="14" s="1"/>
  <c r="M41" i="14" s="1"/>
  <c r="H41" i="14" s="1"/>
  <c r="K10" i="19"/>
  <c r="K9" i="19" s="1"/>
  <c r="K8" i="19" s="1"/>
  <c r="N9" i="19"/>
  <c r="N8" i="19" s="1"/>
  <c r="U11" i="19"/>
  <c r="U10" i="19" s="1"/>
  <c r="U9" i="19" s="1"/>
  <c r="T10" i="19"/>
  <c r="T9" i="19" s="1"/>
  <c r="O10" i="19"/>
  <c r="O9" i="19" s="1"/>
  <c r="O8" i="19" s="1"/>
  <c r="V10" i="19"/>
  <c r="V9" i="19" s="1"/>
  <c r="V8" i="19" s="1"/>
  <c r="M10" i="19"/>
  <c r="M9" i="19" s="1"/>
  <c r="M8" i="19" s="1"/>
  <c r="H11" i="19"/>
  <c r="H10" i="19" s="1"/>
  <c r="H9" i="19" s="1"/>
  <c r="H8" i="19" s="1"/>
  <c r="L11" i="19"/>
  <c r="L10" i="19" s="1"/>
  <c r="L9" i="19" s="1"/>
  <c r="L8" i="19" s="1"/>
  <c r="U24" i="19"/>
  <c r="U23" i="19" s="1"/>
  <c r="U22" i="19" s="1"/>
  <c r="T23" i="19"/>
  <c r="T22" i="19" s="1"/>
  <c r="N8" i="18"/>
  <c r="H37" i="18"/>
  <c r="H36" i="18" s="1"/>
  <c r="H35" i="18" s="1"/>
  <c r="M36" i="18"/>
  <c r="M35" i="18" s="1"/>
  <c r="M34" i="18" s="1"/>
  <c r="P9" i="14"/>
  <c r="P8" i="14" s="1"/>
  <c r="L52" i="14"/>
  <c r="N66" i="14"/>
  <c r="N65" i="14" s="1"/>
  <c r="M68" i="14"/>
  <c r="M52" i="14"/>
  <c r="H52" i="14" s="1"/>
  <c r="H46" i="14" s="1"/>
  <c r="H45" i="14" s="1"/>
  <c r="M16" i="14"/>
  <c r="M81" i="14"/>
  <c r="L46" i="14" l="1"/>
  <c r="L45" i="14" s="1"/>
  <c r="Y11" i="15"/>
  <c r="H34" i="18"/>
  <c r="H8" i="18" s="1"/>
  <c r="N60" i="14"/>
  <c r="N61" i="14"/>
  <c r="N59" i="14"/>
  <c r="M59" i="14" s="1"/>
  <c r="U8" i="19"/>
  <c r="R66" i="14"/>
  <c r="R65" i="14" s="1"/>
  <c r="N15" i="15"/>
  <c r="N11" i="15"/>
  <c r="N13" i="15"/>
  <c r="J9" i="15"/>
  <c r="J8" i="15" s="1"/>
  <c r="N12" i="15"/>
  <c r="N14" i="15"/>
  <c r="S13" i="15"/>
  <c r="Y13" i="15" s="1"/>
  <c r="S14" i="15"/>
  <c r="Y14" i="15" s="1"/>
  <c r="N27" i="15"/>
  <c r="N25" i="15"/>
  <c r="N28" i="15"/>
  <c r="N24" i="15"/>
  <c r="N26" i="15"/>
  <c r="S8" i="18"/>
  <c r="L8" i="18"/>
  <c r="M8" i="18"/>
  <c r="N64" i="14"/>
  <c r="M64" i="14" s="1"/>
  <c r="L64" i="14" s="1"/>
  <c r="N63" i="14"/>
  <c r="N57" i="14"/>
  <c r="R57" i="14" s="1"/>
  <c r="N56" i="14"/>
  <c r="M56" i="14" s="1"/>
  <c r="N54" i="14"/>
  <c r="N58" i="14"/>
  <c r="M58" i="14" s="1"/>
  <c r="L66" i="14"/>
  <c r="L65" i="14" s="1"/>
  <c r="N80" i="14"/>
  <c r="L80" i="14" s="1"/>
  <c r="Q12" i="14"/>
  <c r="R39" i="14"/>
  <c r="Q11" i="14"/>
  <c r="S37" i="14"/>
  <c r="N15" i="14"/>
  <c r="O15" i="14" s="1"/>
  <c r="M15" i="14" s="1"/>
  <c r="H15" i="14" s="1"/>
  <c r="N13" i="14"/>
  <c r="O13" i="14" s="1"/>
  <c r="M13" i="14" s="1"/>
  <c r="H13" i="14" s="1"/>
  <c r="N11" i="14"/>
  <c r="O11" i="14" s="1"/>
  <c r="N39" i="14"/>
  <c r="M39" i="14" s="1"/>
  <c r="H39" i="14" s="1"/>
  <c r="S40" i="14"/>
  <c r="R41" i="14"/>
  <c r="S38" i="14"/>
  <c r="N40" i="14"/>
  <c r="M40" i="14" s="1"/>
  <c r="H40" i="14" s="1"/>
  <c r="N79" i="14"/>
  <c r="M79" i="14" s="1"/>
  <c r="N78" i="14"/>
  <c r="R78" i="14" s="1"/>
  <c r="Q15" i="14"/>
  <c r="R15" i="14" s="1"/>
  <c r="S15" i="14" s="1"/>
  <c r="J9" i="14"/>
  <c r="N12" i="14"/>
  <c r="R40" i="14"/>
  <c r="R37" i="14"/>
  <c r="R38" i="14"/>
  <c r="N37" i="14"/>
  <c r="N77" i="14"/>
  <c r="M77" i="14" s="1"/>
  <c r="N76" i="14"/>
  <c r="L76" i="14" s="1"/>
  <c r="Q13" i="14"/>
  <c r="N14" i="14"/>
  <c r="T14" i="14" s="1"/>
  <c r="S41" i="14"/>
  <c r="S39" i="14"/>
  <c r="N38" i="14"/>
  <c r="M38" i="14" s="1"/>
  <c r="H38" i="14" s="1"/>
  <c r="M61" i="14"/>
  <c r="T8" i="19"/>
  <c r="M46" i="14"/>
  <c r="M45" i="14" s="1"/>
  <c r="M80" i="14"/>
  <c r="M66" i="14"/>
  <c r="M65" i="14" s="1"/>
  <c r="H68" i="14"/>
  <c r="H66" i="14" s="1"/>
  <c r="H65" i="14" s="1"/>
  <c r="L78" i="14"/>
  <c r="L77" i="14" l="1"/>
  <c r="R13" i="14"/>
  <c r="S13" i="14" s="1"/>
  <c r="T11" i="14"/>
  <c r="L11" i="14" s="1"/>
  <c r="L10" i="14" s="1"/>
  <c r="L9" i="14" s="1"/>
  <c r="R11" i="14"/>
  <c r="N23" i="15"/>
  <c r="N22" i="15" s="1"/>
  <c r="K22" i="15" s="1"/>
  <c r="L24" i="15"/>
  <c r="L23" i="15" s="1"/>
  <c r="L22" i="15" s="1"/>
  <c r="M24" i="15"/>
  <c r="M23" i="15" s="1"/>
  <c r="M22" i="15" s="1"/>
  <c r="H22" i="15" s="1"/>
  <c r="T24" i="15"/>
  <c r="T28" i="15"/>
  <c r="U28" i="15" s="1"/>
  <c r="M28" i="15"/>
  <c r="L28" i="15"/>
  <c r="T13" i="15"/>
  <c r="U13" i="15" s="1"/>
  <c r="O13" i="15"/>
  <c r="M13" i="15" s="1"/>
  <c r="H13" i="15" s="1"/>
  <c r="V13" i="15"/>
  <c r="T15" i="14"/>
  <c r="L25" i="15"/>
  <c r="M25" i="15"/>
  <c r="T25" i="15"/>
  <c r="U25" i="15" s="1"/>
  <c r="V14" i="15"/>
  <c r="O14" i="15"/>
  <c r="M14" i="15" s="1"/>
  <c r="I14" i="15" s="1"/>
  <c r="I10" i="15" s="1"/>
  <c r="I9" i="15" s="1"/>
  <c r="I8" i="15" s="1"/>
  <c r="T14" i="15"/>
  <c r="U14" i="15" s="1"/>
  <c r="O11" i="15"/>
  <c r="V11" i="15"/>
  <c r="L11" i="15" s="1"/>
  <c r="L10" i="15" s="1"/>
  <c r="L9" i="15" s="1"/>
  <c r="L8" i="15" s="1"/>
  <c r="T11" i="15"/>
  <c r="N10" i="15"/>
  <c r="R80" i="14"/>
  <c r="S80" i="14" s="1"/>
  <c r="L26" i="15"/>
  <c r="M26" i="15"/>
  <c r="T26" i="15"/>
  <c r="U26" i="15" s="1"/>
  <c r="M27" i="15"/>
  <c r="T27" i="15"/>
  <c r="U27" i="15" s="1"/>
  <c r="L27" i="15"/>
  <c r="T12" i="15"/>
  <c r="U12" i="15" s="1"/>
  <c r="O12" i="15"/>
  <c r="M12" i="15" s="1"/>
  <c r="H12" i="15" s="1"/>
  <c r="V12" i="15"/>
  <c r="T15" i="15"/>
  <c r="U15" i="15" s="1"/>
  <c r="O15" i="15"/>
  <c r="M15" i="15" s="1"/>
  <c r="H15" i="15" s="1"/>
  <c r="V15" i="15"/>
  <c r="Y10" i="15"/>
  <c r="Y9" i="15" s="1"/>
  <c r="Y8" i="15" s="1"/>
  <c r="S10" i="15"/>
  <c r="S9" i="15" s="1"/>
  <c r="S8" i="15" s="1"/>
  <c r="L58" i="14"/>
  <c r="M63" i="14"/>
  <c r="N62" i="14"/>
  <c r="R58" i="14"/>
  <c r="S58" i="14" s="1"/>
  <c r="N36" i="14"/>
  <c r="N35" i="14" s="1"/>
  <c r="N34" i="14" s="1"/>
  <c r="R12" i="14"/>
  <c r="S12" i="14" s="1"/>
  <c r="L60" i="14"/>
  <c r="M60" i="14"/>
  <c r="R59" i="14"/>
  <c r="S59" i="14" s="1"/>
  <c r="O14" i="14"/>
  <c r="M14" i="14" s="1"/>
  <c r="I14" i="14" s="1"/>
  <c r="I10" i="14" s="1"/>
  <c r="I9" i="14" s="1"/>
  <c r="I8" i="14" s="1"/>
  <c r="M54" i="14"/>
  <c r="N10" i="14"/>
  <c r="K10" i="14" s="1"/>
  <c r="K9" i="14" s="1"/>
  <c r="M76" i="14"/>
  <c r="L59" i="14"/>
  <c r="T54" i="14"/>
  <c r="T53" i="14" s="1"/>
  <c r="L79" i="14"/>
  <c r="T12" i="14"/>
  <c r="L57" i="14"/>
  <c r="R79" i="14"/>
  <c r="S79" i="14" s="1"/>
  <c r="O12" i="14"/>
  <c r="M12" i="14" s="1"/>
  <c r="H12" i="14" s="1"/>
  <c r="L56" i="14"/>
  <c r="M57" i="14"/>
  <c r="M37" i="14"/>
  <c r="H37" i="14" s="1"/>
  <c r="H36" i="14" s="1"/>
  <c r="H35" i="14" s="1"/>
  <c r="H34" i="14" s="1"/>
  <c r="T13" i="14"/>
  <c r="N55" i="14"/>
  <c r="R14" i="14"/>
  <c r="S14" i="14" s="1"/>
  <c r="R35" i="14"/>
  <c r="R34" i="14" s="1"/>
  <c r="Q10" i="14"/>
  <c r="Q9" i="14" s="1"/>
  <c r="Q8" i="14" s="1"/>
  <c r="S35" i="14"/>
  <c r="S34" i="14" s="1"/>
  <c r="S78" i="14"/>
  <c r="R76" i="14"/>
  <c r="S76" i="14" s="1"/>
  <c r="M78" i="14"/>
  <c r="M75" i="14" s="1"/>
  <c r="M74" i="14" s="1"/>
  <c r="N75" i="14"/>
  <c r="N74" i="14" s="1"/>
  <c r="R77" i="14"/>
  <c r="S77" i="14" s="1"/>
  <c r="S75" i="14" s="1"/>
  <c r="S74" i="14" s="1"/>
  <c r="R61" i="14"/>
  <c r="S61" i="14" s="1"/>
  <c r="R56" i="14"/>
  <c r="S56" i="14" s="1"/>
  <c r="L61" i="14"/>
  <c r="S11" i="14"/>
  <c r="N9" i="14"/>
  <c r="L75" i="14"/>
  <c r="L74" i="14" s="1"/>
  <c r="S57" i="14"/>
  <c r="M11" i="14"/>
  <c r="T23" i="15" l="1"/>
  <c r="T22" i="15" s="1"/>
  <c r="U24" i="15"/>
  <c r="U23" i="15" s="1"/>
  <c r="U22" i="15" s="1"/>
  <c r="N9" i="15"/>
  <c r="N8" i="15" s="1"/>
  <c r="K10" i="15"/>
  <c r="K9" i="15" s="1"/>
  <c r="K8" i="15" s="1"/>
  <c r="O10" i="15"/>
  <c r="O9" i="15" s="1"/>
  <c r="O8" i="15" s="1"/>
  <c r="U11" i="15"/>
  <c r="U10" i="15" s="1"/>
  <c r="U9" i="15" s="1"/>
  <c r="U8" i="15" s="1"/>
  <c r="T10" i="15"/>
  <c r="T9" i="15" s="1"/>
  <c r="V10" i="15"/>
  <c r="V9" i="15" s="1"/>
  <c r="V8" i="15" s="1"/>
  <c r="M11" i="15"/>
  <c r="N53" i="14"/>
  <c r="K53" i="14" s="1"/>
  <c r="M62" i="14"/>
  <c r="L63" i="14"/>
  <c r="L62" i="14" s="1"/>
  <c r="M55" i="14"/>
  <c r="R10" i="14"/>
  <c r="R9" i="14" s="1"/>
  <c r="O10" i="14"/>
  <c r="O9" i="14" s="1"/>
  <c r="O8" i="14" s="1"/>
  <c r="M36" i="14"/>
  <c r="M35" i="14" s="1"/>
  <c r="M34" i="14" s="1"/>
  <c r="T10" i="14"/>
  <c r="T9" i="14" s="1"/>
  <c r="T8" i="14" s="1"/>
  <c r="R55" i="14"/>
  <c r="R53" i="14" s="1"/>
  <c r="S55" i="14"/>
  <c r="S53" i="14" s="1"/>
  <c r="K8" i="14"/>
  <c r="S10" i="14"/>
  <c r="S9" i="14" s="1"/>
  <c r="R75" i="14"/>
  <c r="R74" i="14" s="1"/>
  <c r="L55" i="14"/>
  <c r="N8" i="14"/>
  <c r="H11" i="14"/>
  <c r="H10" i="14" s="1"/>
  <c r="H9" i="14" s="1"/>
  <c r="M10" i="14"/>
  <c r="M9" i="14" s="1"/>
  <c r="T8" i="15" l="1"/>
  <c r="L53" i="14"/>
  <c r="L8" i="14" s="1"/>
  <c r="M53" i="14"/>
  <c r="H53" i="14" s="1"/>
  <c r="H11" i="15"/>
  <c r="H10" i="15" s="1"/>
  <c r="H9" i="15" s="1"/>
  <c r="H8" i="15" s="1"/>
  <c r="M10" i="15"/>
  <c r="M9" i="15" s="1"/>
  <c r="M8" i="15" s="1"/>
  <c r="S8" i="14"/>
  <c r="R8" i="14"/>
  <c r="H8" i="14"/>
  <c r="M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E10" authorId="0" shapeId="0" xr:uid="{00000000-0006-0000-0000-000001000000}">
      <text>
        <r>
          <rPr>
            <b/>
            <sz val="9"/>
            <color indexed="81"/>
            <rFont val="Tahoma"/>
            <family val="2"/>
          </rPr>
          <t>Admin:</t>
        </r>
        <r>
          <rPr>
            <sz val="9"/>
            <color indexed="81"/>
            <rFont val="Tahoma"/>
            <family val="2"/>
          </rPr>
          <t xml:space="preserve">
Số liệu anh Ninh chuyển sang cập nhật ngày 16/6/2023</t>
        </r>
      </text>
    </comment>
    <comment ref="B11" authorId="0" shapeId="0" xr:uid="{00000000-0006-0000-0000-00000200000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shapeId="0" xr:uid="{00000000-0006-0000-0000-00000300000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1" authorId="0" shapeId="0" xr:uid="{00000000-0006-0000-0000-00000400000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2" authorId="0" shapeId="0" xr:uid="{00000000-0006-0000-0000-00000500000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2" authorId="0" shapeId="0" xr:uid="{00000000-0006-0000-0000-00000600000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3" authorId="0" shapeId="0" xr:uid="{00000000-0006-0000-0000-00000700000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3" authorId="0" shapeId="0" xr:uid="{00000000-0006-0000-0000-00000800000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4" authorId="0" shapeId="0" xr:uid="{00000000-0006-0000-0000-00000900000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4" authorId="0" shapeId="0" xr:uid="{00000000-0006-0000-0000-00000A000000}">
      <text>
        <r>
          <rPr>
            <b/>
            <sz val="9"/>
            <color indexed="81"/>
            <rFont val="Tahoma"/>
            <family val="2"/>
          </rPr>
          <t>Admin:</t>
        </r>
        <r>
          <rPr>
            <sz val="9"/>
            <color indexed="81"/>
            <rFont val="Tahoma"/>
            <family val="2"/>
          </rPr>
          <t xml:space="preserve">
Đang tạm lấy số liệu cũ
</t>
        </r>
      </text>
    </comment>
    <comment ref="B15" authorId="0" shapeId="0" xr:uid="{00000000-0006-0000-0000-00000B00000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5" authorId="0" shapeId="0" xr:uid="{00000000-0006-0000-0000-00000C00000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shapeId="0" xr:uid="{00000000-0006-0000-0000-00000D000000}">
      <text>
        <r>
          <rPr>
            <b/>
            <sz val="9"/>
            <color indexed="81"/>
            <rFont val="Tahoma"/>
            <family val="2"/>
          </rPr>
          <t>Admin:</t>
        </r>
        <r>
          <rPr>
            <sz val="9"/>
            <color indexed="81"/>
            <rFont val="Tahoma"/>
            <family val="2"/>
          </rPr>
          <t xml:space="preserve">
Theo BCNCKT: 
- Cả giai đoạn QB có 680 hộ thụ hưởng nước sinh hoạt tập trung (17 công trình)
- Có 4.496 hộ thụ hưởng chính sách nước sinh hoạt phân tán</t>
        </r>
      </text>
    </comment>
    <comment ref="B29" authorId="0" shapeId="0" xr:uid="{00000000-0006-0000-0000-00000E000000}">
      <text>
        <r>
          <rPr>
            <b/>
            <sz val="9"/>
            <color indexed="81"/>
            <rFont val="Tahoma"/>
            <family val="2"/>
          </rPr>
          <t>Admin:</t>
        </r>
        <r>
          <rPr>
            <sz val="9"/>
            <color indexed="81"/>
            <rFont val="Tahoma"/>
            <family val="2"/>
          </rPr>
          <t xml:space="preserve">
1. Đề án bố trí Dân cư xã Kim Thủy 60 hộ; Tổng vốn 13.500 triệu đồng. Xã biên giới
2. Đề án bố trí dân cư xã Ngân Thủy 71 hộ; Tổng vốn 6.000 triệu đồng; 
3. Đề án bố trí dân cư xã Lâm Thủy 66 hộ; Tổng vốn 12.900 triệu đồng. Xã Biên giới</t>
        </r>
      </text>
    </comment>
    <comment ref="B31" authorId="0" shapeId="0" xr:uid="{00000000-0006-0000-0000-00000F000000}">
      <text>
        <r>
          <rPr>
            <b/>
            <sz val="9"/>
            <color indexed="81"/>
            <rFont val="Tahoma"/>
            <family val="2"/>
          </rPr>
          <t>Admin:</t>
        </r>
        <r>
          <rPr>
            <sz val="9"/>
            <color indexed="81"/>
            <rFont val="Tahoma"/>
            <family val="2"/>
          </rPr>
          <t xml:space="preserve">
Tổng số hộ bố trí sắp xếp, ổn định dân cư 170 hộ (1.050 nhân khẩu), trong đó: Bố trí định canh định cư tập trung 17 hộ; bố trí xen ghép 88 hộ; bố trí ổn định tại chổ 65 hộ.
Tổng vốn đề nghị là: 45.000 triệu đồng.
</t>
        </r>
        <r>
          <rPr>
            <b/>
            <sz val="9"/>
            <color indexed="81"/>
            <rFont val="Tahoma"/>
            <family val="2"/>
          </rPr>
          <t>(Theo Quyết định số 2117/QĐ-UBND ngày02/6/2023 của UBND huyện Bố Trạch về việc phê duyệt Đề án Quy hoạch, sắp xếp, bố trí, ổn định dân cư xã Thượng Trạch, huyện Bố Trạch giai đoạn 2021-2025)</t>
        </r>
      </text>
    </comment>
    <comment ref="B32" authorId="0" shapeId="0" xr:uid="{00000000-0006-0000-0000-000010000000}">
      <text>
        <r>
          <rPr>
            <b/>
            <sz val="9"/>
            <color indexed="81"/>
            <rFont val="Tahoma"/>
            <family val="2"/>
          </rPr>
          <t>Admin:</t>
        </r>
        <r>
          <rPr>
            <sz val="9"/>
            <color indexed="81"/>
            <rFont val="Tahoma"/>
            <family val="2"/>
          </rPr>
          <t xml:space="preserve">
Huyện Minh Hóa 4 xã biên giới. 
Hiện nay chưa phê duyệt Dự án để thực hiện. Số liệu phan bổ lấy theo số liệu tại Nghị quyết 100/NQ-HĐND  ngày 10/12/2022 của HĐND tỉnh</t>
        </r>
      </text>
    </comment>
    <comment ref="B54" authorId="0" shapeId="0" xr:uid="{00000000-0006-0000-0000-000011000000}">
      <text>
        <r>
          <rPr>
            <b/>
            <sz val="9"/>
            <color indexed="81"/>
            <rFont val="Tahoma"/>
            <family val="2"/>
          </rPr>
          <t>Admin:</t>
        </r>
        <r>
          <rPr>
            <sz val="9"/>
            <color indexed="81"/>
            <rFont val="Tahoma"/>
            <family val="2"/>
          </rPr>
          <t xml:space="preserve">
Vốn phân bổ năm 2022 vượt định mức 216 triệu đồng. Năm 2023 không phân bổ vốn cho 2 nội dung này. Số điểm phân bổ năm 2023 là 294-14 = 208 điểm</t>
        </r>
      </text>
    </comment>
    <comment ref="B55" authorId="0" shapeId="0" xr:uid="{00000000-0006-0000-0000-00001200000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56" authorId="0" shapeId="0" xr:uid="{00000000-0006-0000-0000-000013000000}">
      <text>
        <r>
          <rPr>
            <b/>
            <sz val="9"/>
            <color indexed="81"/>
            <rFont val="Tahoma"/>
            <family val="2"/>
          </rPr>
          <t>Admin:</t>
        </r>
        <r>
          <rPr>
            <sz val="9"/>
            <color indexed="81"/>
            <rFont val="Tahoma"/>
            <family val="2"/>
          </rPr>
          <t xml:space="preserve">
Toàn huyện có 22 thôn bản DDawBKK theo QĐ 612 của UBDT</t>
        </r>
      </text>
    </comment>
    <comment ref="B57" authorId="0" shapeId="0" xr:uid="{00000000-0006-0000-0000-000014000000}">
      <text>
        <r>
          <rPr>
            <b/>
            <sz val="9"/>
            <color indexed="81"/>
            <rFont val="Tahoma"/>
            <family val="2"/>
          </rPr>
          <t>Admin:</t>
        </r>
        <r>
          <rPr>
            <sz val="9"/>
            <color indexed="81"/>
            <rFont val="Tahoma"/>
            <family val="2"/>
          </rPr>
          <t xml:space="preserve">
Quảng Ninh có 19 thôn thuộc diện ĐBKK </t>
        </r>
      </text>
    </comment>
    <comment ref="B58" authorId="0" shapeId="0" xr:uid="{00000000-0006-0000-0000-000015000000}">
      <text>
        <r>
          <rPr>
            <b/>
            <sz val="9"/>
            <color indexed="81"/>
            <rFont val="Tahoma"/>
            <family val="2"/>
          </rPr>
          <t>Admin:</t>
        </r>
        <r>
          <rPr>
            <sz val="9"/>
            <color indexed="81"/>
            <rFont val="Tahoma"/>
            <family val="2"/>
          </rPr>
          <t xml:space="preserve">
Huyện Bố trạch có 22 Thôn ĐBKK trong đó có 1 thôn thuộc Dân tộc Chứt</t>
        </r>
      </text>
    </comment>
    <comment ref="B59" authorId="0" shapeId="0" xr:uid="{00000000-0006-0000-0000-00001600000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 ref="B60" authorId="0" shapeId="0" xr:uid="{00000000-0006-0000-0000-000017000000}">
      <text>
        <r>
          <rPr>
            <b/>
            <sz val="9"/>
            <color indexed="81"/>
            <rFont val="Tahoma"/>
            <family val="2"/>
          </rPr>
          <t>Admin:</t>
        </r>
        <r>
          <rPr>
            <sz val="9"/>
            <color indexed="81"/>
            <rFont val="Tahoma"/>
            <family val="2"/>
          </rPr>
          <t xml:space="preserve">
Tuyên Hóa có 4 thôn bản ĐBKK </t>
        </r>
      </text>
    </comment>
    <comment ref="B69" authorId="0" shapeId="0" xr:uid="{00000000-0006-0000-0000-000018000000}">
      <text>
        <r>
          <rPr>
            <b/>
            <sz val="9"/>
            <color indexed="81"/>
            <rFont val="Tahoma"/>
            <family val="2"/>
          </rPr>
          <t>Admin:</t>
        </r>
        <r>
          <rPr>
            <sz val="9"/>
            <color indexed="81"/>
            <rFont val="Tahoma"/>
            <family val="2"/>
          </rPr>
          <t xml:space="preserve">
 * Huyện Minh Hóa 17 thôn bản thuộc 5 xã (Dân Hóa 5 bản; Trọng Hóa 2 bản; Hóa Sơn 5 bản (3 bản đặc biệt khó khăn, 2 bản có đông người chứt sinh sống trên 15% dân số của bản- Cần có Quyết đinh phê duyệt của UBND tỉnh - theo dự thảo của TT 02 sửa đổi); thượng Hóa 4 bản; Hóa Tiến 1 thôn (Yên Vân - thôn ĐBKK)
Tổng vốn của huyện Minh Hóa cả giai đoạn là 168.598 triệu đồng.
+ Đầu tư 3 công trình cấp bách: 57.000 triệu đồng gồm: (1)Dự án Dân Hóa: 15.000 triệu đồng; (2) Dự án điện Trọng Hóa 30.000 triệu đồng; (3) Dự kiến phân bổ dự án Kè chống sạt lỡ thôn Thuận Hóa 12.000 triệu đồng. 
+ Phân bổ cho 17 thôn bản thuộc 5 xã có đồng bào chứt sinh sống: 111.598 triệu đồng. 
với định mức 80,6 triệu đồng/1 điểm (toàn huyện có 1.394 điểm, trong đó: Dân Hóa 410 điểm; Trọng Hóa 164 điểm; Hóa Sơn 410 điểm; Thượng Hóa 328 điểm; Thôn Yên vân xã Hóa Tiến 82 điểm.
</t>
        </r>
      </text>
    </comment>
    <comment ref="B75" authorId="0" shapeId="0" xr:uid="{00000000-0006-0000-0000-000019000000}">
      <text>
        <r>
          <rPr>
            <b/>
            <sz val="9"/>
            <color indexed="81"/>
            <rFont val="Tahoma"/>
            <family val="2"/>
          </rPr>
          <t>Admin:</t>
        </r>
        <r>
          <rPr>
            <sz val="9"/>
            <color indexed="81"/>
            <rFont val="Tahoma"/>
            <family val="2"/>
          </rPr>
          <t xml:space="preserve">
TDA2 - DA10 có cổng vốn là 6.872 triệu đồng. Được giao tại Quyết định số 652/QĐ-TTg ngày 28/5/2022 của Thủ tướng Chính phủ về giao kế hoạch vốn đầu tư phát triển nguồn NSTW giai đoạn 2021-2025 cho các địa phương thực hiện 3 Chương trình mục tiêu quốc gia là 5.180 triệu đồng.
Và bổ sung 1.692 triệu đồng  Quyết định số 147/QĐ-TTg ngày 23/02/2023 của Thủ tướng Chính phủ về viêc giao bổ sung kế hoạch vốn ĐTPT nguồn NSTW giai đoạn 2021-2025 thực hiện 03 Chương trình MTQG và điều chỉnh một số nhiệm vụ tại Quyết định số 652/QĐ-TTg ngày 28/5/2022 của TTg 
Như vậy tổng vốn giai đoan jcuar TDA2 - DA 10 là 6.872 triệu đồng.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E10" authorId="0" shapeId="0" xr:uid="{00000000-0006-0000-0100-000001000000}">
      <text>
        <r>
          <rPr>
            <b/>
            <sz val="9"/>
            <color indexed="81"/>
            <rFont val="Tahoma"/>
            <family val="2"/>
          </rPr>
          <t>Admin:</t>
        </r>
        <r>
          <rPr>
            <sz val="9"/>
            <color indexed="81"/>
            <rFont val="Tahoma"/>
            <family val="2"/>
          </rPr>
          <t xml:space="preserve">
Số liệu anh Ninh chuyển sang cập nhật ngày 16/6/2023</t>
        </r>
      </text>
    </comment>
    <comment ref="B11" authorId="0" shapeId="0" xr:uid="{00000000-0006-0000-0100-00000200000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shapeId="0" xr:uid="{00000000-0006-0000-0100-00000300000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1" authorId="0" shapeId="0" xr:uid="{00000000-0006-0000-0100-00000400000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2" authorId="0" shapeId="0" xr:uid="{00000000-0006-0000-0100-00000500000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2" authorId="0" shapeId="0" xr:uid="{00000000-0006-0000-0100-00000600000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3" authorId="0" shapeId="0" xr:uid="{00000000-0006-0000-0100-00000700000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3" authorId="0" shapeId="0" xr:uid="{00000000-0006-0000-0100-00000800000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4" authorId="0" shapeId="0" xr:uid="{00000000-0006-0000-0100-00000900000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4" authorId="0" shapeId="0" xr:uid="{00000000-0006-0000-0100-00000A000000}">
      <text>
        <r>
          <rPr>
            <b/>
            <sz val="9"/>
            <color indexed="81"/>
            <rFont val="Tahoma"/>
            <family val="2"/>
          </rPr>
          <t>Admin:</t>
        </r>
        <r>
          <rPr>
            <sz val="9"/>
            <color indexed="81"/>
            <rFont val="Tahoma"/>
            <family val="2"/>
          </rPr>
          <t xml:space="preserve">
Đang tạm lấy số liệu cũ
</t>
        </r>
      </text>
    </comment>
    <comment ref="B15" authorId="0" shapeId="0" xr:uid="{00000000-0006-0000-0100-00000B00000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5" authorId="0" shapeId="0" xr:uid="{00000000-0006-0000-0100-00000C00000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shapeId="0" xr:uid="{00000000-0006-0000-0100-00000D000000}">
      <text>
        <r>
          <rPr>
            <b/>
            <sz val="9"/>
            <color indexed="81"/>
            <rFont val="Tahoma"/>
            <family val="2"/>
          </rPr>
          <t>Admin:</t>
        </r>
        <r>
          <rPr>
            <sz val="9"/>
            <color indexed="81"/>
            <rFont val="Tahoma"/>
            <family val="2"/>
          </rPr>
          <t xml:space="preserve">
Theo BCNCKT: 
- Cả giai đoạn QB có 680 hộ thụ hưởng nước sinh hoạt tập trung (17 công trình)
- Có 4.496 hộ thụ hưởng chính sách nước sinh hoạt phân tán</t>
        </r>
      </text>
    </comment>
    <comment ref="B23" authorId="0" shapeId="0" xr:uid="{00000000-0006-0000-0100-00000E00000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24" authorId="0" shapeId="0" xr:uid="{00000000-0006-0000-0100-00000F000000}">
      <text>
        <r>
          <rPr>
            <b/>
            <sz val="9"/>
            <color indexed="81"/>
            <rFont val="Tahoma"/>
            <family val="2"/>
          </rPr>
          <t>Admin:</t>
        </r>
        <r>
          <rPr>
            <sz val="9"/>
            <color indexed="81"/>
            <rFont val="Tahoma"/>
            <family val="2"/>
          </rPr>
          <t xml:space="preserve">
Toàn huyện có 22 thôn bản DDawBKK theo QĐ 612 của UBDT</t>
        </r>
      </text>
    </comment>
    <comment ref="B25" authorId="0" shapeId="0" xr:uid="{00000000-0006-0000-0100-000010000000}">
      <text>
        <r>
          <rPr>
            <b/>
            <sz val="9"/>
            <color indexed="81"/>
            <rFont val="Tahoma"/>
            <family val="2"/>
          </rPr>
          <t>Admin:</t>
        </r>
        <r>
          <rPr>
            <sz val="9"/>
            <color indexed="81"/>
            <rFont val="Tahoma"/>
            <family val="2"/>
          </rPr>
          <t xml:space="preserve">
Quảng Ninh có 19 thôn thuộc diện ĐBKK </t>
        </r>
      </text>
    </comment>
    <comment ref="B26" authorId="0" shapeId="0" xr:uid="{00000000-0006-0000-0100-000011000000}">
      <text>
        <r>
          <rPr>
            <b/>
            <sz val="9"/>
            <color indexed="81"/>
            <rFont val="Tahoma"/>
            <family val="2"/>
          </rPr>
          <t>Admin:</t>
        </r>
        <r>
          <rPr>
            <sz val="9"/>
            <color indexed="81"/>
            <rFont val="Tahoma"/>
            <family val="2"/>
          </rPr>
          <t xml:space="preserve">
Huyện Bố trạch có 22 Thôn ĐBKK trong đó có 1 thôn thuộc Dân tộc Chứt</t>
        </r>
      </text>
    </comment>
    <comment ref="B27" authorId="0" shapeId="0" xr:uid="{00000000-0006-0000-0100-00001200000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E10" authorId="0" shapeId="0" xr:uid="{00000000-0006-0000-0200-000001000000}">
      <text>
        <r>
          <rPr>
            <b/>
            <sz val="9"/>
            <color indexed="81"/>
            <rFont val="Tahoma"/>
            <family val="2"/>
          </rPr>
          <t>Admin:</t>
        </r>
        <r>
          <rPr>
            <sz val="9"/>
            <color indexed="81"/>
            <rFont val="Tahoma"/>
            <family val="2"/>
          </rPr>
          <t xml:space="preserve">
Số liệu anh Ninh chuyển sang cập nhật ngày 16/6/2023</t>
        </r>
      </text>
    </comment>
    <comment ref="B11" authorId="0" shapeId="0" xr:uid="{00000000-0006-0000-0200-00000200000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shapeId="0" xr:uid="{00000000-0006-0000-0200-00000300000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1" authorId="0" shapeId="0" xr:uid="{00000000-0006-0000-0200-00000400000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2" authorId="0" shapeId="0" xr:uid="{00000000-0006-0000-0200-00000500000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2" authorId="0" shapeId="0" xr:uid="{00000000-0006-0000-0200-00000600000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3" authorId="0" shapeId="0" xr:uid="{00000000-0006-0000-0200-00000700000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3" authorId="0" shapeId="0" xr:uid="{00000000-0006-0000-0200-00000800000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4" authorId="0" shapeId="0" xr:uid="{00000000-0006-0000-0200-00000900000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4" authorId="0" shapeId="0" xr:uid="{00000000-0006-0000-0200-00000A000000}">
      <text>
        <r>
          <rPr>
            <b/>
            <sz val="9"/>
            <color indexed="81"/>
            <rFont val="Tahoma"/>
            <family val="2"/>
          </rPr>
          <t>Admin:</t>
        </r>
        <r>
          <rPr>
            <sz val="9"/>
            <color indexed="81"/>
            <rFont val="Tahoma"/>
            <family val="2"/>
          </rPr>
          <t xml:space="preserve">
Đang tạm lấy số liệu cũ
</t>
        </r>
      </text>
    </comment>
    <comment ref="B15" authorId="0" shapeId="0" xr:uid="{00000000-0006-0000-0200-00000B00000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5" authorId="0" shapeId="0" xr:uid="{00000000-0006-0000-0200-00000C00000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shapeId="0" xr:uid="{00000000-0006-0000-0200-00000D000000}">
      <text>
        <r>
          <rPr>
            <b/>
            <sz val="9"/>
            <color indexed="81"/>
            <rFont val="Tahoma"/>
            <family val="2"/>
          </rPr>
          <t>Admin:</t>
        </r>
        <r>
          <rPr>
            <sz val="9"/>
            <color indexed="81"/>
            <rFont val="Tahoma"/>
            <family val="2"/>
          </rPr>
          <t xml:space="preserve">
Theo BCNCKT: 
- Cả giai đoạn QB có 680 hộ thụ hưởng nước sinh hoạt tập trung (17 công trình)
- Có 4.496 hộ thụ hưởng chính sách nước sinh hoạt phân tán</t>
        </r>
      </text>
    </comment>
    <comment ref="B29" authorId="0" shapeId="0" xr:uid="{00000000-0006-0000-0200-00000E000000}">
      <text>
        <r>
          <rPr>
            <b/>
            <sz val="9"/>
            <color indexed="81"/>
            <rFont val="Tahoma"/>
            <family val="2"/>
          </rPr>
          <t>Admin:</t>
        </r>
        <r>
          <rPr>
            <sz val="9"/>
            <color indexed="81"/>
            <rFont val="Tahoma"/>
            <family val="2"/>
          </rPr>
          <t xml:space="preserve">
1. Đề án bố trí Dân cư xã Kim Thủy 60 hộ; Tổng vốn 13.500 triệu đồng. Xã biên giới
2. Đề án bố trí dân cư xã Ngân Thủy 71 hộ; Tổng vốn 6.000 triệu đồng; 
3. Đề án bố trí dân cư xã Lâm Thủy 66 hộ; Tổng vốn 12.900 triệu đồng. Xã Biên giới</t>
        </r>
      </text>
    </comment>
    <comment ref="B31" authorId="0" shapeId="0" xr:uid="{00000000-0006-0000-0200-00000F000000}">
      <text>
        <r>
          <rPr>
            <b/>
            <sz val="9"/>
            <color indexed="81"/>
            <rFont val="Tahoma"/>
            <family val="2"/>
          </rPr>
          <t>Admin:</t>
        </r>
        <r>
          <rPr>
            <sz val="9"/>
            <color indexed="81"/>
            <rFont val="Tahoma"/>
            <family val="2"/>
          </rPr>
          <t xml:space="preserve">
Tổng số hộ bố trí sắp xếp, ổn định dân cư 170 hộ (1.050 nhân khẩu), trong đó: Bố trí định canh định cư tập trung 17 hộ; bố trí xen ghép 88 hộ; bố trí ổn định tại chổ 65 hộ.
Tổng vốn đề nghị là: 45.000 triệu đồng.
</t>
        </r>
        <r>
          <rPr>
            <b/>
            <sz val="9"/>
            <color indexed="81"/>
            <rFont val="Tahoma"/>
            <family val="2"/>
          </rPr>
          <t>(Theo Quyết định số 2117/QĐ-UBND ngày02/6/2023 của UBND huyện Bố Trạch về việc phê duyệt Đề án Quy hoạch, sắp xếp, bố trí, ổn định dân cư xã Thượng Trạch, huyện Bố Trạch giai đoạn 2021-2025)</t>
        </r>
      </text>
    </comment>
    <comment ref="B32" authorId="0" shapeId="0" xr:uid="{00000000-0006-0000-0200-000010000000}">
      <text>
        <r>
          <rPr>
            <b/>
            <sz val="9"/>
            <color indexed="81"/>
            <rFont val="Tahoma"/>
            <family val="2"/>
          </rPr>
          <t>Admin:</t>
        </r>
        <r>
          <rPr>
            <sz val="9"/>
            <color indexed="81"/>
            <rFont val="Tahoma"/>
            <family val="2"/>
          </rPr>
          <t xml:space="preserve">
Huyện Minh Hóa 4 xã biên giới. 
Hiện nay chưa phê duyệt Dự án để thực hiện. Số liệu phan bổ lấy theo số liệu tại Nghị quyết 100/NQ-HĐND  ngày 10/12/2022 của HĐND tỉnh</t>
        </r>
      </text>
    </comment>
    <comment ref="B54" authorId="0" shapeId="0" xr:uid="{00000000-0006-0000-0200-000011000000}">
      <text>
        <r>
          <rPr>
            <b/>
            <sz val="9"/>
            <color indexed="81"/>
            <rFont val="Tahoma"/>
            <family val="2"/>
          </rPr>
          <t>Admin:</t>
        </r>
        <r>
          <rPr>
            <sz val="9"/>
            <color indexed="81"/>
            <rFont val="Tahoma"/>
            <family val="2"/>
          </rPr>
          <t xml:space="preserve">
Vốn phân bổ năm 2022 vượt định mức 216 triệu đồng. Năm 2023 không phân bổ vốn cho 2 nội dung này. Số điểm phân bổ năm 2023 là 294-14 = 208 điểm</t>
        </r>
      </text>
    </comment>
    <comment ref="B55" authorId="0" shapeId="0" xr:uid="{00000000-0006-0000-0200-00001200000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56" authorId="0" shapeId="0" xr:uid="{00000000-0006-0000-0200-000013000000}">
      <text>
        <r>
          <rPr>
            <b/>
            <sz val="9"/>
            <color indexed="81"/>
            <rFont val="Tahoma"/>
            <family val="2"/>
          </rPr>
          <t>Admin:</t>
        </r>
        <r>
          <rPr>
            <sz val="9"/>
            <color indexed="81"/>
            <rFont val="Tahoma"/>
            <family val="2"/>
          </rPr>
          <t xml:space="preserve">
Toàn huyện có 22 thôn bản DDawBKK theo QĐ 612 của UBDT</t>
        </r>
      </text>
    </comment>
    <comment ref="B57" authorId="0" shapeId="0" xr:uid="{00000000-0006-0000-0200-000014000000}">
      <text>
        <r>
          <rPr>
            <b/>
            <sz val="9"/>
            <color indexed="81"/>
            <rFont val="Tahoma"/>
            <family val="2"/>
          </rPr>
          <t>Admin:</t>
        </r>
        <r>
          <rPr>
            <sz val="9"/>
            <color indexed="81"/>
            <rFont val="Tahoma"/>
            <family val="2"/>
          </rPr>
          <t xml:space="preserve">
Quảng Ninh có 19 thôn thuộc diện ĐBKK </t>
        </r>
      </text>
    </comment>
    <comment ref="B58" authorId="0" shapeId="0" xr:uid="{00000000-0006-0000-0200-000015000000}">
      <text>
        <r>
          <rPr>
            <b/>
            <sz val="9"/>
            <color indexed="81"/>
            <rFont val="Tahoma"/>
            <family val="2"/>
          </rPr>
          <t>Admin:</t>
        </r>
        <r>
          <rPr>
            <sz val="9"/>
            <color indexed="81"/>
            <rFont val="Tahoma"/>
            <family val="2"/>
          </rPr>
          <t xml:space="preserve">
Huyện Bố trạch có 22 Thôn ĐBKK trong đó có 1 thôn thuộc Dân tộc Chứt</t>
        </r>
      </text>
    </comment>
    <comment ref="B59" authorId="0" shapeId="0" xr:uid="{00000000-0006-0000-0200-00001600000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 ref="B60" authorId="0" shapeId="0" xr:uid="{00000000-0006-0000-0200-000017000000}">
      <text>
        <r>
          <rPr>
            <b/>
            <sz val="9"/>
            <color indexed="81"/>
            <rFont val="Tahoma"/>
            <family val="2"/>
          </rPr>
          <t>Admin:</t>
        </r>
        <r>
          <rPr>
            <sz val="9"/>
            <color indexed="81"/>
            <rFont val="Tahoma"/>
            <family val="2"/>
          </rPr>
          <t xml:space="preserve">
Tuyên Hóa có 4 thôn bản ĐBKK </t>
        </r>
      </text>
    </comment>
    <comment ref="B69" authorId="0" shapeId="0" xr:uid="{00000000-0006-0000-0200-000018000000}">
      <text>
        <r>
          <rPr>
            <b/>
            <sz val="9"/>
            <color indexed="81"/>
            <rFont val="Tahoma"/>
            <family val="2"/>
          </rPr>
          <t>Admin:</t>
        </r>
        <r>
          <rPr>
            <sz val="9"/>
            <color indexed="81"/>
            <rFont val="Tahoma"/>
            <family val="2"/>
          </rPr>
          <t xml:space="preserve">
 * Huyện Minh Hóa 17 thôn bản thuộc 5 xã (Dân Hóa 5 bản; Trọng Hóa 2 bản; Hóa Sơn 5 bản (3 bản đặc biệt khó khăn, 2 bản có đông người chứt sinh sống trên 15% dân số của bản- Cần có Quyết đinh phê duyệt của UBND tỉnh - theo dự thảo của TT 02 sửa đổi); thượng Hóa 4 bản; Hóa Tiến 1 thôn (Yên Vân - thôn ĐBKK)
Tổng vốn của huyện Minh Hóa cả giai đoạn là 168.598 triệu đồng.
+ Đầu tư 3 công trình cấp bách: 57.000 triệu đồng gồm: (1)Dự án Dân Hóa: 15.000 triệu đồng; (2) Dự án điện Trọng Hóa 30.000 triệu đồng; (3) Dự kiến phân bổ dự án Kè chống sạt lỡ thôn Thuận Hóa 12.000 triệu đồng. 
+ Phân bổ cho 17 thôn bản thuộc 5 xã có đồng bào chứt sinh sống: 111.598 triệu đồng. 
với định mức 80,6 triệu đồng/1 điểm (toàn huyện có 1.394 điểm, trong đó: Dân Hóa 410 điểm; Trọng Hóa 164 điểm; Hóa Sơn 410 điểm; Thượng Hóa 328 điểm; Thôn Yên vân xã Hóa Tiến 82 điểm.
</t>
        </r>
      </text>
    </comment>
    <comment ref="B75" authorId="0" shapeId="0" xr:uid="{00000000-0006-0000-0200-000019000000}">
      <text>
        <r>
          <rPr>
            <b/>
            <sz val="9"/>
            <color indexed="81"/>
            <rFont val="Tahoma"/>
            <family val="2"/>
          </rPr>
          <t>Admin:</t>
        </r>
        <r>
          <rPr>
            <sz val="9"/>
            <color indexed="81"/>
            <rFont val="Tahoma"/>
            <family val="2"/>
          </rPr>
          <t xml:space="preserve">
TDA2 - DA10 có cổng vốn là 6.872 triệu đồng. Được giao tại Quyết định số 652/QĐ-TTg ngày 28/5/2022 của Thủ tướng Chính phủ về giao kế hoạch vốn đầu tư phát triển nguồn NSTW giai đoạn 2021-2025 cho các địa phương thực hiện 3 Chương trình mục tiêu quốc gia là 5.180 triệu đồng.
Và bổ sung 1.692 triệu đồng  Quyết định số 147/QĐ-TTg ngày 23/02/2023 của Thủ tướng Chính phủ về viêc giao bổ sung kế hoạch vốn ĐTPT nguồn NSTW giai đoạn 2021-2025 thực hiện 03 Chương trình MTQG và điều chỉnh một số nhiệm vụ tại Quyết định số 652/QĐ-TTg ngày 28/5/2022 của TTg 
Như vậy tổng vốn giai đoan jcuar TDA2 - DA 10 là 6.872 triệu đồng.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E10" authorId="0" shapeId="0" xr:uid="{00000000-0006-0000-0300-000001000000}">
      <text>
        <r>
          <rPr>
            <b/>
            <sz val="9"/>
            <color indexed="81"/>
            <rFont val="Tahoma"/>
            <family val="2"/>
          </rPr>
          <t>Admin:</t>
        </r>
        <r>
          <rPr>
            <sz val="9"/>
            <color indexed="81"/>
            <rFont val="Tahoma"/>
            <family val="2"/>
          </rPr>
          <t xml:space="preserve">
Số liệu anh Ninh chuyển sang cập nhật ngày 16/6/2023</t>
        </r>
      </text>
    </comment>
    <comment ref="B11" authorId="0" shapeId="0" xr:uid="{00000000-0006-0000-0300-00000200000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shapeId="0" xr:uid="{00000000-0006-0000-0300-00000300000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1" authorId="0" shapeId="0" xr:uid="{00000000-0006-0000-0300-00000400000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2" authorId="0" shapeId="0" xr:uid="{00000000-0006-0000-0300-00000500000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2" authorId="0" shapeId="0" xr:uid="{00000000-0006-0000-0300-00000600000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3" authorId="0" shapeId="0" xr:uid="{00000000-0006-0000-0300-00000700000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3" authorId="0" shapeId="0" xr:uid="{00000000-0006-0000-0300-00000800000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4" authorId="0" shapeId="0" xr:uid="{00000000-0006-0000-0300-00000900000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4" authorId="0" shapeId="0" xr:uid="{00000000-0006-0000-0300-00000A000000}">
      <text>
        <r>
          <rPr>
            <b/>
            <sz val="9"/>
            <color indexed="81"/>
            <rFont val="Tahoma"/>
            <family val="2"/>
          </rPr>
          <t>Admin:</t>
        </r>
        <r>
          <rPr>
            <sz val="9"/>
            <color indexed="81"/>
            <rFont val="Tahoma"/>
            <family val="2"/>
          </rPr>
          <t xml:space="preserve">
Đang tạm lấy số liệu cũ
</t>
        </r>
      </text>
    </comment>
    <comment ref="B15" authorId="0" shapeId="0" xr:uid="{00000000-0006-0000-0300-00000B00000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5" authorId="0" shapeId="0" xr:uid="{00000000-0006-0000-0300-00000C00000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shapeId="0" xr:uid="{00000000-0006-0000-0300-00000D000000}">
      <text>
        <r>
          <rPr>
            <b/>
            <sz val="9"/>
            <color indexed="81"/>
            <rFont val="Tahoma"/>
            <family val="2"/>
          </rPr>
          <t>Admin:</t>
        </r>
        <r>
          <rPr>
            <sz val="9"/>
            <color indexed="81"/>
            <rFont val="Tahoma"/>
            <family val="2"/>
          </rPr>
          <t xml:space="preserve">
Theo BCNCKT: 
- Cả giai đoạn QB có 680 hộ thụ hưởng nước sinh hoạt tập trung (17 công trình)
- Có 4.496 hộ thụ hưởng chính sách nước sinh hoạt phân tán</t>
        </r>
      </text>
    </comment>
    <comment ref="B23" authorId="0" shapeId="0" xr:uid="{00000000-0006-0000-0300-00000E00000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24" authorId="0" shapeId="0" xr:uid="{00000000-0006-0000-0300-00000F000000}">
      <text>
        <r>
          <rPr>
            <b/>
            <sz val="9"/>
            <color indexed="81"/>
            <rFont val="Tahoma"/>
            <family val="2"/>
          </rPr>
          <t>Admin:</t>
        </r>
        <r>
          <rPr>
            <sz val="9"/>
            <color indexed="81"/>
            <rFont val="Tahoma"/>
            <family val="2"/>
          </rPr>
          <t xml:space="preserve">
Toàn huyện có 22 thôn bản DDawBKK theo QĐ 612 của UBDT</t>
        </r>
      </text>
    </comment>
    <comment ref="B25" authorId="0" shapeId="0" xr:uid="{00000000-0006-0000-0300-000010000000}">
      <text>
        <r>
          <rPr>
            <b/>
            <sz val="9"/>
            <color indexed="81"/>
            <rFont val="Tahoma"/>
            <family val="2"/>
          </rPr>
          <t>Admin:</t>
        </r>
        <r>
          <rPr>
            <sz val="9"/>
            <color indexed="81"/>
            <rFont val="Tahoma"/>
            <family val="2"/>
          </rPr>
          <t xml:space="preserve">
Quảng Ninh có 19 thôn thuộc diện ĐBKK </t>
        </r>
      </text>
    </comment>
    <comment ref="B26" authorId="0" shapeId="0" xr:uid="{00000000-0006-0000-0300-000011000000}">
      <text>
        <r>
          <rPr>
            <b/>
            <sz val="9"/>
            <color indexed="81"/>
            <rFont val="Tahoma"/>
            <family val="2"/>
          </rPr>
          <t>Admin:</t>
        </r>
        <r>
          <rPr>
            <sz val="9"/>
            <color indexed="81"/>
            <rFont val="Tahoma"/>
            <family val="2"/>
          </rPr>
          <t xml:space="preserve">
Huyện Bố trạch có 22 Thôn ĐBKK trong đó có 1 thôn thuộc Dân tộc Chứt</t>
        </r>
      </text>
    </comment>
    <comment ref="B27" authorId="0" shapeId="0" xr:uid="{00000000-0006-0000-0300-00001200000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List>
</comments>
</file>

<file path=xl/sharedStrings.xml><?xml version="1.0" encoding="utf-8"?>
<sst xmlns="http://schemas.openxmlformats.org/spreadsheetml/2006/main" count="619" uniqueCount="166">
  <si>
    <t>Đơn vị tính: Triệu đồng</t>
  </si>
  <si>
    <t>TT</t>
  </si>
  <si>
    <t>Nội dung/danh mục</t>
  </si>
  <si>
    <t>Số lượng</t>
  </si>
  <si>
    <t>Quy mô</t>
  </si>
  <si>
    <t>Thời gian thực hiện</t>
  </si>
  <si>
    <t>Tổng điểm</t>
  </si>
  <si>
    <t>Số vốn đã phân bổ năm 2022</t>
  </si>
  <si>
    <t>I</t>
  </si>
  <si>
    <t>Dự án 1: Giải quyết tình trạng thiếu đất ở, nhà ở, đất sản xuất, nước sinh hoạt</t>
  </si>
  <si>
    <t>a</t>
  </si>
  <si>
    <t>Hỗ trợ đất ở, nhà ở, đất sản xuất</t>
  </si>
  <si>
    <t>Huyện Lệ Thủy</t>
  </si>
  <si>
    <t>UBND huyện Lệ Thủy</t>
  </si>
  <si>
    <t>3 xã</t>
  </si>
  <si>
    <t>Huyện Quảng Ninh</t>
  </si>
  <si>
    <t>UBND huyện Quảng Ninh</t>
  </si>
  <si>
    <t>Huyện Bố Trạch</t>
  </si>
  <si>
    <t>UBND huyện Bố Trạch</t>
  </si>
  <si>
    <t>Huyện Minh Hóa</t>
  </si>
  <si>
    <t>UBND huyện Minh Hóa</t>
  </si>
  <si>
    <t>Huyện Tuyên Hóa</t>
  </si>
  <si>
    <t>UBND huyện Tuyên Hóa</t>
  </si>
  <si>
    <t>b.</t>
  </si>
  <si>
    <t xml:space="preserve">Đầu tư công trình nước sinh hoạt tập trung </t>
  </si>
  <si>
    <t>Nước sinh hoạt tập trung bản Mới, bản Xà Khía, bản Tăng Ký, xã Lâm Thủy</t>
  </si>
  <si>
    <t>100 hộ</t>
  </si>
  <si>
    <t>8.000m</t>
  </si>
  <si>
    <t>2022-2023</t>
  </si>
  <si>
    <t>Nước sinh hoạt tập trung bản Thượng Sơn, thôn Liên Xuân, bản Đá Chát, xã Trường Sơn</t>
  </si>
  <si>
    <t>200 hộ</t>
  </si>
  <si>
    <t xml:space="preserve">5.000m </t>
  </si>
  <si>
    <t>Công trình nước sinh hoạt tập trung Bản 39, xã Tân Trạch</t>
  </si>
  <si>
    <t>79 hộ</t>
  </si>
  <si>
    <t>Nước sinh hoạt tập trung thôn Thuận Hóa và Đặng Hóa, xã Hóa Sơn</t>
  </si>
  <si>
    <t>180 hộ</t>
  </si>
  <si>
    <t>Nước sinh hoạt tập trung thôn Tiền Phong xã Lâm Hóa</t>
  </si>
  <si>
    <t>II</t>
  </si>
  <si>
    <t>Dự án 2: Quy hoạch, sắp xếp, bố trí, ổn định dân cư ở những nơi cần thiết</t>
  </si>
  <si>
    <t>197 hộ</t>
  </si>
  <si>
    <t>Giao UBND huyện tổng hợp danh mục trình HĐND huyện thông qua</t>
  </si>
  <si>
    <t>III</t>
  </si>
  <si>
    <t>Dự án 4: Đầu tư cơ sở hạ tầng thiết yếu, phục vụ sản xuất, đời sống trong vùng đồng bào dân tộc thiểu số và miền núi và các đơn vị sự nghiệp công của lĩnh vực dân tộc</t>
  </si>
  <si>
    <t>Tiểu dự án 1. Đầu tư cơ sở hạ tầng thiết yếu, phục vụ sản xuất, đời sống trong vùng đồng bào dân tộc thiểu số và miền núi</t>
  </si>
  <si>
    <t>Phân bổ cho các huyện</t>
  </si>
  <si>
    <t>11 xã, 6 thôn bản</t>
  </si>
  <si>
    <t>2 xã, 4 bản</t>
  </si>
  <si>
    <t>2 xã, 2 bản</t>
  </si>
  <si>
    <t>4 xã</t>
  </si>
  <si>
    <t>1 xã</t>
  </si>
  <si>
    <t>Đầu tư các công trình có tác động lớn đến phát triển KT-XH địa phương</t>
  </si>
  <si>
    <t>Chợ biên giới xã Thượng Trạch</t>
  </si>
  <si>
    <t>1 chợ</t>
  </si>
  <si>
    <t>2022-2024</t>
  </si>
  <si>
    <t>Xây dựng tuyến đường giao thông liên xã từ xã Kim Thủy đi xã Ngân Thủy</t>
  </si>
  <si>
    <t>2023-2025</t>
  </si>
  <si>
    <t xml:space="preserve"> </t>
  </si>
  <si>
    <t>IV</t>
  </si>
  <si>
    <t>Dự án 5: Phát triển giáo dục đào tạo nâng cao chất lượng nguồn nhân lực</t>
  </si>
  <si>
    <t>Tiểu dự án 1: Đổi mới hoạt động, củng cố phát triển các trường phổ thông dân tộc nội trú, trường phổ thông dân tộc bán trú và xóa mù chữ cho người dân vùng đồng bào dân tộc thiểu số</t>
  </si>
  <si>
    <t xml:space="preserve">Huyện Lệ Thủy </t>
  </si>
  <si>
    <t xml:space="preserve">UBND huyện Lệ Thủy </t>
  </si>
  <si>
    <t>Đầu tư nâng cấp, cải tạo trường PTDTNT tỉnh</t>
  </si>
  <si>
    <t>Sở Giáo dục và Đào tạo</t>
  </si>
  <si>
    <t>V</t>
  </si>
  <si>
    <t>Dự án 6: Bảo tồn, phát huy giá trị văn hóa truyền thống tốt đẹp của các dân tộc thiểu số gắn với phát triển du lịch</t>
  </si>
  <si>
    <t>Hỗ trợ đầu tư xây dựng điểm đến du lịch tiêu biểu tại Bản Còi Đá (xã Ngân Thủy) và Khu du lịch Động Châu -  Khe Nước Trong (xã Kim Thủy)</t>
  </si>
  <si>
    <t>2 điểm du lịch</t>
  </si>
  <si>
    <t xml:space="preserve">Hỗ trợ đầu tư xây dựng thiết chế văn hóa thể thao tại các thôn vùng đồng bào dân tộc thiểu số và miền núi  </t>
  </si>
  <si>
    <t xml:space="preserve">Huyện Bố Trạch </t>
  </si>
  <si>
    <t xml:space="preserve">Hỗ trợ đầu tư bảo tồn mỗi một làng, bản truyền thống tiêu biểu của các dân tộc thiểu số </t>
  </si>
  <si>
    <t>2 làng/bản</t>
  </si>
  <si>
    <t>Dự án 9: Đầu tư phát triển nhóm dân tộc rất ít người và nhóm dân tộc còn nhiều khó khăn</t>
  </si>
  <si>
    <t>Tiểu dự án 1. Đầu tư phát triển kinh tế - xã hội các dân tộc còn gặp nhiều khó khăn, dân tộc có khó khăn đặc thù</t>
  </si>
  <si>
    <t>22 thôn/bản</t>
  </si>
  <si>
    <t>1 bản</t>
  </si>
  <si>
    <t>4 bản</t>
  </si>
  <si>
    <t xml:space="preserve">Huyện Minh Hóa </t>
  </si>
  <si>
    <t>17 bản</t>
  </si>
  <si>
    <t>Hạ tầng giao thông kết hợp điện lưới vào khu dân cư các bản (Lòm - K.Chăm, Dộ - Tà Vờng) dân tộc Chứt xã Trọng Hóa, huyện Minh Hóa</t>
  </si>
  <si>
    <t>Ban Dân tộc</t>
  </si>
  <si>
    <t>Hạ tầng giao thông kết hợp kè chống sạt lở khu dân cư các bản (Ba Loóc, Bãi Dinh, K-Ai) dân tộc Chứt xã Dân Hóa, huyện Minh Hóa</t>
  </si>
  <si>
    <t>VII</t>
  </si>
  <si>
    <t>Dự án 10: Truyền thông, tuyên truyền, vận động trong vùng đồng bào dân tộc thiểu số và miền núi. Kiểm tra, giám sát đánh giá việc tổ chức thực hiện Chương trình</t>
  </si>
  <si>
    <t xml:space="preserve">Tiểu dự  án 2:  Ứng dụng công nghệ thông tin hỗ trợ phát triển kinh tế - xã hội và đảm bảo an ninh trật tự vùng đồng bào dân tộc thiểu số và miền núi </t>
  </si>
  <si>
    <t>2 xã</t>
  </si>
  <si>
    <t>170 hộ</t>
  </si>
  <si>
    <t>223 hộ</t>
  </si>
  <si>
    <t>78 thôn</t>
  </si>
  <si>
    <t>Nâng cấp, cải tạo, sửa chữa Trường PTDTNT Huyện Quảng Ninh</t>
  </si>
  <si>
    <t>Nâng cấp, cải tạo, sửa chữa Trường PTDTNT Huyện Bố Trạch</t>
  </si>
  <si>
    <t>Nâng cấp, cải tạo, sửa chữa Trường PTDTBT TH và THCS Dân Hóa, huyện Minh Hóa</t>
  </si>
  <si>
    <t>Nâng cấp, cải tạo, sửa chữa Trường PTDTBT TH và THCS Lâm Hóa, huyện Tuyên Hóa</t>
  </si>
  <si>
    <t>Nâng cấp, cải tạo, sửa chữa Trường PTDTBT TH và THCS Lâm Thủy và Trường PTDTNT huyện Lệ Thủy</t>
  </si>
  <si>
    <t>Tổng nhu cầu/mức đầu tư</t>
  </si>
  <si>
    <t>Đất ở 206; Nhà ở 801; Đất SX 702</t>
  </si>
  <si>
    <t>Đất ở 204; Nhà ở 376; Đất SX 57</t>
  </si>
  <si>
    <t>Đất ở 149; Nhà ở 276; Đất SX 216</t>
  </si>
  <si>
    <t>Đất ở 271; Nhà ở 283; Đất SX 0</t>
  </si>
  <si>
    <t>Đất ở 69; Nhà ở 109; Đất SX 0</t>
  </si>
  <si>
    <t xml:space="preserve">Đất ở 899; Nhà ở 1845; Đất SX 975 </t>
  </si>
  <si>
    <t>1606 hộ</t>
  </si>
  <si>
    <t xml:space="preserve">2 di tích </t>
  </si>
  <si>
    <t>10,49 km/14 km</t>
  </si>
  <si>
    <t xml:space="preserve">UBND huyện Bố Trạch </t>
  </si>
  <si>
    <t>Đầu tư các công trình nước sinh hoạt tập trung cho các địa phương</t>
  </si>
  <si>
    <t>NSTW</t>
  </si>
  <si>
    <t>NST</t>
  </si>
  <si>
    <t>Tổng cộng</t>
  </si>
  <si>
    <t>Đơn vị thực hiện</t>
  </si>
  <si>
    <r>
      <t xml:space="preserve">Định mức Qi </t>
    </r>
    <r>
      <rPr>
        <i/>
        <sz val="11"/>
        <rFont val="Times New Roman"/>
        <family val="1"/>
      </rPr>
      <t>(1điểm/triệu đồng)</t>
    </r>
  </si>
  <si>
    <t>Kế hoạch vốn năm 2023</t>
  </si>
  <si>
    <t>Địa điểm đầu tư</t>
  </si>
  <si>
    <t>Xã Lâm Thủy, huyện Lệ Thủy</t>
  </si>
  <si>
    <t>Xã Trường Sơn, huyện Quảng Ninh</t>
  </si>
  <si>
    <t>Xã Tân Trạch, huyện Bố Trạch</t>
  </si>
  <si>
    <t>Xã Hóa Sơn, huyện Minh Hóa</t>
  </si>
  <si>
    <t>Xã Lâm Hóa, huyện Tuyên Hóa</t>
  </si>
  <si>
    <t>Xã Thượng Trạch, huyện Bố Trạch</t>
  </si>
  <si>
    <t>Xã Kim Thủy, Ngân Thủy, huyện Lệ Thủy</t>
  </si>
  <si>
    <t>Xã Hiền Ninh, huyện Quảng Ninh</t>
  </si>
  <si>
    <t>Xã Dân Hóa, huyện Minh Hóa</t>
  </si>
  <si>
    <t>Xã Lâm Thủy, Mai Thủy, huyện Lệ Thủy</t>
  </si>
  <si>
    <t>Phường Bắc Lý, TP Đồng Hới</t>
  </si>
  <si>
    <t>Xã Trọng Hóa, huyện Minh Hóa</t>
  </si>
  <si>
    <t>-</t>
  </si>
  <si>
    <t>Đã phân bổ tại Nghị quyết số 100/NQ-HĐND và Nghị quyết số 110/NQ-HĐND của HĐND tỉnh</t>
  </si>
  <si>
    <t>VI</t>
  </si>
  <si>
    <t>Đối ứng ngân sách tỉnh</t>
  </si>
  <si>
    <t>Tổng cộng:</t>
  </si>
  <si>
    <t>Điều chỉnh</t>
  </si>
  <si>
    <t>Tăng</t>
  </si>
  <si>
    <t>Giảm</t>
  </si>
  <si>
    <t>Kế hoạch vốn trung hạn 2021 - 2025 sau điều chỉnh</t>
  </si>
  <si>
    <t>Kế hoạch giai đoạn 2021 - 2025 theo NQ số 100/NQ-HĐND, 110/NQ-HĐND, 68/NQ-HĐND</t>
  </si>
  <si>
    <t>Điều chỉnh, bổ sung vốn đầu tư phát triển ngân sách trung ương và đối ứng ngân sách tỉnh giai đoạn 2021 - 2025 thực hiện Chương trình mục tiêu quốc gia
phát triển kinh tế - xã hội vùng đồng bào dân tộc thiểu số và miền núi tỉnh Quảng Bình</t>
  </si>
  <si>
    <t>Luỹ kế đến nay</t>
  </si>
  <si>
    <t>Đã phân bổ năm 2023</t>
  </si>
  <si>
    <t>Phân bổ chi tiết vốn đầu tư phát triển ngân sách trung ương năm 2023 thực hiện Chương trình mục tiêu quốc gia
phát triển kinh tế - xã hội vùng đồng bào dân tộc thiểu số và miền núi tỉnh Quảng Bình</t>
  </si>
  <si>
    <t xml:space="preserve">(Kèm theo Nghị quyết số       /NQ-HĐND ngày       /  /2023 của Hội đồng nhân dân tỉnh) </t>
  </si>
  <si>
    <t>Kế hoạch 2021 - 2025 đã thông qua tại NQ số 100/NQ-HĐND, 110/NQ-HĐND, 68/NQ-HĐND</t>
  </si>
  <si>
    <t>Kế hoạch vốn năm 2023 sau điều chỉnh</t>
  </si>
  <si>
    <t>PHỤ LỤC I</t>
  </si>
  <si>
    <t>PHỤ LỤC II</t>
  </si>
  <si>
    <t>VIII</t>
  </si>
  <si>
    <t>Giao UBND huyện Quảng Ninh tổng hợp danh mục trình HĐND huyện thông qua</t>
  </si>
  <si>
    <t>b</t>
  </si>
  <si>
    <t>c</t>
  </si>
  <si>
    <t>d</t>
  </si>
  <si>
    <t>2024 - 2025</t>
  </si>
  <si>
    <t xml:space="preserve">Hỗ trợ tu bổ, tôn tạo cho mỗi di tích quốc gia đặc biệt, di tích quốc gia có giá trị tiêu biểu của đồng bào dân tộc thiểu số </t>
  </si>
  <si>
    <t>Tu bổ, tôn tạo Di tích quốc gia thuộc hệ thống di tích đường Trường Sơn</t>
  </si>
  <si>
    <t>Huyện Minh Hoá, huyện Lệ Thuỷ</t>
  </si>
  <si>
    <t>Tu bổ, tôn tạo Di tích quốc gia đặc biệt Cổng trời, xã Dân Hóa, huyện Minh Hóa</t>
  </si>
  <si>
    <t>Nước sinh hoạt tập trung bản Mới, bản Xà Khía, bản Tăng Ký</t>
  </si>
  <si>
    <t>Nước sinh hoạt tập trung bản Thượng Sơn, thôn Liên Xuân, bản Đá Chát</t>
  </si>
  <si>
    <t>Công trình nước sinh hoạt tập trung Bản 39</t>
  </si>
  <si>
    <t>Nước sinh hoạt tập trung thôn Thuận Hóa và Đặng Hóa</t>
  </si>
  <si>
    <t>Nước sinh hoạt tập trung thôn Tiền Phong</t>
  </si>
  <si>
    <t>Kế hoạch 2021 - 2025 đã thông qua tại NQ số 100/NQ-HĐND, 68/NQ-HĐND</t>
  </si>
  <si>
    <t>c.1</t>
  </si>
  <si>
    <t>c.2</t>
  </si>
  <si>
    <t>Phân bổ cho các địa bàn thụ hưởng của huyện Minh Hoá</t>
  </si>
  <si>
    <t>Đầu tư cơ sở hạ tầng thiết yếu theo danh mục công trình trên địa bàn huyện Minh Hoá</t>
  </si>
  <si>
    <t xml:space="preserve">(Kèm theo Tờ trình số  1880/Tr-UBND ngày   20  / 9 /2023 của Ủy ban nhân dân tỉnh) </t>
  </si>
  <si>
    <t xml:space="preserve">(Kèm theo Tờ trình số  1880/TTr-UBND ngày  20 /9/2023 của Ủy ban nhân dân tỉnh)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</si>
</sst>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_-;\-* #,##0.00\ _€_-;_-* &quot;-&quot;??\ _€_-;_-@_-"/>
    <numFmt numFmtId="165" formatCode="_(* #,##0_);_(* \(#,##0\);_(* &quot;-&quot;??_);_(@_)"/>
    <numFmt numFmtId="166" formatCode="#,##0.0"/>
    <numFmt numFmtId="167" formatCode="_-* #,##0.00_-;\-* #,##0.00_-;_-* &quot;-&quot;??_-;_-@_-"/>
  </numFmts>
  <fonts count="21">
    <font>
      <sz val="12"/>
      <color theme="1"/>
      <name val="Times New Roman"/>
      <family val="2"/>
    </font>
    <font>
      <sz val="11"/>
      <color theme="1"/>
      <name val="Calibri"/>
      <family val="2"/>
      <scheme val="minor"/>
    </font>
    <font>
      <sz val="12"/>
      <color theme="1"/>
      <name val="Times New Roman"/>
      <family val="2"/>
    </font>
    <font>
      <sz val="11"/>
      <color theme="1"/>
      <name val="Calibri"/>
      <family val="2"/>
      <scheme val="minor"/>
    </font>
    <font>
      <b/>
      <sz val="9"/>
      <color indexed="81"/>
      <name val="Tahoma"/>
      <family val="2"/>
    </font>
    <font>
      <sz val="9"/>
      <color indexed="81"/>
      <name val="Tahoma"/>
      <family val="2"/>
    </font>
    <font>
      <sz val="11"/>
      <name val="Times New Roman"/>
      <family val="1"/>
    </font>
    <font>
      <b/>
      <i/>
      <sz val="11"/>
      <name val="Times New Roman"/>
      <family val="1"/>
    </font>
    <font>
      <i/>
      <sz val="11"/>
      <name val="Times New Roman"/>
      <family val="1"/>
    </font>
    <font>
      <b/>
      <sz val="11"/>
      <name val="Times New Roman"/>
      <family val="1"/>
    </font>
    <font>
      <sz val="11"/>
      <color indexed="8"/>
      <name val="Calibri"/>
      <family val="2"/>
    </font>
    <font>
      <sz val="10"/>
      <name val="Arial"/>
      <family val="2"/>
    </font>
    <font>
      <sz val="12"/>
      <name val="Times New Roman"/>
      <family val="1"/>
    </font>
    <font>
      <sz val="12"/>
      <name val="VNtimes new roman"/>
      <family val="2"/>
    </font>
    <font>
      <sz val="11"/>
      <color theme="1"/>
      <name val="Calibri"/>
      <family val="2"/>
      <charset val="163"/>
      <scheme val="minor"/>
    </font>
    <font>
      <sz val="12"/>
      <color theme="1"/>
      <name val="Times New Roman"/>
      <family val="2"/>
      <charset val="163"/>
    </font>
    <font>
      <sz val="12"/>
      <color theme="1"/>
      <name val="Times New Roman"/>
      <family val="1"/>
    </font>
    <font>
      <i/>
      <u val="singleAccounting"/>
      <sz val="11"/>
      <name val="Times New Roman"/>
      <family val="1"/>
    </font>
    <font>
      <sz val="12"/>
      <name val="Times New Roman"/>
      <family val="2"/>
    </font>
    <font>
      <b/>
      <u val="singleAccounting"/>
      <sz val="11"/>
      <name val="Times New Roman"/>
      <family val="1"/>
    </font>
    <font>
      <u/>
      <sz val="1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3" fillId="0" borderId="0" applyFont="0" applyFill="0" applyBorder="0" applyAlignment="0" applyProtection="0"/>
    <xf numFmtId="0" fontId="13" fillId="0" borderId="0"/>
    <xf numFmtId="167" fontId="10" fillId="0" borderId="0" applyFont="0" applyFill="0" applyBorder="0" applyAlignment="0" applyProtection="0"/>
    <xf numFmtId="0" fontId="11" fillId="0" borderId="0"/>
    <xf numFmtId="0" fontId="14" fillId="0" borderId="0"/>
    <xf numFmtId="0" fontId="14" fillId="0" borderId="0"/>
    <xf numFmtId="0" fontId="10" fillId="0" borderId="0"/>
    <xf numFmtId="0" fontId="15" fillId="0" borderId="0"/>
    <xf numFmtId="0" fontId="1" fillId="0" borderId="0"/>
    <xf numFmtId="0" fontId="10" fillId="0" borderId="0"/>
    <xf numFmtId="0" fontId="12" fillId="0" borderId="0"/>
    <xf numFmtId="0" fontId="1" fillId="0" borderId="0"/>
    <xf numFmtId="0" fontId="11" fillId="0" borderId="0"/>
    <xf numFmtId="0" fontId="16" fillId="0" borderId="0"/>
    <xf numFmtId="0" fontId="16" fillId="0" borderId="0"/>
  </cellStyleXfs>
  <cellXfs count="71">
    <xf numFmtId="0" fontId="0" fillId="0" borderId="0" xfId="0"/>
    <xf numFmtId="3" fontId="6" fillId="0" borderId="2" xfId="0" applyNumberFormat="1" applyFont="1" applyBorder="1" applyAlignment="1">
      <alignment horizontal="right" vertical="center" wrapText="1"/>
    </xf>
    <xf numFmtId="3" fontId="7" fillId="0" borderId="2" xfId="0" applyNumberFormat="1" applyFont="1" applyBorder="1" applyAlignment="1">
      <alignment horizontal="right" vertical="center" wrapText="1"/>
    </xf>
    <xf numFmtId="0" fontId="8" fillId="0" borderId="0" xfId="0" applyFont="1"/>
    <xf numFmtId="0" fontId="6" fillId="0" borderId="2" xfId="0" applyFont="1" applyBorder="1" applyAlignment="1">
      <alignment horizontal="center" vertical="center"/>
    </xf>
    <xf numFmtId="0" fontId="6" fillId="0" borderId="2" xfId="0" applyFont="1" applyBorder="1" applyAlignment="1">
      <alignment horizontal="justify" vertical="center"/>
    </xf>
    <xf numFmtId="0" fontId="6" fillId="0" borderId="2" xfId="0" applyFont="1" applyBorder="1" applyAlignment="1">
      <alignment horizontal="center" vertical="center" wrapText="1"/>
    </xf>
    <xf numFmtId="3" fontId="6" fillId="0" borderId="2" xfId="0" applyNumberFormat="1" applyFont="1" applyBorder="1" applyAlignment="1">
      <alignment horizontal="right" vertical="center"/>
    </xf>
    <xf numFmtId="3" fontId="6" fillId="0" borderId="2" xfId="0" applyNumberFormat="1" applyFont="1" applyBorder="1" applyAlignment="1">
      <alignment vertical="center"/>
    </xf>
    <xf numFmtId="165" fontId="6" fillId="0" borderId="2" xfId="1" applyNumberFormat="1" applyFont="1" applyFill="1" applyBorder="1" applyAlignment="1">
      <alignment horizontal="right" vertical="center"/>
    </xf>
    <xf numFmtId="3" fontId="6" fillId="0" borderId="2" xfId="0" applyNumberFormat="1" applyFont="1" applyBorder="1"/>
    <xf numFmtId="0" fontId="9" fillId="0" borderId="2" xfId="0" applyFont="1" applyBorder="1" applyAlignment="1">
      <alignment vertical="center" wrapText="1"/>
    </xf>
    <xf numFmtId="165" fontId="9" fillId="0" borderId="2" xfId="2" applyNumberFormat="1" applyFont="1" applyFill="1" applyBorder="1" applyAlignment="1">
      <alignment horizontal="center" vertical="center" wrapText="1"/>
    </xf>
    <xf numFmtId="3" fontId="9" fillId="0" borderId="2" xfId="0" applyNumberFormat="1" applyFont="1" applyBorder="1" applyAlignment="1">
      <alignment horizontal="right" vertical="center" wrapText="1"/>
    </xf>
    <xf numFmtId="0" fontId="9" fillId="0" borderId="0" xfId="0" applyFont="1"/>
    <xf numFmtId="166" fontId="9" fillId="0" borderId="2" xfId="0" applyNumberFormat="1" applyFont="1" applyBorder="1" applyAlignment="1">
      <alignment horizontal="right" vertical="center" wrapText="1"/>
    </xf>
    <xf numFmtId="0" fontId="6" fillId="0" borderId="2" xfId="0" applyFont="1" applyBorder="1" applyAlignment="1">
      <alignment horizontal="left" vertical="center" wrapText="1"/>
    </xf>
    <xf numFmtId="166" fontId="6" fillId="0" borderId="2" xfId="0" applyNumberFormat="1" applyFont="1" applyBorder="1" applyAlignment="1">
      <alignment horizontal="right" vertical="center" wrapText="1"/>
    </xf>
    <xf numFmtId="0" fontId="6" fillId="0" borderId="2" xfId="0" applyFont="1" applyBorder="1" applyAlignment="1">
      <alignment vertical="center" wrapText="1"/>
    </xf>
    <xf numFmtId="165" fontId="6" fillId="0" borderId="2" xfId="2" applyNumberFormat="1" applyFont="1" applyFill="1" applyBorder="1" applyAlignment="1">
      <alignment horizontal="center" vertical="center" wrapText="1"/>
    </xf>
    <xf numFmtId="0" fontId="6" fillId="0" borderId="0" xfId="0" applyFont="1"/>
    <xf numFmtId="4" fontId="6" fillId="0" borderId="2" xfId="0" applyNumberFormat="1" applyFont="1" applyBorder="1" applyAlignment="1">
      <alignment horizontal="right" vertical="center" wrapText="1"/>
    </xf>
    <xf numFmtId="3" fontId="6" fillId="0" borderId="2" xfId="0" applyNumberFormat="1" applyFont="1" applyBorder="1" applyAlignment="1">
      <alignment vertical="center" wrapText="1"/>
    </xf>
    <xf numFmtId="0" fontId="9"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7" fillId="0" borderId="0" xfId="0" applyFont="1"/>
    <xf numFmtId="0" fontId="9" fillId="0" borderId="2" xfId="0" applyFont="1" applyBorder="1" applyAlignment="1">
      <alignment horizontal="left" vertical="center"/>
    </xf>
    <xf numFmtId="3" fontId="9" fillId="0" borderId="2" xfId="0" applyNumberFormat="1" applyFont="1" applyBorder="1" applyAlignment="1">
      <alignment horizontal="center" vertical="center"/>
    </xf>
    <xf numFmtId="3" fontId="6" fillId="0" borderId="0" xfId="0" applyNumberFormat="1" applyFont="1"/>
    <xf numFmtId="0" fontId="9" fillId="0" borderId="2" xfId="0" applyFont="1" applyBorder="1" applyAlignment="1">
      <alignment horizontal="left" vertical="center" wrapText="1"/>
    </xf>
    <xf numFmtId="3" fontId="9" fillId="0" borderId="2" xfId="0" applyNumberFormat="1" applyFont="1" applyBorder="1" applyAlignment="1">
      <alignment vertical="center" wrapText="1"/>
    </xf>
    <xf numFmtId="1" fontId="17" fillId="0" borderId="2" xfId="0" applyNumberFormat="1" applyFont="1" applyBorder="1" applyAlignment="1">
      <alignment horizontal="right" vertical="center"/>
    </xf>
    <xf numFmtId="1" fontId="8" fillId="0" borderId="2" xfId="0" applyNumberFormat="1" applyFont="1" applyBorder="1" applyAlignment="1">
      <alignment horizontal="right" vertical="center"/>
    </xf>
    <xf numFmtId="3" fontId="8" fillId="0" borderId="2" xfId="0" applyNumberFormat="1" applyFont="1" applyBorder="1" applyAlignment="1">
      <alignment horizontal="center" vertical="center" wrapText="1"/>
    </xf>
    <xf numFmtId="0" fontId="9" fillId="0" borderId="2" xfId="0" applyFont="1" applyBorder="1" applyAlignment="1">
      <alignment horizontal="justify" vertical="center"/>
    </xf>
    <xf numFmtId="4" fontId="9" fillId="0" borderId="2" xfId="0" applyNumberFormat="1" applyFont="1" applyBorder="1" applyAlignment="1">
      <alignment horizontal="right" vertical="center" wrapText="1"/>
    </xf>
    <xf numFmtId="3" fontId="9" fillId="0" borderId="0" xfId="0" applyNumberFormat="1" applyFont="1"/>
    <xf numFmtId="0" fontId="6" fillId="0" borderId="2" xfId="0" quotePrefix="1" applyFont="1" applyBorder="1" applyAlignment="1">
      <alignment horizontal="center" vertical="center" wrapText="1"/>
    </xf>
    <xf numFmtId="165" fontId="6" fillId="0" borderId="2" xfId="2" applyNumberFormat="1" applyFont="1" applyFill="1" applyBorder="1" applyAlignment="1">
      <alignment horizontal="left" vertical="center" wrapText="1"/>
    </xf>
    <xf numFmtId="0" fontId="9" fillId="0" borderId="2" xfId="0" quotePrefix="1" applyFont="1" applyBorder="1" applyAlignment="1">
      <alignment horizontal="center" vertical="center"/>
    </xf>
    <xf numFmtId="165" fontId="6" fillId="0" borderId="2" xfId="1" applyNumberFormat="1" applyFont="1" applyFill="1" applyBorder="1" applyAlignment="1">
      <alignment horizontal="center" vertical="center" wrapText="1"/>
    </xf>
    <xf numFmtId="3" fontId="0" fillId="2" borderId="2" xfId="0" applyNumberFormat="1" applyFill="1" applyBorder="1" applyAlignment="1">
      <alignment horizontal="right" vertical="center" wrapText="1"/>
    </xf>
    <xf numFmtId="3" fontId="18" fillId="2" borderId="2" xfId="0" applyNumberFormat="1" applyFont="1" applyFill="1" applyBorder="1" applyAlignment="1">
      <alignment horizontal="right" vertical="center" wrapText="1"/>
    </xf>
    <xf numFmtId="3" fontId="12" fillId="2" borderId="2" xfId="0" applyNumberFormat="1" applyFont="1" applyFill="1" applyBorder="1" applyAlignment="1">
      <alignment horizontal="right" vertical="center" wrapText="1"/>
    </xf>
    <xf numFmtId="3" fontId="18" fillId="0" borderId="2" xfId="0" applyNumberFormat="1" applyFont="1" applyBorder="1" applyAlignment="1">
      <alignment horizontal="right" vertical="center" wrapText="1"/>
    </xf>
    <xf numFmtId="3" fontId="16" fillId="2" borderId="2" xfId="0" applyNumberFormat="1" applyFont="1" applyFill="1" applyBorder="1" applyAlignment="1">
      <alignment horizontal="right" vertical="center" wrapText="1"/>
    </xf>
    <xf numFmtId="164" fontId="19" fillId="0" borderId="2" xfId="1" applyFont="1" applyFill="1" applyBorder="1" applyAlignment="1">
      <alignment horizontal="center" vertical="center" wrapText="1"/>
    </xf>
    <xf numFmtId="4" fontId="19" fillId="0" borderId="2"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3" fontId="9"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0" fontId="6" fillId="0" borderId="2" xfId="0" quotePrefix="1" applyFont="1" applyBorder="1" applyAlignment="1">
      <alignment horizontal="center" vertical="center"/>
    </xf>
    <xf numFmtId="0" fontId="20" fillId="0" borderId="2" xfId="0" applyFont="1" applyBorder="1" applyAlignment="1">
      <alignment horizontal="center" vertical="center" wrapText="1"/>
    </xf>
    <xf numFmtId="3" fontId="6"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3" fontId="9"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Alignment="1">
      <alignment horizontal="center"/>
    </xf>
    <xf numFmtId="0" fontId="9"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8" fillId="0" borderId="0" xfId="0" applyFont="1" applyAlignment="1">
      <alignment horizontal="right" vertical="center" wrapText="1"/>
    </xf>
    <xf numFmtId="3" fontId="6" fillId="0" borderId="3"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cellXfs>
  <cellStyles count="17">
    <cellStyle name="Bình thường 2" xfId="3" xr:uid="{00000000-0005-0000-0000-000000000000}"/>
    <cellStyle name="Comma" xfId="1" builtinId="3"/>
    <cellStyle name="Comma 11" xfId="2" xr:uid="{00000000-0005-0000-0000-000002000000}"/>
    <cellStyle name="Comma 2 2 26" xfId="4" xr:uid="{00000000-0005-0000-0000-000003000000}"/>
    <cellStyle name="Normal" xfId="0" builtinId="0"/>
    <cellStyle name="Normal 10 6" xfId="5" xr:uid="{00000000-0005-0000-0000-000005000000}"/>
    <cellStyle name="Normal 11 4 2" xfId="6" xr:uid="{00000000-0005-0000-0000-000006000000}"/>
    <cellStyle name="Normal 2" xfId="7" xr:uid="{00000000-0005-0000-0000-000007000000}"/>
    <cellStyle name="Normal 2 10 2" xfId="8" xr:uid="{00000000-0005-0000-0000-000008000000}"/>
    <cellStyle name="Normal 2 2 16" xfId="9" xr:uid="{00000000-0005-0000-0000-000009000000}"/>
    <cellStyle name="Normal 2 27 2 4" xfId="10" xr:uid="{00000000-0005-0000-0000-00000A000000}"/>
    <cellStyle name="Normal 2 3 10" xfId="11" xr:uid="{00000000-0005-0000-0000-00000B000000}"/>
    <cellStyle name="Normal 2 3 4" xfId="12" xr:uid="{00000000-0005-0000-0000-00000C000000}"/>
    <cellStyle name="Normal 3 2" xfId="13" xr:uid="{00000000-0005-0000-0000-00000D000000}"/>
    <cellStyle name="Normal 5" xfId="14" xr:uid="{00000000-0005-0000-0000-00000E000000}"/>
    <cellStyle name="Normal 77 2" xfId="15" xr:uid="{00000000-0005-0000-0000-00000F000000}"/>
    <cellStyle name="Normal 79"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92"/>
  <sheetViews>
    <sheetView view="pageLayout" zoomScaleNormal="100" workbookViewId="0">
      <selection activeCell="B1" sqref="B1:F1"/>
    </sheetView>
  </sheetViews>
  <sheetFormatPr defaultColWidth="9" defaultRowHeight="13.8"/>
  <cols>
    <col min="1" max="1" width="5" style="20" customWidth="1"/>
    <col min="2" max="2" width="38" style="20" customWidth="1"/>
    <col min="3" max="3" width="13.8984375" style="20" customWidth="1"/>
    <col min="4" max="4" width="11.69921875" style="25" hidden="1" customWidth="1"/>
    <col min="5" max="5" width="0.8984375" style="24" hidden="1" customWidth="1"/>
    <col min="6" max="6" width="9.5" style="25" customWidth="1"/>
    <col min="7" max="7" width="14.3984375" style="25" customWidth="1"/>
    <col min="8" max="8" width="8.19921875" style="25" customWidth="1"/>
    <col min="9" max="9" width="8.5" style="25" customWidth="1"/>
    <col min="10" max="10" width="6.5" style="20" hidden="1" customWidth="1"/>
    <col min="11" max="11" width="7.09765625" style="20" hidden="1" customWidth="1"/>
    <col min="12" max="12" width="9.59765625" style="20" hidden="1" customWidth="1"/>
    <col min="13" max="13" width="8.59765625" style="20" customWidth="1"/>
    <col min="14" max="14" width="7.19921875" style="20" customWidth="1"/>
    <col min="15" max="15" width="8.3984375" style="20" customWidth="1"/>
    <col min="16" max="16" width="7.8984375" style="20" hidden="1" customWidth="1"/>
    <col min="17" max="17" width="14.3984375" style="20" hidden="1" customWidth="1"/>
    <col min="18" max="18" width="7.5" style="20" hidden="1" customWidth="1"/>
    <col min="19" max="19" width="7.8984375" style="20" hidden="1" customWidth="1"/>
    <col min="20" max="20" width="7.3984375" style="20" hidden="1" customWidth="1"/>
    <col min="21" max="21" width="8.69921875" style="20" hidden="1" customWidth="1"/>
    <col min="22" max="22" width="21.59765625" style="25" customWidth="1"/>
    <col min="23" max="16384" width="9" style="20"/>
  </cols>
  <sheetData>
    <row r="1" spans="1:24" ht="14.4">
      <c r="B1" s="26"/>
      <c r="C1" s="26"/>
    </row>
    <row r="2" spans="1:24">
      <c r="A2" s="59" t="s">
        <v>142</v>
      </c>
      <c r="B2" s="59"/>
      <c r="C2" s="59"/>
      <c r="D2" s="59"/>
      <c r="E2" s="59"/>
      <c r="F2" s="59"/>
      <c r="G2" s="59"/>
      <c r="H2" s="59"/>
      <c r="I2" s="59"/>
      <c r="J2" s="59"/>
      <c r="K2" s="59"/>
      <c r="L2" s="59"/>
      <c r="M2" s="59"/>
      <c r="N2" s="59"/>
      <c r="O2" s="59"/>
      <c r="P2" s="59"/>
      <c r="Q2" s="59"/>
      <c r="R2" s="59"/>
      <c r="S2" s="59"/>
      <c r="T2" s="59"/>
      <c r="U2" s="59"/>
      <c r="V2" s="59"/>
    </row>
    <row r="3" spans="1:24" ht="35.25" customHeight="1">
      <c r="A3" s="60" t="s">
        <v>135</v>
      </c>
      <c r="B3" s="60"/>
      <c r="C3" s="60"/>
      <c r="D3" s="60"/>
      <c r="E3" s="60"/>
      <c r="F3" s="60"/>
      <c r="G3" s="60"/>
      <c r="H3" s="60"/>
      <c r="I3" s="60"/>
      <c r="J3" s="60"/>
      <c r="K3" s="60"/>
      <c r="L3" s="60"/>
      <c r="M3" s="60"/>
      <c r="N3" s="60"/>
      <c r="O3" s="60"/>
      <c r="P3" s="60"/>
      <c r="Q3" s="60"/>
      <c r="R3" s="60"/>
      <c r="S3" s="60"/>
      <c r="T3" s="60"/>
      <c r="U3" s="60"/>
      <c r="V3" s="60"/>
    </row>
    <row r="4" spans="1:24">
      <c r="A4" s="61" t="s">
        <v>139</v>
      </c>
      <c r="B4" s="61"/>
      <c r="C4" s="61"/>
      <c r="D4" s="61"/>
      <c r="E4" s="61"/>
      <c r="F4" s="61"/>
      <c r="G4" s="61"/>
      <c r="H4" s="61"/>
      <c r="I4" s="61"/>
      <c r="J4" s="61"/>
      <c r="K4" s="61"/>
      <c r="L4" s="61"/>
      <c r="M4" s="61"/>
      <c r="N4" s="61"/>
      <c r="O4" s="61"/>
      <c r="P4" s="61"/>
      <c r="Q4" s="61"/>
      <c r="R4" s="61"/>
      <c r="S4" s="61"/>
      <c r="T4" s="61"/>
      <c r="U4" s="61"/>
      <c r="V4" s="61"/>
    </row>
    <row r="5" spans="1:24">
      <c r="A5" s="23"/>
      <c r="B5" s="23"/>
      <c r="C5" s="23"/>
      <c r="D5" s="62"/>
      <c r="E5" s="62"/>
      <c r="F5" s="62"/>
      <c r="G5" s="62"/>
      <c r="H5" s="62"/>
      <c r="I5" s="62"/>
      <c r="J5" s="62"/>
      <c r="K5" s="23"/>
      <c r="L5" s="23"/>
      <c r="M5" s="23"/>
      <c r="N5" s="23"/>
      <c r="O5" s="23"/>
      <c r="P5" s="23"/>
      <c r="Q5" s="63" t="s">
        <v>0</v>
      </c>
      <c r="R5" s="63"/>
      <c r="S5" s="63"/>
      <c r="T5" s="63"/>
      <c r="U5" s="63"/>
      <c r="V5" s="63"/>
    </row>
    <row r="6" spans="1:24" ht="32.25" customHeight="1">
      <c r="A6" s="58" t="s">
        <v>1</v>
      </c>
      <c r="B6" s="58" t="s">
        <v>2</v>
      </c>
      <c r="C6" s="57" t="s">
        <v>112</v>
      </c>
      <c r="D6" s="56" t="s">
        <v>3</v>
      </c>
      <c r="E6" s="56" t="s">
        <v>4</v>
      </c>
      <c r="F6" s="57" t="s">
        <v>5</v>
      </c>
      <c r="G6" s="57" t="s">
        <v>159</v>
      </c>
      <c r="H6" s="57" t="s">
        <v>130</v>
      </c>
      <c r="I6" s="57"/>
      <c r="J6" s="57" t="s">
        <v>6</v>
      </c>
      <c r="K6" s="57" t="s">
        <v>110</v>
      </c>
      <c r="L6" s="57" t="s">
        <v>94</v>
      </c>
      <c r="M6" s="57" t="s">
        <v>133</v>
      </c>
      <c r="N6" s="57"/>
      <c r="O6" s="57"/>
      <c r="P6" s="56" t="s">
        <v>7</v>
      </c>
      <c r="Q6" s="56" t="s">
        <v>111</v>
      </c>
      <c r="R6" s="56"/>
      <c r="S6" s="56"/>
      <c r="T6" s="56"/>
      <c r="U6" s="56"/>
      <c r="V6" s="57" t="s">
        <v>109</v>
      </c>
    </row>
    <row r="7" spans="1:24" ht="66.900000000000006" customHeight="1">
      <c r="A7" s="58"/>
      <c r="B7" s="58"/>
      <c r="C7" s="57"/>
      <c r="D7" s="56"/>
      <c r="E7" s="56"/>
      <c r="F7" s="57"/>
      <c r="G7" s="57"/>
      <c r="H7" s="51" t="s">
        <v>131</v>
      </c>
      <c r="I7" s="51" t="s">
        <v>132</v>
      </c>
      <c r="J7" s="57"/>
      <c r="K7" s="57"/>
      <c r="L7" s="57"/>
      <c r="M7" s="51" t="s">
        <v>108</v>
      </c>
      <c r="N7" s="51" t="s">
        <v>106</v>
      </c>
      <c r="O7" s="51" t="s">
        <v>107</v>
      </c>
      <c r="P7" s="56"/>
      <c r="Q7" s="51" t="s">
        <v>106</v>
      </c>
      <c r="R7" s="51" t="s">
        <v>107</v>
      </c>
      <c r="S7" s="11"/>
      <c r="T7" s="11"/>
      <c r="U7" s="50" t="s">
        <v>107</v>
      </c>
      <c r="V7" s="57"/>
    </row>
    <row r="8" spans="1:24" ht="30" customHeight="1">
      <c r="A8" s="52"/>
      <c r="B8" s="27" t="s">
        <v>129</v>
      </c>
      <c r="C8" s="27"/>
      <c r="D8" s="28"/>
      <c r="E8" s="52"/>
      <c r="F8" s="51"/>
      <c r="G8" s="13">
        <f>SUBTOTAL(109,G9:G86)</f>
        <v>529846.19999999995</v>
      </c>
      <c r="H8" s="13">
        <f>SUBTOTAL(109,H9:H86)</f>
        <v>263436.79999999999</v>
      </c>
      <c r="I8" s="13">
        <f>SUBTOTAL(109,I9:I86)</f>
        <v>5470</v>
      </c>
      <c r="J8" s="13"/>
      <c r="K8" s="13">
        <f t="shared" ref="K8:T8" si="0">SUBTOTAL(109,K9:K86)</f>
        <v>155.49700793614079</v>
      </c>
      <c r="L8" s="13">
        <f t="shared" si="0"/>
        <v>763603</v>
      </c>
      <c r="M8" s="13">
        <f t="shared" si="0"/>
        <v>787813</v>
      </c>
      <c r="N8" s="13">
        <f t="shared" si="0"/>
        <v>737813</v>
      </c>
      <c r="O8" s="13">
        <f t="shared" si="0"/>
        <v>50000</v>
      </c>
      <c r="P8" s="13">
        <f t="shared" si="0"/>
        <v>119573</v>
      </c>
      <c r="Q8" s="13">
        <f t="shared" si="0"/>
        <v>34671.173913043487</v>
      </c>
      <c r="R8" s="13">
        <f t="shared" si="0"/>
        <v>168105</v>
      </c>
      <c r="S8" s="13">
        <f t="shared" si="0"/>
        <v>124051</v>
      </c>
      <c r="T8" s="13">
        <f t="shared" si="0"/>
        <v>21884.2</v>
      </c>
      <c r="U8" s="13"/>
      <c r="V8" s="51"/>
    </row>
    <row r="9" spans="1:24" ht="27.6">
      <c r="A9" s="52" t="s">
        <v>8</v>
      </c>
      <c r="B9" s="30" t="s">
        <v>9</v>
      </c>
      <c r="C9" s="30"/>
      <c r="D9" s="50"/>
      <c r="E9" s="50"/>
      <c r="F9" s="51"/>
      <c r="G9" s="13">
        <f>SUBTOTAL(109,G10:G22)</f>
        <v>51000</v>
      </c>
      <c r="H9" s="13">
        <f t="shared" ref="H9:M9" si="1">SUBTOTAL(109,H10:H27)</f>
        <v>50742</v>
      </c>
      <c r="I9" s="13">
        <f t="shared" si="1"/>
        <v>5470</v>
      </c>
      <c r="J9" s="13">
        <f t="shared" si="1"/>
        <v>2633.95</v>
      </c>
      <c r="K9" s="13">
        <f t="shared" si="1"/>
        <v>51.407202110898076</v>
      </c>
      <c r="L9" s="13">
        <f t="shared" si="1"/>
        <v>107336</v>
      </c>
      <c r="M9" s="13">
        <f t="shared" si="1"/>
        <v>96272</v>
      </c>
      <c r="N9" s="13">
        <f>SUBTOTAL(109,N10:N27)</f>
        <v>89502</v>
      </c>
      <c r="O9" s="13">
        <f t="shared" ref="O9:Q9" si="2">SUBTOTAL(109,O10:O22)</f>
        <v>6770</v>
      </c>
      <c r="P9" s="13">
        <f t="shared" si="2"/>
        <v>5500</v>
      </c>
      <c r="Q9" s="13">
        <f t="shared" si="2"/>
        <v>2422</v>
      </c>
      <c r="R9" s="13">
        <f t="shared" ref="R9:T9" si="3">SUBTOTAL(109,R10:R21)</f>
        <v>29890</v>
      </c>
      <c r="S9" s="13">
        <f t="shared" si="3"/>
        <v>29890</v>
      </c>
      <c r="T9" s="13">
        <f t="shared" si="3"/>
        <v>6770.2</v>
      </c>
      <c r="U9" s="13"/>
      <c r="V9" s="51"/>
      <c r="W9" s="29"/>
    </row>
    <row r="10" spans="1:24" s="14" customFormat="1" ht="21.9" customHeight="1">
      <c r="A10" s="40" t="s">
        <v>10</v>
      </c>
      <c r="B10" s="30" t="s">
        <v>11</v>
      </c>
      <c r="C10" s="30"/>
      <c r="D10" s="6" t="s">
        <v>100</v>
      </c>
      <c r="E10" s="47"/>
      <c r="F10" s="48"/>
      <c r="G10" s="13">
        <f>SUBTOTAL(109,G11:G15)</f>
        <v>51000</v>
      </c>
      <c r="H10" s="13">
        <f t="shared" ref="H10:I10" si="4">SUBTOTAL(109,H11:H15)</f>
        <v>28942</v>
      </c>
      <c r="I10" s="13">
        <f t="shared" si="4"/>
        <v>5470</v>
      </c>
      <c r="J10" s="13">
        <f>SUM(J11:J15)</f>
        <v>1316.9750000000001</v>
      </c>
      <c r="K10" s="36">
        <f>N10/J10</f>
        <v>51.407202110898076</v>
      </c>
      <c r="L10" s="13">
        <f>SUBTOTAL(109,L11:L15)</f>
        <v>107336</v>
      </c>
      <c r="M10" s="13">
        <f>SUBTOTAL(109,M11:M15)</f>
        <v>74472</v>
      </c>
      <c r="N10" s="13">
        <f>SUBTOTAL(109,N11:N15)</f>
        <v>67702</v>
      </c>
      <c r="O10" s="13">
        <f>SUBTOTAL(109,O11:O15)</f>
        <v>6770</v>
      </c>
      <c r="P10" s="13">
        <f t="shared" ref="P10:Q10" si="5">SUBTOTAL(109,P11:P15)</f>
        <v>5500</v>
      </c>
      <c r="Q10" s="13">
        <f t="shared" si="5"/>
        <v>2422</v>
      </c>
      <c r="R10" s="13">
        <f t="shared" ref="R10" si="6">SUBTOTAL(109,R11:R15)</f>
        <v>29890</v>
      </c>
      <c r="S10" s="13">
        <f t="shared" ref="S10:T10" si="7">SUBTOTAL(109,S11:S15)</f>
        <v>29890</v>
      </c>
      <c r="T10" s="13">
        <f t="shared" si="7"/>
        <v>6770.2</v>
      </c>
      <c r="U10" s="13"/>
      <c r="V10" s="31"/>
      <c r="W10" s="37"/>
    </row>
    <row r="11" spans="1:24" ht="20.25" customHeight="1">
      <c r="A11" s="4">
        <v>1</v>
      </c>
      <c r="B11" s="5" t="s">
        <v>12</v>
      </c>
      <c r="C11" s="5"/>
      <c r="D11" s="6" t="s">
        <v>95</v>
      </c>
      <c r="E11" s="32"/>
      <c r="F11" s="34"/>
      <c r="G11" s="42">
        <f>500*21</f>
        <v>10500</v>
      </c>
      <c r="H11" s="1">
        <f>M11-G11</f>
        <v>21210</v>
      </c>
      <c r="I11" s="34"/>
      <c r="J11" s="1">
        <f>(206+801)*0.4+702*0.225</f>
        <v>560.75</v>
      </c>
      <c r="K11" s="21"/>
      <c r="L11" s="1">
        <f>N11+T11</f>
        <v>31713</v>
      </c>
      <c r="M11" s="1">
        <f t="shared" ref="M11:M52" si="8">N11+O11</f>
        <v>31710</v>
      </c>
      <c r="N11" s="1">
        <f>ROUND((118702-51000)/$J$10*J11,-1)</f>
        <v>28830</v>
      </c>
      <c r="O11" s="1">
        <f>ROUND(N11*0.1,-1)</f>
        <v>2880</v>
      </c>
      <c r="P11" s="1">
        <v>1500</v>
      </c>
      <c r="Q11" s="1">
        <f>2422*J11/J10</f>
        <v>1031.2545796237589</v>
      </c>
      <c r="R11" s="1">
        <f>(N11-P11-Q11)/2</f>
        <v>13149.372710188121</v>
      </c>
      <c r="S11" s="1">
        <f t="shared" ref="S11:S15" si="9">R11</f>
        <v>13149.372710188121</v>
      </c>
      <c r="T11" s="1">
        <f>N11*0.1</f>
        <v>2883</v>
      </c>
      <c r="U11" s="1"/>
      <c r="V11" s="49" t="s">
        <v>13</v>
      </c>
    </row>
    <row r="12" spans="1:24" ht="18.899999999999999" customHeight="1">
      <c r="A12" s="4">
        <v>2</v>
      </c>
      <c r="B12" s="5" t="s">
        <v>15</v>
      </c>
      <c r="C12" s="5"/>
      <c r="D12" s="6" t="s">
        <v>96</v>
      </c>
      <c r="E12" s="32"/>
      <c r="F12" s="34"/>
      <c r="G12" s="42">
        <f>500*19</f>
        <v>9500</v>
      </c>
      <c r="H12" s="1">
        <f t="shared" ref="H12:H15" si="10">M12-G12</f>
        <v>4350</v>
      </c>
      <c r="I12" s="34"/>
      <c r="J12" s="1">
        <f>(204+376)*0.4+57*0.225</f>
        <v>244.82499999999999</v>
      </c>
      <c r="K12" s="21"/>
      <c r="L12" s="1">
        <v>24483</v>
      </c>
      <c r="M12" s="1">
        <f t="shared" si="8"/>
        <v>13850</v>
      </c>
      <c r="N12" s="1">
        <f>ROUND((118702-51000)/$J$10*J12,-1)</f>
        <v>12590</v>
      </c>
      <c r="O12" s="1">
        <f>ROUND(N12*0.1,-1)</f>
        <v>1260</v>
      </c>
      <c r="P12" s="1">
        <v>500</v>
      </c>
      <c r="Q12" s="1">
        <f>2422*J12/J10</f>
        <v>450.24860001138973</v>
      </c>
      <c r="R12" s="1">
        <f>(N12-P12-Q12)/2</f>
        <v>5819.8756999943053</v>
      </c>
      <c r="S12" s="1">
        <f t="shared" si="9"/>
        <v>5819.8756999943053</v>
      </c>
      <c r="T12" s="1">
        <f t="shared" ref="T12:T15" si="11">N12*0.1</f>
        <v>1259</v>
      </c>
      <c r="U12" s="1"/>
      <c r="V12" s="49" t="s">
        <v>16</v>
      </c>
    </row>
    <row r="13" spans="1:24" ht="19.5" customHeight="1">
      <c r="A13" s="4">
        <v>3</v>
      </c>
      <c r="B13" s="5" t="s">
        <v>17</v>
      </c>
      <c r="C13" s="5"/>
      <c r="D13" s="6" t="s">
        <v>97</v>
      </c>
      <c r="E13" s="32"/>
      <c r="F13" s="34"/>
      <c r="G13" s="42">
        <f>500*22</f>
        <v>11000</v>
      </c>
      <c r="H13" s="1">
        <f t="shared" si="10"/>
        <v>1360</v>
      </c>
      <c r="I13" s="34"/>
      <c r="J13" s="1">
        <f>(149+276)*0.4+216*0.225</f>
        <v>218.6</v>
      </c>
      <c r="K13" s="21"/>
      <c r="L13" s="1">
        <f>149*40+276*40+216*22.5</f>
        <v>21860</v>
      </c>
      <c r="M13" s="1">
        <f t="shared" si="8"/>
        <v>12360</v>
      </c>
      <c r="N13" s="1">
        <f>ROUND((118702-51000)/$J$10*J13,-1)</f>
        <v>11240</v>
      </c>
      <c r="O13" s="1">
        <f>ROUND(N13*0.1,-1)</f>
        <v>1120</v>
      </c>
      <c r="P13" s="1">
        <v>1000</v>
      </c>
      <c r="Q13" s="1">
        <f>2422*J13/J10</f>
        <v>402.01917272537435</v>
      </c>
      <c r="R13" s="1">
        <f>(N13-P13-Q13)/2</f>
        <v>4918.9904136373125</v>
      </c>
      <c r="S13" s="1">
        <f t="shared" si="9"/>
        <v>4918.9904136373125</v>
      </c>
      <c r="T13" s="1">
        <f t="shared" si="11"/>
        <v>1124</v>
      </c>
      <c r="U13" s="1"/>
      <c r="V13" s="49" t="s">
        <v>18</v>
      </c>
      <c r="X13" s="29"/>
    </row>
    <row r="14" spans="1:24" ht="18" customHeight="1">
      <c r="A14" s="4">
        <v>4</v>
      </c>
      <c r="B14" s="5" t="s">
        <v>19</v>
      </c>
      <c r="C14" s="5"/>
      <c r="D14" s="6" t="s">
        <v>98</v>
      </c>
      <c r="E14" s="33" t="s">
        <v>56</v>
      </c>
      <c r="F14" s="34"/>
      <c r="G14" s="42">
        <f>500*36</f>
        <v>18000</v>
      </c>
      <c r="H14" s="1"/>
      <c r="I14" s="1">
        <f>G14-M14</f>
        <v>5470</v>
      </c>
      <c r="J14" s="1">
        <f>(271+283)*0.4</f>
        <v>221.60000000000002</v>
      </c>
      <c r="K14" s="21"/>
      <c r="L14" s="1">
        <f>271*40+283*40</f>
        <v>22160</v>
      </c>
      <c r="M14" s="1">
        <f t="shared" si="8"/>
        <v>12530</v>
      </c>
      <c r="N14" s="1">
        <f>ROUND((118702-51000)/$J$10*J14,-1)</f>
        <v>11390</v>
      </c>
      <c r="O14" s="1">
        <f>ROUND(N14*0.1,-1)</f>
        <v>1140</v>
      </c>
      <c r="P14" s="1">
        <v>2000</v>
      </c>
      <c r="Q14" s="1">
        <f>2422*J14/J10</f>
        <v>407.53636173807399</v>
      </c>
      <c r="R14" s="1">
        <f>(N14-P14-Q14)/2</f>
        <v>4491.2318191309632</v>
      </c>
      <c r="S14" s="1">
        <f t="shared" si="9"/>
        <v>4491.2318191309632</v>
      </c>
      <c r="T14" s="1">
        <f t="shared" si="11"/>
        <v>1139</v>
      </c>
      <c r="U14" s="1"/>
      <c r="V14" s="49" t="s">
        <v>20</v>
      </c>
    </row>
    <row r="15" spans="1:24" ht="16.5" customHeight="1">
      <c r="A15" s="4">
        <v>5</v>
      </c>
      <c r="B15" s="5" t="s">
        <v>21</v>
      </c>
      <c r="C15" s="5"/>
      <c r="D15" s="6" t="s">
        <v>99</v>
      </c>
      <c r="E15" s="32"/>
      <c r="F15" s="34"/>
      <c r="G15" s="42">
        <f>500*4</f>
        <v>2000</v>
      </c>
      <c r="H15" s="1">
        <f t="shared" si="10"/>
        <v>2022</v>
      </c>
      <c r="I15" s="34"/>
      <c r="J15" s="1">
        <f>(69+109)*0.4</f>
        <v>71.2</v>
      </c>
      <c r="K15" s="21"/>
      <c r="L15" s="1">
        <f>69*40+109*40+0*22.5</f>
        <v>7120</v>
      </c>
      <c r="M15" s="1">
        <f t="shared" si="8"/>
        <v>4022</v>
      </c>
      <c r="N15" s="1">
        <f>ROUND((118702-51000)/$J$10*J15,-1)-8</f>
        <v>3652</v>
      </c>
      <c r="O15" s="1">
        <f>ROUND(N15*0.1,-1)</f>
        <v>370</v>
      </c>
      <c r="P15" s="1">
        <v>500</v>
      </c>
      <c r="Q15" s="1">
        <f>2422*J15/J10</f>
        <v>130.94128590140281</v>
      </c>
      <c r="R15" s="1">
        <f>(N15-P15-Q15)/2</f>
        <v>1510.5293570492986</v>
      </c>
      <c r="S15" s="1">
        <f t="shared" si="9"/>
        <v>1510.5293570492986</v>
      </c>
      <c r="T15" s="1">
        <f t="shared" si="11"/>
        <v>365.20000000000005</v>
      </c>
      <c r="U15" s="1"/>
      <c r="V15" s="49" t="s">
        <v>22</v>
      </c>
    </row>
    <row r="16" spans="1:24">
      <c r="A16" s="52" t="s">
        <v>23</v>
      </c>
      <c r="B16" s="30" t="s">
        <v>24</v>
      </c>
      <c r="C16" s="30"/>
      <c r="D16" s="50" t="s">
        <v>101</v>
      </c>
      <c r="E16" s="50"/>
      <c r="F16" s="51"/>
      <c r="G16" s="13">
        <f t="shared" ref="G16:T16" si="12">SUBTOTAL(109,G17:G22)</f>
        <v>0</v>
      </c>
      <c r="H16" s="13">
        <v>21800</v>
      </c>
      <c r="I16" s="13">
        <f t="shared" si="12"/>
        <v>0</v>
      </c>
      <c r="J16" s="13">
        <f t="shared" si="12"/>
        <v>0</v>
      </c>
      <c r="K16" s="13">
        <f t="shared" si="12"/>
        <v>0</v>
      </c>
      <c r="L16" s="13">
        <f t="shared" si="12"/>
        <v>0</v>
      </c>
      <c r="M16" s="13">
        <f>SUBTOTAL(109,M17:M27)</f>
        <v>21800</v>
      </c>
      <c r="N16" s="13">
        <f>SUBTOTAL(109,N17:N27)</f>
        <v>21800</v>
      </c>
      <c r="O16" s="13">
        <f t="shared" si="12"/>
        <v>0</v>
      </c>
      <c r="P16" s="13">
        <f t="shared" si="12"/>
        <v>0</v>
      </c>
      <c r="Q16" s="13">
        <f t="shared" si="12"/>
        <v>0</v>
      </c>
      <c r="R16" s="13">
        <f t="shared" si="12"/>
        <v>0</v>
      </c>
      <c r="S16" s="13">
        <f t="shared" si="12"/>
        <v>0</v>
      </c>
      <c r="T16" s="13">
        <f t="shared" si="12"/>
        <v>0</v>
      </c>
      <c r="U16" s="13"/>
      <c r="V16" s="51"/>
    </row>
    <row r="17" spans="1:22" s="3" customFormat="1" ht="42" hidden="1" customHeight="1">
      <c r="A17" s="4">
        <v>1</v>
      </c>
      <c r="B17" s="5" t="s">
        <v>25</v>
      </c>
      <c r="C17" s="5" t="s">
        <v>113</v>
      </c>
      <c r="D17" s="4" t="s">
        <v>26</v>
      </c>
      <c r="E17" s="6" t="s">
        <v>27</v>
      </c>
      <c r="F17" s="49" t="s">
        <v>28</v>
      </c>
      <c r="G17" s="43">
        <v>5500</v>
      </c>
      <c r="H17" s="49"/>
      <c r="I17" s="49"/>
      <c r="J17" s="1"/>
      <c r="K17" s="1"/>
      <c r="L17" s="1">
        <f>N17</f>
        <v>5500</v>
      </c>
      <c r="M17" s="1">
        <f t="shared" si="8"/>
        <v>5500</v>
      </c>
      <c r="N17" s="43">
        <v>5500</v>
      </c>
      <c r="O17" s="1"/>
      <c r="P17" s="1">
        <v>5427</v>
      </c>
      <c r="Q17" s="1"/>
      <c r="R17" s="2"/>
      <c r="S17" s="2"/>
      <c r="T17" s="1"/>
      <c r="U17" s="1"/>
      <c r="V17" s="49" t="s">
        <v>13</v>
      </c>
    </row>
    <row r="18" spans="1:22" s="3" customFormat="1" ht="43.5" hidden="1" customHeight="1">
      <c r="A18" s="4">
        <v>2</v>
      </c>
      <c r="B18" s="5" t="s">
        <v>29</v>
      </c>
      <c r="C18" s="5" t="s">
        <v>114</v>
      </c>
      <c r="D18" s="4" t="s">
        <v>30</v>
      </c>
      <c r="E18" s="6" t="s">
        <v>31</v>
      </c>
      <c r="F18" s="49" t="s">
        <v>28</v>
      </c>
      <c r="G18" s="43">
        <v>5200</v>
      </c>
      <c r="H18" s="49"/>
      <c r="I18" s="49"/>
      <c r="J18" s="1"/>
      <c r="K18" s="1"/>
      <c r="L18" s="1">
        <f t="shared" ref="L18:L22" si="13">N18</f>
        <v>5200</v>
      </c>
      <c r="M18" s="1">
        <f t="shared" si="8"/>
        <v>5200</v>
      </c>
      <c r="N18" s="43">
        <v>5200</v>
      </c>
      <c r="O18" s="1"/>
      <c r="P18" s="1">
        <v>5131</v>
      </c>
      <c r="Q18" s="1"/>
      <c r="R18" s="2"/>
      <c r="S18" s="2"/>
      <c r="T18" s="1"/>
      <c r="U18" s="1"/>
      <c r="V18" s="49" t="s">
        <v>16</v>
      </c>
    </row>
    <row r="19" spans="1:22" s="3" customFormat="1" ht="27.6" hidden="1">
      <c r="A19" s="4">
        <v>3</v>
      </c>
      <c r="B19" s="5" t="s">
        <v>32</v>
      </c>
      <c r="C19" s="5" t="s">
        <v>115</v>
      </c>
      <c r="D19" s="4" t="s">
        <v>33</v>
      </c>
      <c r="E19" s="6"/>
      <c r="F19" s="49" t="s">
        <v>28</v>
      </c>
      <c r="G19" s="43">
        <v>6000</v>
      </c>
      <c r="H19" s="49"/>
      <c r="I19" s="49"/>
      <c r="J19" s="1"/>
      <c r="K19" s="1"/>
      <c r="L19" s="1">
        <f t="shared" si="13"/>
        <v>6000</v>
      </c>
      <c r="M19" s="1">
        <f t="shared" si="8"/>
        <v>6000</v>
      </c>
      <c r="N19" s="43">
        <v>6000</v>
      </c>
      <c r="O19" s="1"/>
      <c r="P19" s="1">
        <v>5920</v>
      </c>
      <c r="Q19" s="1"/>
      <c r="R19" s="2"/>
      <c r="S19" s="2"/>
      <c r="T19" s="1"/>
      <c r="U19" s="1"/>
      <c r="V19" s="49" t="s">
        <v>18</v>
      </c>
    </row>
    <row r="20" spans="1:22" s="3" customFormat="1" ht="27.6" hidden="1">
      <c r="A20" s="4">
        <v>4</v>
      </c>
      <c r="B20" s="5" t="s">
        <v>34</v>
      </c>
      <c r="C20" s="5" t="s">
        <v>116</v>
      </c>
      <c r="D20" s="4" t="s">
        <v>35</v>
      </c>
      <c r="E20" s="6"/>
      <c r="F20" s="49" t="s">
        <v>28</v>
      </c>
      <c r="G20" s="43">
        <v>6000</v>
      </c>
      <c r="H20" s="49"/>
      <c r="I20" s="49"/>
      <c r="J20" s="1"/>
      <c r="K20" s="1"/>
      <c r="L20" s="1">
        <f t="shared" si="13"/>
        <v>6000</v>
      </c>
      <c r="M20" s="1">
        <f t="shared" si="8"/>
        <v>6000</v>
      </c>
      <c r="N20" s="43">
        <v>6000</v>
      </c>
      <c r="O20" s="1"/>
      <c r="P20" s="1">
        <v>5920</v>
      </c>
      <c r="Q20" s="1"/>
      <c r="R20" s="2"/>
      <c r="S20" s="2"/>
      <c r="T20" s="1"/>
      <c r="U20" s="1"/>
      <c r="V20" s="49" t="s">
        <v>20</v>
      </c>
    </row>
    <row r="21" spans="1:22" s="3" customFormat="1" ht="35.25" hidden="1" customHeight="1">
      <c r="A21" s="4">
        <v>5</v>
      </c>
      <c r="B21" s="5" t="s">
        <v>36</v>
      </c>
      <c r="C21" s="5" t="s">
        <v>117</v>
      </c>
      <c r="D21" s="4"/>
      <c r="E21" s="6"/>
      <c r="F21" s="49" t="s">
        <v>28</v>
      </c>
      <c r="G21" s="43">
        <v>6500</v>
      </c>
      <c r="H21" s="49"/>
      <c r="I21" s="49"/>
      <c r="J21" s="1"/>
      <c r="K21" s="1"/>
      <c r="L21" s="1">
        <f t="shared" si="13"/>
        <v>6500</v>
      </c>
      <c r="M21" s="1">
        <f t="shared" si="8"/>
        <v>6500</v>
      </c>
      <c r="N21" s="43">
        <v>6500</v>
      </c>
      <c r="O21" s="1"/>
      <c r="P21" s="1">
        <v>6413</v>
      </c>
      <c r="Q21" s="1"/>
      <c r="R21" s="2"/>
      <c r="S21" s="2"/>
      <c r="T21" s="1"/>
      <c r="U21" s="1"/>
      <c r="V21" s="49" t="s">
        <v>22</v>
      </c>
    </row>
    <row r="22" spans="1:22" s="3" customFormat="1" ht="27.6" hidden="1">
      <c r="A22" s="4">
        <v>6</v>
      </c>
      <c r="B22" s="5" t="s">
        <v>105</v>
      </c>
      <c r="C22" s="5"/>
      <c r="D22" s="4"/>
      <c r="E22" s="6"/>
      <c r="F22" s="49"/>
      <c r="G22" s="44"/>
      <c r="H22" s="1">
        <v>21800</v>
      </c>
      <c r="I22" s="1"/>
      <c r="J22" s="1"/>
      <c r="K22" s="1"/>
      <c r="L22" s="1">
        <f t="shared" si="13"/>
        <v>21800</v>
      </c>
      <c r="M22" s="1">
        <f>SUBTOTAL(109,M23:M27)</f>
        <v>21800</v>
      </c>
      <c r="N22" s="1">
        <f>SUBTOTAL(109,N23:N27)</f>
        <v>21800</v>
      </c>
      <c r="O22" s="1"/>
      <c r="P22" s="1" t="e">
        <f>SUBTOTAL(109,#REF!)</f>
        <v>#REF!</v>
      </c>
      <c r="Q22" s="1" t="e">
        <f>SUBTOTAL(109,#REF!)</f>
        <v>#REF!</v>
      </c>
      <c r="R22" s="1" t="e">
        <f>SUBTOTAL(109,#REF!)</f>
        <v>#REF!</v>
      </c>
      <c r="S22" s="1" t="e">
        <f>SUBTOTAL(109,#REF!)</f>
        <v>#REF!</v>
      </c>
      <c r="T22" s="1" t="e">
        <f>SUBTOTAL(109,#REF!)</f>
        <v>#REF!</v>
      </c>
      <c r="U22" s="2"/>
      <c r="V22" s="49"/>
    </row>
    <row r="23" spans="1:22" s="3" customFormat="1" ht="25.5" customHeight="1">
      <c r="A23" s="53">
        <v>1</v>
      </c>
      <c r="B23" s="5" t="s">
        <v>12</v>
      </c>
      <c r="C23" s="5"/>
      <c r="D23" s="4"/>
      <c r="E23" s="6"/>
      <c r="F23" s="49"/>
      <c r="G23" s="49"/>
      <c r="H23" s="49"/>
      <c r="I23" s="49"/>
      <c r="J23" s="1"/>
      <c r="K23" s="1"/>
      <c r="L23" s="1"/>
      <c r="M23" s="1">
        <f>N23</f>
        <v>4490</v>
      </c>
      <c r="N23" s="1">
        <f>ROUND((51000-29200)/102*21,-1)</f>
        <v>4490</v>
      </c>
      <c r="O23" s="1"/>
      <c r="P23" s="1"/>
      <c r="Q23" s="1">
        <f>N23</f>
        <v>4490</v>
      </c>
      <c r="R23" s="2"/>
      <c r="S23" s="2"/>
      <c r="T23" s="2"/>
      <c r="U23" s="2"/>
      <c r="V23" s="55" t="s">
        <v>40</v>
      </c>
    </row>
    <row r="24" spans="1:22" s="3" customFormat="1" ht="25.5" customHeight="1">
      <c r="A24" s="53">
        <v>2</v>
      </c>
      <c r="B24" s="5" t="s">
        <v>15</v>
      </c>
      <c r="C24" s="5"/>
      <c r="D24" s="4"/>
      <c r="E24" s="6"/>
      <c r="F24" s="49"/>
      <c r="G24" s="49"/>
      <c r="H24" s="49"/>
      <c r="I24" s="49"/>
      <c r="J24" s="1"/>
      <c r="K24" s="1"/>
      <c r="L24" s="1"/>
      <c r="M24" s="1">
        <f t="shared" ref="M24:M27" si="14">N24</f>
        <v>4060</v>
      </c>
      <c r="N24" s="1">
        <f>ROUND((51000-29200)/102*19,-1)</f>
        <v>4060</v>
      </c>
      <c r="O24" s="1"/>
      <c r="P24" s="1"/>
      <c r="Q24" s="1">
        <f t="shared" ref="Q24:Q27" si="15">N24</f>
        <v>4060</v>
      </c>
      <c r="R24" s="2"/>
      <c r="S24" s="2"/>
      <c r="T24" s="2"/>
      <c r="U24" s="2"/>
      <c r="V24" s="55"/>
    </row>
    <row r="25" spans="1:22" s="3" customFormat="1" ht="25.5" customHeight="1">
      <c r="A25" s="53">
        <v>3</v>
      </c>
      <c r="B25" s="5" t="s">
        <v>17</v>
      </c>
      <c r="C25" s="5"/>
      <c r="D25" s="4"/>
      <c r="E25" s="6"/>
      <c r="F25" s="49"/>
      <c r="G25" s="49"/>
      <c r="H25" s="49"/>
      <c r="I25" s="49"/>
      <c r="J25" s="1"/>
      <c r="K25" s="1"/>
      <c r="L25" s="1"/>
      <c r="M25" s="1">
        <f t="shared" si="14"/>
        <v>4700</v>
      </c>
      <c r="N25" s="1">
        <f>ROUND((51000-29200)/102*22,-1)</f>
        <v>4700</v>
      </c>
      <c r="O25" s="1"/>
      <c r="P25" s="1"/>
      <c r="Q25" s="1">
        <f t="shared" si="15"/>
        <v>4700</v>
      </c>
      <c r="R25" s="2"/>
      <c r="S25" s="2"/>
      <c r="T25" s="2"/>
      <c r="U25" s="2"/>
      <c r="V25" s="55"/>
    </row>
    <row r="26" spans="1:22" s="3" customFormat="1" ht="25.5" customHeight="1">
      <c r="A26" s="53">
        <v>4</v>
      </c>
      <c r="B26" s="5" t="s">
        <v>19</v>
      </c>
      <c r="C26" s="5"/>
      <c r="D26" s="4"/>
      <c r="E26" s="6"/>
      <c r="F26" s="49"/>
      <c r="G26" s="49"/>
      <c r="H26" s="49"/>
      <c r="I26" s="49"/>
      <c r="J26" s="1"/>
      <c r="K26" s="1"/>
      <c r="L26" s="1"/>
      <c r="M26" s="1">
        <f t="shared" si="14"/>
        <v>7690</v>
      </c>
      <c r="N26" s="1">
        <f>ROUND((51000-29200)/102*36,-1)</f>
        <v>7690</v>
      </c>
      <c r="O26" s="1"/>
      <c r="P26" s="1"/>
      <c r="Q26" s="1">
        <f t="shared" si="15"/>
        <v>7690</v>
      </c>
      <c r="R26" s="2"/>
      <c r="S26" s="2"/>
      <c r="T26" s="2"/>
      <c r="U26" s="2"/>
      <c r="V26" s="55"/>
    </row>
    <row r="27" spans="1:22" s="3" customFormat="1" ht="25.5" customHeight="1">
      <c r="A27" s="53">
        <v>5</v>
      </c>
      <c r="B27" s="5" t="s">
        <v>21</v>
      </c>
      <c r="C27" s="5"/>
      <c r="D27" s="4"/>
      <c r="E27" s="6"/>
      <c r="F27" s="49"/>
      <c r="G27" s="49"/>
      <c r="H27" s="49"/>
      <c r="I27" s="49"/>
      <c r="J27" s="1"/>
      <c r="K27" s="1"/>
      <c r="L27" s="1"/>
      <c r="M27" s="1">
        <f t="shared" si="14"/>
        <v>860</v>
      </c>
      <c r="N27" s="1">
        <f>ROUND((51000-29200)/102*4,-1)+10</f>
        <v>860</v>
      </c>
      <c r="O27" s="1"/>
      <c r="P27" s="1"/>
      <c r="Q27" s="1">
        <f t="shared" si="15"/>
        <v>860</v>
      </c>
      <c r="R27" s="2"/>
      <c r="S27" s="2"/>
      <c r="T27" s="2"/>
      <c r="U27" s="2"/>
      <c r="V27" s="55"/>
    </row>
    <row r="28" spans="1:22" s="14" customFormat="1" ht="27.6">
      <c r="A28" s="52" t="s">
        <v>37</v>
      </c>
      <c r="B28" s="35" t="s">
        <v>38</v>
      </c>
      <c r="C28" s="35"/>
      <c r="D28" s="52"/>
      <c r="E28" s="52"/>
      <c r="F28" s="49"/>
      <c r="G28" s="13">
        <f t="shared" ref="G28:M28" si="16">SUBTOTAL(109,G29:G33)</f>
        <v>157371.19999999998</v>
      </c>
      <c r="H28" s="13">
        <f t="shared" si="16"/>
        <v>39342.799999999996</v>
      </c>
      <c r="I28" s="13">
        <f t="shared" si="16"/>
        <v>0</v>
      </c>
      <c r="J28" s="13">
        <f t="shared" si="16"/>
        <v>2221.7000000000003</v>
      </c>
      <c r="K28" s="13">
        <f t="shared" si="16"/>
        <v>0</v>
      </c>
      <c r="L28" s="13">
        <f t="shared" si="16"/>
        <v>196714</v>
      </c>
      <c r="M28" s="13">
        <f t="shared" si="16"/>
        <v>196714</v>
      </c>
      <c r="N28" s="13">
        <f>SUBTOTAL(109,N29:N33)</f>
        <v>196714</v>
      </c>
      <c r="O28" s="13">
        <f>SUBTOTAL(109,O29:O33)</f>
        <v>0</v>
      </c>
      <c r="P28" s="13" t="e">
        <f>SUBTOTAL(109,#REF!)</f>
        <v>#REF!</v>
      </c>
      <c r="Q28" s="13" t="e">
        <f>SUBTOTAL(109,#REF!)</f>
        <v>#REF!</v>
      </c>
      <c r="R28" s="13" t="e">
        <f>SUBTOTAL(109,#REF!)</f>
        <v>#REF!</v>
      </c>
      <c r="S28" s="13" t="e">
        <f>SUBTOTAL(109,#REF!)</f>
        <v>#REF!</v>
      </c>
      <c r="T28" s="13" t="e">
        <f>SUBTOTAL(109,#REF!)</f>
        <v>#REF!</v>
      </c>
      <c r="U28" s="13"/>
      <c r="V28" s="49"/>
    </row>
    <row r="29" spans="1:22" ht="15.75" customHeight="1">
      <c r="A29" s="4">
        <v>1</v>
      </c>
      <c r="B29" s="5" t="s">
        <v>12</v>
      </c>
      <c r="C29" s="5"/>
      <c r="D29" s="4" t="s">
        <v>39</v>
      </c>
      <c r="E29" s="7">
        <v>32400</v>
      </c>
      <c r="F29" s="49"/>
      <c r="G29" s="42">
        <v>32399.952941176471</v>
      </c>
      <c r="H29" s="1">
        <f>M29-G29</f>
        <v>3370.0470588235294</v>
      </c>
      <c r="I29" s="1"/>
      <c r="J29" s="8">
        <f>30+(39400-3000)/100+10</f>
        <v>404</v>
      </c>
      <c r="K29" s="1"/>
      <c r="L29" s="1">
        <f>N29</f>
        <v>35770</v>
      </c>
      <c r="M29" s="1">
        <f t="shared" ref="M29:M33" si="17">N29+O29</f>
        <v>35770</v>
      </c>
      <c r="N29" s="1">
        <f>ROUND(196714/$J$28*J29,-1)</f>
        <v>35770</v>
      </c>
      <c r="O29" s="1"/>
      <c r="P29" s="1">
        <v>7290</v>
      </c>
      <c r="Q29" s="1"/>
      <c r="R29" s="1"/>
      <c r="S29" s="1"/>
      <c r="T29" s="1"/>
      <c r="U29" s="1"/>
      <c r="V29" s="55" t="s">
        <v>40</v>
      </c>
    </row>
    <row r="30" spans="1:22" ht="15.6">
      <c r="A30" s="4">
        <v>2</v>
      </c>
      <c r="B30" s="5" t="s">
        <v>15</v>
      </c>
      <c r="C30" s="5"/>
      <c r="D30" s="4" t="s">
        <v>87</v>
      </c>
      <c r="E30" s="9">
        <v>29314</v>
      </c>
      <c r="F30" s="49"/>
      <c r="G30" s="42">
        <v>29314.243137254904</v>
      </c>
      <c r="H30" s="1">
        <f>M30-G30</f>
        <v>12245.756862745096</v>
      </c>
      <c r="I30" s="49"/>
      <c r="J30" s="8">
        <f>20+(46436-2000)/100+5</f>
        <v>469.36</v>
      </c>
      <c r="K30" s="1"/>
      <c r="L30" s="1">
        <f t="shared" ref="L30:L33" si="18">N30</f>
        <v>41560</v>
      </c>
      <c r="M30" s="1">
        <f t="shared" si="17"/>
        <v>41560</v>
      </c>
      <c r="N30" s="1">
        <f t="shared" ref="N30:N32" si="19">ROUND(196714/$J$28*J30,-1)</f>
        <v>41560</v>
      </c>
      <c r="O30" s="1"/>
      <c r="P30" s="1">
        <v>6596</v>
      </c>
      <c r="Q30" s="1"/>
      <c r="R30" s="1"/>
      <c r="S30" s="1"/>
      <c r="T30" s="1"/>
      <c r="U30" s="1"/>
      <c r="V30" s="55"/>
    </row>
    <row r="31" spans="1:22" ht="15.6">
      <c r="A31" s="4">
        <v>3</v>
      </c>
      <c r="B31" s="5" t="s">
        <v>17</v>
      </c>
      <c r="C31" s="5"/>
      <c r="D31" s="6" t="s">
        <v>86</v>
      </c>
      <c r="E31" s="9">
        <v>45000</v>
      </c>
      <c r="F31" s="49"/>
      <c r="G31" s="42">
        <v>33942.807843137256</v>
      </c>
      <c r="H31" s="1">
        <f>M31-G31</f>
        <v>6347.192156862744</v>
      </c>
      <c r="I31" s="49"/>
      <c r="J31" s="8">
        <f>10+(45000-1000)/100+5</f>
        <v>455</v>
      </c>
      <c r="K31" s="1"/>
      <c r="L31" s="1">
        <f t="shared" si="18"/>
        <v>40290</v>
      </c>
      <c r="M31" s="1">
        <f t="shared" si="17"/>
        <v>40290</v>
      </c>
      <c r="N31" s="1">
        <f t="shared" si="19"/>
        <v>40290</v>
      </c>
      <c r="O31" s="1"/>
      <c r="P31" s="1">
        <v>7637</v>
      </c>
      <c r="Q31" s="1"/>
      <c r="R31" s="1"/>
      <c r="S31" s="1"/>
      <c r="T31" s="1"/>
      <c r="U31" s="1"/>
      <c r="V31" s="55"/>
    </row>
    <row r="32" spans="1:22" ht="15.6">
      <c r="A32" s="4">
        <v>4</v>
      </c>
      <c r="B32" s="5" t="s">
        <v>19</v>
      </c>
      <c r="C32" s="5"/>
      <c r="D32" s="4"/>
      <c r="E32" s="9">
        <v>55543</v>
      </c>
      <c r="F32" s="49"/>
      <c r="G32" s="42">
        <v>55542.776470588236</v>
      </c>
      <c r="H32" s="1">
        <f>M32-G32</f>
        <v>4957.2235294117636</v>
      </c>
      <c r="I32" s="49"/>
      <c r="J32" s="8">
        <f>20+(67334-2000)/100+10</f>
        <v>683.34</v>
      </c>
      <c r="K32" s="1"/>
      <c r="L32" s="1">
        <f t="shared" si="18"/>
        <v>60500</v>
      </c>
      <c r="M32" s="1">
        <f t="shared" si="17"/>
        <v>60500</v>
      </c>
      <c r="N32" s="1">
        <f t="shared" si="19"/>
        <v>60500</v>
      </c>
      <c r="O32" s="1"/>
      <c r="P32" s="1">
        <v>12497</v>
      </c>
      <c r="Q32" s="1"/>
      <c r="R32" s="1"/>
      <c r="S32" s="1"/>
      <c r="T32" s="1"/>
      <c r="U32" s="1"/>
      <c r="V32" s="55"/>
    </row>
    <row r="33" spans="1:22" ht="15.6">
      <c r="A33" s="4">
        <v>5</v>
      </c>
      <c r="B33" s="5" t="s">
        <v>21</v>
      </c>
      <c r="C33" s="5"/>
      <c r="D33" s="4"/>
      <c r="E33" s="9"/>
      <c r="F33" s="49"/>
      <c r="G33" s="42">
        <v>6171.4196078431378</v>
      </c>
      <c r="H33" s="1">
        <f>M33-G33</f>
        <v>12422.580392156862</v>
      </c>
      <c r="I33" s="1"/>
      <c r="J33" s="10">
        <f>10+(21000-1000)/100</f>
        <v>210</v>
      </c>
      <c r="K33" s="1"/>
      <c r="L33" s="1">
        <f t="shared" si="18"/>
        <v>18594</v>
      </c>
      <c r="M33" s="1">
        <f t="shared" si="17"/>
        <v>18594</v>
      </c>
      <c r="N33" s="1">
        <f>ROUND(196714/$J$28*J33,-1)+4</f>
        <v>18594</v>
      </c>
      <c r="O33" s="1"/>
      <c r="P33" s="1">
        <v>1389</v>
      </c>
      <c r="Q33" s="1"/>
      <c r="R33" s="1"/>
      <c r="S33" s="1"/>
      <c r="T33" s="1"/>
      <c r="U33" s="1"/>
      <c r="V33" s="55"/>
    </row>
    <row r="34" spans="1:22" s="14" customFormat="1" ht="55.2">
      <c r="A34" s="52" t="s">
        <v>41</v>
      </c>
      <c r="B34" s="11" t="s">
        <v>42</v>
      </c>
      <c r="C34" s="11"/>
      <c r="D34" s="50"/>
      <c r="E34" s="50"/>
      <c r="F34" s="49"/>
      <c r="G34" s="13">
        <f>SUBTOTAL(109,G35:G44)</f>
        <v>129289</v>
      </c>
      <c r="H34" s="13">
        <f>SUBTOTAL(109,H35:H44)</f>
        <v>48820</v>
      </c>
      <c r="I34" s="13">
        <f>SUBTOTAL(109,I35:I44)</f>
        <v>0</v>
      </c>
      <c r="J34" s="13"/>
      <c r="K34" s="13">
        <f t="shared" ref="K34:Q34" si="20">SUBTOTAL(109,K35:K44)</f>
        <v>0</v>
      </c>
      <c r="L34" s="13">
        <f t="shared" si="20"/>
        <v>170947</v>
      </c>
      <c r="M34" s="13">
        <f t="shared" si="20"/>
        <v>178109</v>
      </c>
      <c r="N34" s="13">
        <f t="shared" si="20"/>
        <v>163789</v>
      </c>
      <c r="O34" s="13">
        <f t="shared" si="20"/>
        <v>14320</v>
      </c>
      <c r="P34" s="13">
        <f t="shared" si="20"/>
        <v>29482</v>
      </c>
      <c r="Q34" s="13">
        <f t="shared" si="20"/>
        <v>0</v>
      </c>
      <c r="R34" s="13">
        <f t="shared" ref="R34:T34" si="21">SUBTOTAL(109,R35:R44)</f>
        <v>16892</v>
      </c>
      <c r="S34" s="13">
        <f t="shared" si="21"/>
        <v>13392</v>
      </c>
      <c r="T34" s="13">
        <f t="shared" si="21"/>
        <v>14316</v>
      </c>
      <c r="U34" s="13"/>
      <c r="V34" s="51"/>
    </row>
    <row r="35" spans="1:22" ht="41.4">
      <c r="A35" s="52"/>
      <c r="B35" s="35" t="s">
        <v>43</v>
      </c>
      <c r="C35" s="35"/>
      <c r="D35" s="52"/>
      <c r="E35" s="52"/>
      <c r="F35" s="49"/>
      <c r="G35" s="13">
        <f>SUBTOTAL(109,G36:G44)</f>
        <v>129289</v>
      </c>
      <c r="H35" s="13">
        <f>SUBTOTAL(109,H36:H44)</f>
        <v>48820</v>
      </c>
      <c r="I35" s="13">
        <f>SUBTOTAL(109,I36:I44)</f>
        <v>0</v>
      </c>
      <c r="J35" s="13"/>
      <c r="K35" s="13"/>
      <c r="L35" s="13">
        <f t="shared" ref="L35:T35" si="22">SUBTOTAL(109,L36:L44)</f>
        <v>170947</v>
      </c>
      <c r="M35" s="13">
        <f t="shared" si="22"/>
        <v>178109</v>
      </c>
      <c r="N35" s="13">
        <f t="shared" si="22"/>
        <v>163789</v>
      </c>
      <c r="O35" s="13">
        <f t="shared" si="22"/>
        <v>14320</v>
      </c>
      <c r="P35" s="13">
        <f t="shared" si="22"/>
        <v>29482</v>
      </c>
      <c r="Q35" s="13">
        <f t="shared" si="22"/>
        <v>0</v>
      </c>
      <c r="R35" s="13">
        <f t="shared" si="22"/>
        <v>16892</v>
      </c>
      <c r="S35" s="13">
        <f t="shared" si="22"/>
        <v>13392</v>
      </c>
      <c r="T35" s="13">
        <f t="shared" si="22"/>
        <v>14316</v>
      </c>
      <c r="U35" s="13"/>
      <c r="V35" s="51"/>
    </row>
    <row r="36" spans="1:22" ht="27.6">
      <c r="A36" s="52" t="s">
        <v>10</v>
      </c>
      <c r="B36" s="35" t="s">
        <v>44</v>
      </c>
      <c r="C36" s="35"/>
      <c r="D36" s="6" t="s">
        <v>45</v>
      </c>
      <c r="E36" s="52"/>
      <c r="F36" s="49"/>
      <c r="G36" s="13">
        <f>SUBTOTAL(109,G37:G41)</f>
        <v>93789</v>
      </c>
      <c r="H36" s="13">
        <f t="shared" ref="H36:I36" si="23">SUBTOTAL(109,H37:H41)</f>
        <v>48820</v>
      </c>
      <c r="I36" s="13">
        <f t="shared" si="23"/>
        <v>0</v>
      </c>
      <c r="J36" s="13">
        <f>SUBTOTAL(109,J37:J41)</f>
        <v>1432.9150000000002</v>
      </c>
      <c r="K36" s="36"/>
      <c r="L36" s="13">
        <f t="shared" ref="L36:Q36" si="24">SUBTOTAL(109,L37:L41)</f>
        <v>135447</v>
      </c>
      <c r="M36" s="13">
        <f t="shared" si="24"/>
        <v>142609</v>
      </c>
      <c r="N36" s="13">
        <f t="shared" si="24"/>
        <v>142609</v>
      </c>
      <c r="O36" s="13">
        <f t="shared" si="24"/>
        <v>0</v>
      </c>
      <c r="P36" s="13">
        <f t="shared" si="24"/>
        <v>24266</v>
      </c>
      <c r="Q36" s="13">
        <f t="shared" si="24"/>
        <v>0</v>
      </c>
      <c r="R36" s="13"/>
      <c r="S36" s="13"/>
      <c r="T36" s="13"/>
      <c r="U36" s="13"/>
      <c r="V36" s="51"/>
    </row>
    <row r="37" spans="1:22" ht="15.6">
      <c r="A37" s="4">
        <v>1</v>
      </c>
      <c r="B37" s="5" t="s">
        <v>12</v>
      </c>
      <c r="C37" s="5"/>
      <c r="D37" s="4" t="s">
        <v>14</v>
      </c>
      <c r="E37" s="4"/>
      <c r="F37" s="49"/>
      <c r="G37" s="42">
        <v>23126</v>
      </c>
      <c r="H37" s="1">
        <f>M37-G37</f>
        <v>12044</v>
      </c>
      <c r="I37" s="49"/>
      <c r="J37" s="1">
        <f>3*100+2*10+((35.93+45.45+29.76)*0.3)</f>
        <v>353.34199999999998</v>
      </c>
      <c r="K37" s="1"/>
      <c r="L37" s="1">
        <v>33400</v>
      </c>
      <c r="M37" s="1">
        <f t="shared" si="8"/>
        <v>35170</v>
      </c>
      <c r="N37" s="1">
        <f>ROUND((163789-21180)/$J$36*J37,-1)</f>
        <v>35170</v>
      </c>
      <c r="O37" s="1"/>
      <c r="P37" s="1">
        <v>5983</v>
      </c>
      <c r="Q37" s="1"/>
      <c r="R37" s="1">
        <f>J37*$R$36/$J$36</f>
        <v>0</v>
      </c>
      <c r="S37" s="1">
        <f>J37*$S$36/$J$36</f>
        <v>0</v>
      </c>
      <c r="T37" s="1"/>
      <c r="U37" s="1"/>
      <c r="V37" s="55" t="s">
        <v>40</v>
      </c>
    </row>
    <row r="38" spans="1:22" ht="15.6">
      <c r="A38" s="4">
        <v>2</v>
      </c>
      <c r="B38" s="5" t="s">
        <v>15</v>
      </c>
      <c r="C38" s="5"/>
      <c r="D38" s="6" t="s">
        <v>46</v>
      </c>
      <c r="E38" s="4"/>
      <c r="F38" s="49"/>
      <c r="G38" s="42">
        <v>11792</v>
      </c>
      <c r="H38" s="1">
        <f t="shared" ref="H38:H41" si="25">M38-G38</f>
        <v>6138</v>
      </c>
      <c r="I38" s="49"/>
      <c r="J38" s="1">
        <f>1*100+1*10+4*15+33.91*0.3</f>
        <v>180.173</v>
      </c>
      <c r="K38" s="1"/>
      <c r="L38" s="1">
        <v>17031</v>
      </c>
      <c r="M38" s="1">
        <f t="shared" si="8"/>
        <v>17930</v>
      </c>
      <c r="N38" s="1">
        <f>ROUND((163789-21180)/$J$36*J38,-1)</f>
        <v>17930</v>
      </c>
      <c r="O38" s="1"/>
      <c r="P38" s="1">
        <v>3051</v>
      </c>
      <c r="Q38" s="1"/>
      <c r="R38" s="1">
        <f>J38*$R$36/$J$36</f>
        <v>0</v>
      </c>
      <c r="S38" s="1">
        <f>J38*$S$36/$J$36</f>
        <v>0</v>
      </c>
      <c r="T38" s="1"/>
      <c r="U38" s="1"/>
      <c r="V38" s="55"/>
    </row>
    <row r="39" spans="1:22" ht="15.6">
      <c r="A39" s="4">
        <v>3</v>
      </c>
      <c r="B39" s="5" t="s">
        <v>17</v>
      </c>
      <c r="C39" s="5"/>
      <c r="D39" s="6" t="s">
        <v>47</v>
      </c>
      <c r="E39" s="4"/>
      <c r="F39" s="49"/>
      <c r="G39" s="42">
        <v>18677</v>
      </c>
      <c r="H39" s="1">
        <f t="shared" si="25"/>
        <v>9713</v>
      </c>
      <c r="I39" s="49"/>
      <c r="J39" s="1">
        <f>2*100+1*10+2*15+(72.6+78.4)*0.3</f>
        <v>285.3</v>
      </c>
      <c r="K39" s="1"/>
      <c r="L39" s="1">
        <v>26968</v>
      </c>
      <c r="M39" s="1">
        <f t="shared" si="8"/>
        <v>28390</v>
      </c>
      <c r="N39" s="1">
        <f>ROUND((163789-21180)/$J$36*J39,-1)</f>
        <v>28390</v>
      </c>
      <c r="O39" s="1"/>
      <c r="P39" s="1">
        <v>4832</v>
      </c>
      <c r="Q39" s="1"/>
      <c r="R39" s="1">
        <f>J39*$R$36/$J$36</f>
        <v>0</v>
      </c>
      <c r="S39" s="1">
        <f>J39*$S$36/$J$36</f>
        <v>0</v>
      </c>
      <c r="T39" s="1"/>
      <c r="U39" s="1"/>
      <c r="V39" s="55"/>
    </row>
    <row r="40" spans="1:22" ht="15.6">
      <c r="A40" s="4">
        <v>4</v>
      </c>
      <c r="B40" s="5" t="s">
        <v>19</v>
      </c>
      <c r="C40" s="5"/>
      <c r="D40" s="4" t="s">
        <v>48</v>
      </c>
      <c r="E40" s="4"/>
      <c r="F40" s="49"/>
      <c r="G40" s="42">
        <v>32735</v>
      </c>
      <c r="H40" s="1">
        <f t="shared" si="25"/>
        <v>17045</v>
      </c>
      <c r="I40" s="49"/>
      <c r="J40" s="1">
        <f>4*100+4*10+(79.13+81.56+18.93+20.88)*0.3</f>
        <v>500.15</v>
      </c>
      <c r="K40" s="1"/>
      <c r="L40" s="1">
        <v>47277</v>
      </c>
      <c r="M40" s="1">
        <f t="shared" si="8"/>
        <v>49780</v>
      </c>
      <c r="N40" s="1">
        <f>ROUND((163789-21180)/$J$36*J40,-1)</f>
        <v>49780</v>
      </c>
      <c r="O40" s="1"/>
      <c r="P40" s="1">
        <v>8470</v>
      </c>
      <c r="Q40" s="1"/>
      <c r="R40" s="1">
        <f>J40*$R$36/$J$36</f>
        <v>0</v>
      </c>
      <c r="S40" s="1">
        <f>J40*$S$36/$J$36</f>
        <v>0</v>
      </c>
      <c r="T40" s="1"/>
      <c r="U40" s="1"/>
      <c r="V40" s="55"/>
    </row>
    <row r="41" spans="1:22" ht="15.6">
      <c r="A41" s="4">
        <v>5</v>
      </c>
      <c r="B41" s="5" t="s">
        <v>21</v>
      </c>
      <c r="C41" s="5"/>
      <c r="D41" s="4" t="s">
        <v>49</v>
      </c>
      <c r="E41" s="4"/>
      <c r="F41" s="49"/>
      <c r="G41" s="45">
        <v>7459</v>
      </c>
      <c r="H41" s="1">
        <f t="shared" si="25"/>
        <v>3880</v>
      </c>
      <c r="I41" s="49"/>
      <c r="J41" s="1">
        <f>1*100+ 46.5*0.3</f>
        <v>113.95</v>
      </c>
      <c r="K41" s="1"/>
      <c r="L41" s="1">
        <v>10771</v>
      </c>
      <c r="M41" s="1">
        <f t="shared" si="8"/>
        <v>11339</v>
      </c>
      <c r="N41" s="1">
        <f>ROUND((163789-21180)/$J$36*J41,-1)-1</f>
        <v>11339</v>
      </c>
      <c r="O41" s="1"/>
      <c r="P41" s="1">
        <v>1930</v>
      </c>
      <c r="Q41" s="1"/>
      <c r="R41" s="1">
        <f>J41*$R$36/$J$36</f>
        <v>0</v>
      </c>
      <c r="S41" s="1">
        <f>J41*$S$36/$J$36</f>
        <v>0</v>
      </c>
      <c r="T41" s="1"/>
      <c r="U41" s="1"/>
      <c r="V41" s="55"/>
    </row>
    <row r="42" spans="1:22" s="14" customFormat="1" ht="27.6">
      <c r="A42" s="52" t="s">
        <v>23</v>
      </c>
      <c r="B42" s="35" t="s">
        <v>50</v>
      </c>
      <c r="C42" s="35"/>
      <c r="D42" s="52"/>
      <c r="E42" s="52"/>
      <c r="F42" s="51"/>
      <c r="G42" s="13">
        <f t="shared" ref="G42:T42" si="26">SUBTOTAL(109,G43:G44)</f>
        <v>35500</v>
      </c>
      <c r="H42" s="13">
        <f t="shared" si="26"/>
        <v>0</v>
      </c>
      <c r="I42" s="13">
        <f t="shared" si="26"/>
        <v>0</v>
      </c>
      <c r="J42" s="13">
        <f t="shared" si="26"/>
        <v>0</v>
      </c>
      <c r="K42" s="13">
        <f t="shared" si="26"/>
        <v>0</v>
      </c>
      <c r="L42" s="13">
        <f t="shared" si="26"/>
        <v>35500</v>
      </c>
      <c r="M42" s="13">
        <f t="shared" si="26"/>
        <v>35500</v>
      </c>
      <c r="N42" s="13">
        <f t="shared" si="26"/>
        <v>21180</v>
      </c>
      <c r="O42" s="13">
        <f t="shared" si="26"/>
        <v>14320</v>
      </c>
      <c r="P42" s="13">
        <f t="shared" si="26"/>
        <v>5216</v>
      </c>
      <c r="Q42" s="13">
        <f t="shared" si="26"/>
        <v>0</v>
      </c>
      <c r="R42" s="13">
        <f t="shared" si="26"/>
        <v>16892</v>
      </c>
      <c r="S42" s="13">
        <f t="shared" si="26"/>
        <v>13392</v>
      </c>
      <c r="T42" s="13">
        <f t="shared" si="26"/>
        <v>14316</v>
      </c>
      <c r="U42" s="13"/>
      <c r="V42" s="51"/>
    </row>
    <row r="43" spans="1:22" ht="41.4">
      <c r="A43" s="4">
        <v>1</v>
      </c>
      <c r="B43" s="5" t="s">
        <v>51</v>
      </c>
      <c r="C43" s="5" t="s">
        <v>118</v>
      </c>
      <c r="D43" s="4" t="s">
        <v>52</v>
      </c>
      <c r="E43" s="4"/>
      <c r="F43" s="49" t="s">
        <v>53</v>
      </c>
      <c r="G43" s="42">
        <v>5500</v>
      </c>
      <c r="H43" s="49"/>
      <c r="I43" s="49"/>
      <c r="J43" s="21"/>
      <c r="K43" s="1"/>
      <c r="L43" s="1">
        <v>5500</v>
      </c>
      <c r="M43" s="1">
        <f t="shared" si="8"/>
        <v>5500</v>
      </c>
      <c r="N43" s="1">
        <v>4400</v>
      </c>
      <c r="O43" s="1">
        <v>1100</v>
      </c>
      <c r="P43" s="1">
        <v>2000</v>
      </c>
      <c r="Q43" s="1"/>
      <c r="R43" s="1">
        <f>L43-(P43+Q43)</f>
        <v>3500</v>
      </c>
      <c r="S43" s="1"/>
      <c r="T43" s="1">
        <v>1100</v>
      </c>
      <c r="U43" s="1"/>
      <c r="V43" s="49" t="s">
        <v>18</v>
      </c>
    </row>
    <row r="44" spans="1:22" ht="41.4">
      <c r="A44" s="38">
        <v>2</v>
      </c>
      <c r="B44" s="39" t="s">
        <v>54</v>
      </c>
      <c r="C44" s="39" t="s">
        <v>119</v>
      </c>
      <c r="D44" s="4" t="s">
        <v>103</v>
      </c>
      <c r="E44" s="19"/>
      <c r="F44" s="49" t="s">
        <v>53</v>
      </c>
      <c r="G44" s="46">
        <v>30000</v>
      </c>
      <c r="H44" s="49"/>
      <c r="I44" s="49"/>
      <c r="J44" s="21"/>
      <c r="K44" s="1"/>
      <c r="L44" s="1">
        <v>30000</v>
      </c>
      <c r="M44" s="1">
        <f t="shared" si="8"/>
        <v>30000</v>
      </c>
      <c r="N44" s="1">
        <v>16780</v>
      </c>
      <c r="O44" s="1">
        <v>13220</v>
      </c>
      <c r="P44" s="1">
        <v>3216</v>
      </c>
      <c r="Q44" s="1"/>
      <c r="R44" s="1">
        <f>(L44-P44-Q44)/2</f>
        <v>13392</v>
      </c>
      <c r="S44" s="1">
        <f>R44</f>
        <v>13392</v>
      </c>
      <c r="T44" s="1">
        <v>13216</v>
      </c>
      <c r="U44" s="1"/>
      <c r="V44" s="41" t="s">
        <v>13</v>
      </c>
    </row>
    <row r="45" spans="1:22" s="14" customFormat="1" ht="27.6">
      <c r="A45" s="52" t="s">
        <v>57</v>
      </c>
      <c r="B45" s="11" t="s">
        <v>58</v>
      </c>
      <c r="C45" s="11"/>
      <c r="D45" s="50"/>
      <c r="E45" s="12"/>
      <c r="F45" s="51"/>
      <c r="G45" s="13">
        <f t="shared" ref="G45:T45" si="27">SUBTOTAL(109,G46:G52)</f>
        <v>19000</v>
      </c>
      <c r="H45" s="13">
        <f t="shared" si="27"/>
        <v>7737</v>
      </c>
      <c r="I45" s="13">
        <f t="shared" si="27"/>
        <v>0</v>
      </c>
      <c r="J45" s="13">
        <f t="shared" si="27"/>
        <v>324.34799999999996</v>
      </c>
      <c r="K45" s="13">
        <f t="shared" si="27"/>
        <v>0</v>
      </c>
      <c r="L45" s="13">
        <f t="shared" si="27"/>
        <v>26737</v>
      </c>
      <c r="M45" s="13">
        <f t="shared" si="27"/>
        <v>26737</v>
      </c>
      <c r="N45" s="13">
        <f t="shared" si="27"/>
        <v>26737</v>
      </c>
      <c r="O45" s="13">
        <f t="shared" si="27"/>
        <v>0</v>
      </c>
      <c r="P45" s="13">
        <f t="shared" si="27"/>
        <v>2170</v>
      </c>
      <c r="Q45" s="13">
        <f t="shared" si="27"/>
        <v>0</v>
      </c>
      <c r="R45" s="13">
        <f t="shared" si="27"/>
        <v>17197</v>
      </c>
      <c r="S45" s="13">
        <f t="shared" si="27"/>
        <v>7370</v>
      </c>
      <c r="T45" s="13">
        <f t="shared" si="27"/>
        <v>0</v>
      </c>
      <c r="U45" s="13"/>
      <c r="V45" s="13"/>
    </row>
    <row r="46" spans="1:22" s="14" customFormat="1" ht="69">
      <c r="A46" s="52"/>
      <c r="B46" s="11" t="s">
        <v>59</v>
      </c>
      <c r="C46" s="11"/>
      <c r="D46" s="50"/>
      <c r="E46" s="12"/>
      <c r="F46" s="51"/>
      <c r="G46" s="13">
        <f t="shared" ref="G46:T46" si="28">SUBTOTAL(109,G47:G52)</f>
        <v>19000</v>
      </c>
      <c r="H46" s="13">
        <f t="shared" si="28"/>
        <v>7737</v>
      </c>
      <c r="I46" s="13">
        <f t="shared" si="28"/>
        <v>0</v>
      </c>
      <c r="J46" s="13">
        <f t="shared" si="28"/>
        <v>324.34799999999996</v>
      </c>
      <c r="K46" s="13">
        <f t="shared" si="28"/>
        <v>0</v>
      </c>
      <c r="L46" s="13">
        <f t="shared" si="28"/>
        <v>26737</v>
      </c>
      <c r="M46" s="13">
        <f t="shared" si="28"/>
        <v>26737</v>
      </c>
      <c r="N46" s="13">
        <f t="shared" si="28"/>
        <v>26737</v>
      </c>
      <c r="O46" s="13">
        <f t="shared" si="28"/>
        <v>0</v>
      </c>
      <c r="P46" s="13">
        <f t="shared" si="28"/>
        <v>2170</v>
      </c>
      <c r="Q46" s="13">
        <f t="shared" si="28"/>
        <v>0</v>
      </c>
      <c r="R46" s="13">
        <f t="shared" si="28"/>
        <v>17197</v>
      </c>
      <c r="S46" s="13">
        <f t="shared" si="28"/>
        <v>7370</v>
      </c>
      <c r="T46" s="13">
        <f t="shared" si="28"/>
        <v>0</v>
      </c>
      <c r="U46" s="13"/>
      <c r="V46" s="13"/>
    </row>
    <row r="47" spans="1:22" s="14" customFormat="1" ht="41.4" hidden="1">
      <c r="A47" s="4">
        <v>1</v>
      </c>
      <c r="B47" s="16" t="s">
        <v>89</v>
      </c>
      <c r="C47" s="16" t="s">
        <v>120</v>
      </c>
      <c r="D47" s="6"/>
      <c r="E47" s="12"/>
      <c r="F47" s="49" t="s">
        <v>53</v>
      </c>
      <c r="G47" s="44">
        <v>7000</v>
      </c>
      <c r="H47" s="1">
        <f>M47-G47</f>
        <v>0</v>
      </c>
      <c r="I47" s="49"/>
      <c r="J47" s="1">
        <v>85</v>
      </c>
      <c r="K47" s="1"/>
      <c r="L47" s="1">
        <f t="shared" ref="L47:L52" si="29">N47+T47</f>
        <v>7000</v>
      </c>
      <c r="M47" s="1">
        <f t="shared" si="8"/>
        <v>7000</v>
      </c>
      <c r="N47" s="1">
        <v>7000</v>
      </c>
      <c r="O47" s="1"/>
      <c r="P47" s="1">
        <v>1921</v>
      </c>
      <c r="Q47" s="1"/>
      <c r="R47" s="1">
        <f>(N47-P47-Q47)</f>
        <v>5079</v>
      </c>
      <c r="S47" s="1"/>
      <c r="T47" s="1"/>
      <c r="U47" s="1"/>
      <c r="V47" s="49" t="s">
        <v>16</v>
      </c>
    </row>
    <row r="48" spans="1:22" s="14" customFormat="1" ht="41.4" hidden="1">
      <c r="A48" s="4">
        <v>2</v>
      </c>
      <c r="B48" s="16" t="s">
        <v>90</v>
      </c>
      <c r="C48" s="16" t="s">
        <v>118</v>
      </c>
      <c r="D48" s="6"/>
      <c r="E48" s="12"/>
      <c r="F48" s="49" t="s">
        <v>53</v>
      </c>
      <c r="G48" s="44">
        <v>7000</v>
      </c>
      <c r="H48" s="1">
        <f t="shared" ref="H48:H52" si="30">M48-G48</f>
        <v>0</v>
      </c>
      <c r="I48" s="49"/>
      <c r="J48" s="1">
        <v>85</v>
      </c>
      <c r="K48" s="1"/>
      <c r="L48" s="1">
        <f t="shared" si="29"/>
        <v>7000</v>
      </c>
      <c r="M48" s="1">
        <f t="shared" si="8"/>
        <v>7000</v>
      </c>
      <c r="N48" s="1">
        <v>7000</v>
      </c>
      <c r="O48" s="1"/>
      <c r="P48" s="1">
        <v>1921</v>
      </c>
      <c r="Q48" s="1"/>
      <c r="R48" s="1">
        <f t="shared" ref="R48:R51" si="31">(N48-P48-Q48)</f>
        <v>5079</v>
      </c>
      <c r="S48" s="1"/>
      <c r="T48" s="1"/>
      <c r="U48" s="1"/>
      <c r="V48" s="49" t="s">
        <v>104</v>
      </c>
    </row>
    <row r="49" spans="1:22" s="14" customFormat="1" ht="27.6" hidden="1">
      <c r="A49" s="4">
        <v>3</v>
      </c>
      <c r="B49" s="16" t="s">
        <v>91</v>
      </c>
      <c r="C49" s="16" t="s">
        <v>121</v>
      </c>
      <c r="D49" s="6"/>
      <c r="E49" s="12"/>
      <c r="F49" s="49" t="s">
        <v>53</v>
      </c>
      <c r="G49" s="44">
        <v>7000</v>
      </c>
      <c r="H49" s="1">
        <f t="shared" si="30"/>
        <v>0</v>
      </c>
      <c r="I49" s="49"/>
      <c r="J49" s="1">
        <v>85</v>
      </c>
      <c r="K49" s="1"/>
      <c r="L49" s="1">
        <f t="shared" si="29"/>
        <v>7000</v>
      </c>
      <c r="M49" s="1">
        <f t="shared" si="8"/>
        <v>7000</v>
      </c>
      <c r="N49" s="1">
        <v>7000</v>
      </c>
      <c r="O49" s="1"/>
      <c r="P49" s="1">
        <v>1921</v>
      </c>
      <c r="Q49" s="1"/>
      <c r="R49" s="1">
        <f t="shared" si="31"/>
        <v>5079</v>
      </c>
      <c r="S49" s="1"/>
      <c r="T49" s="1"/>
      <c r="U49" s="1"/>
      <c r="V49" s="49" t="s">
        <v>20</v>
      </c>
    </row>
    <row r="50" spans="1:22" s="14" customFormat="1" ht="41.4" hidden="1">
      <c r="A50" s="4">
        <v>4</v>
      </c>
      <c r="B50" s="16" t="s">
        <v>92</v>
      </c>
      <c r="C50" s="16" t="s">
        <v>117</v>
      </c>
      <c r="D50" s="6"/>
      <c r="E50" s="12"/>
      <c r="F50" s="49" t="s">
        <v>53</v>
      </c>
      <c r="G50" s="44">
        <v>7000</v>
      </c>
      <c r="H50" s="1">
        <f t="shared" si="30"/>
        <v>0</v>
      </c>
      <c r="I50" s="49"/>
      <c r="J50" s="1">
        <v>85.063999999999993</v>
      </c>
      <c r="K50" s="1"/>
      <c r="L50" s="1">
        <f t="shared" si="29"/>
        <v>7000</v>
      </c>
      <c r="M50" s="1">
        <f t="shared" si="8"/>
        <v>7000</v>
      </c>
      <c r="N50" s="1">
        <v>7000</v>
      </c>
      <c r="O50" s="1"/>
      <c r="P50" s="1">
        <v>1920</v>
      </c>
      <c r="Q50" s="1"/>
      <c r="R50" s="1">
        <f t="shared" si="31"/>
        <v>5080</v>
      </c>
      <c r="S50" s="1"/>
      <c r="T50" s="1"/>
      <c r="U50" s="1"/>
      <c r="V50" s="49" t="s">
        <v>22</v>
      </c>
    </row>
    <row r="51" spans="1:22" s="14" customFormat="1" ht="41.4">
      <c r="A51" s="4">
        <v>1</v>
      </c>
      <c r="B51" s="16" t="s">
        <v>93</v>
      </c>
      <c r="C51" s="16" t="s">
        <v>122</v>
      </c>
      <c r="D51" s="6"/>
      <c r="E51" s="12"/>
      <c r="F51" s="49" t="s">
        <v>53</v>
      </c>
      <c r="G51" s="44">
        <v>7000</v>
      </c>
      <c r="H51" s="1">
        <f t="shared" si="30"/>
        <v>4747</v>
      </c>
      <c r="I51" s="49"/>
      <c r="J51" s="1">
        <v>144</v>
      </c>
      <c r="K51" s="1"/>
      <c r="L51" s="1">
        <f t="shared" si="29"/>
        <v>11747</v>
      </c>
      <c r="M51" s="1">
        <f t="shared" si="8"/>
        <v>11747</v>
      </c>
      <c r="N51" s="1">
        <f>7000+4747</f>
        <v>11747</v>
      </c>
      <c r="O51" s="1"/>
      <c r="P51" s="1">
        <v>1920</v>
      </c>
      <c r="Q51" s="1"/>
      <c r="R51" s="1">
        <f t="shared" si="31"/>
        <v>9827</v>
      </c>
      <c r="S51" s="1"/>
      <c r="T51" s="1"/>
      <c r="U51" s="1"/>
      <c r="V51" s="49" t="s">
        <v>61</v>
      </c>
    </row>
    <row r="52" spans="1:22" s="14" customFormat="1" ht="27.6">
      <c r="A52" s="4">
        <v>2</v>
      </c>
      <c r="B52" s="18" t="s">
        <v>62</v>
      </c>
      <c r="C52" s="18" t="s">
        <v>123</v>
      </c>
      <c r="D52" s="6"/>
      <c r="E52" s="19"/>
      <c r="F52" s="49" t="s">
        <v>55</v>
      </c>
      <c r="G52" s="44">
        <v>12000</v>
      </c>
      <c r="H52" s="1">
        <f t="shared" si="30"/>
        <v>2990</v>
      </c>
      <c r="I52" s="49"/>
      <c r="J52" s="1">
        <v>180.34799999999998</v>
      </c>
      <c r="K52" s="1"/>
      <c r="L52" s="1">
        <f t="shared" si="29"/>
        <v>14990</v>
      </c>
      <c r="M52" s="1">
        <f t="shared" si="8"/>
        <v>14990</v>
      </c>
      <c r="N52" s="1">
        <f>12000+2990</f>
        <v>14990</v>
      </c>
      <c r="O52" s="1"/>
      <c r="P52" s="1">
        <v>250</v>
      </c>
      <c r="Q52" s="1"/>
      <c r="R52" s="1">
        <f>(N52-P52-Q52)/2</f>
        <v>7370</v>
      </c>
      <c r="S52" s="1">
        <f>R52</f>
        <v>7370</v>
      </c>
      <c r="T52" s="1"/>
      <c r="U52" s="1"/>
      <c r="V52" s="49" t="s">
        <v>63</v>
      </c>
    </row>
    <row r="53" spans="1:22" s="14" customFormat="1" ht="41.4">
      <c r="A53" s="52" t="s">
        <v>64</v>
      </c>
      <c r="B53" s="11" t="s">
        <v>65</v>
      </c>
      <c r="C53" s="11"/>
      <c r="D53" s="50"/>
      <c r="E53" s="12"/>
      <c r="F53" s="49"/>
      <c r="G53" s="13"/>
      <c r="H53" s="13">
        <f>M53</f>
        <v>43683</v>
      </c>
      <c r="I53" s="13"/>
      <c r="J53" s="36">
        <f>J54+J55+J61+J62</f>
        <v>412</v>
      </c>
      <c r="K53" s="15">
        <f>N53/J53</f>
        <v>104.08980582524272</v>
      </c>
      <c r="L53" s="13">
        <f>SUBTOTAL(109,L54:L62)</f>
        <v>31183</v>
      </c>
      <c r="M53" s="13">
        <f>SUBTOTAL(109,M54:M64)</f>
        <v>43683</v>
      </c>
      <c r="N53" s="13">
        <f>SUBTOTAL(109,N54:N64)</f>
        <v>42885</v>
      </c>
      <c r="O53" s="13">
        <f>SUBTOTAL(109,O54:O64)</f>
        <v>798</v>
      </c>
      <c r="P53" s="13">
        <f t="shared" ref="P53" si="32">SUBTOTAL(109,P54:P62)</f>
        <v>7739</v>
      </c>
      <c r="Q53" s="13">
        <f t="shared" ref="Q53:T53" si="33">SUBTOTAL(109,Q54:Q62)</f>
        <v>10449.173913043478</v>
      </c>
      <c r="R53" s="13">
        <f t="shared" si="33"/>
        <v>6535</v>
      </c>
      <c r="S53" s="13">
        <f t="shared" si="33"/>
        <v>6535</v>
      </c>
      <c r="T53" s="13">
        <f t="shared" si="33"/>
        <v>798</v>
      </c>
      <c r="U53" s="13"/>
      <c r="V53" s="51"/>
    </row>
    <row r="54" spans="1:22" ht="55.2">
      <c r="A54" s="4" t="s">
        <v>10</v>
      </c>
      <c r="B54" s="18" t="s">
        <v>66</v>
      </c>
      <c r="C54" s="18"/>
      <c r="D54" s="6" t="s">
        <v>67</v>
      </c>
      <c r="E54" s="19"/>
      <c r="F54" s="49"/>
      <c r="G54" s="49"/>
      <c r="H54" s="49"/>
      <c r="I54" s="49"/>
      <c r="J54" s="21">
        <f>2*7</f>
        <v>14</v>
      </c>
      <c r="K54" s="1"/>
      <c r="L54" s="1">
        <v>2258</v>
      </c>
      <c r="M54" s="1">
        <f t="shared" ref="M54:M80" si="34">N54+O54</f>
        <v>2258</v>
      </c>
      <c r="N54" s="1">
        <f>ROUND((42885)/$J$53*J54,-1)</f>
        <v>1460</v>
      </c>
      <c r="O54" s="1">
        <v>798</v>
      </c>
      <c r="P54" s="1">
        <v>2258</v>
      </c>
      <c r="Q54" s="1">
        <v>0</v>
      </c>
      <c r="R54" s="9"/>
      <c r="S54" s="9"/>
      <c r="T54" s="9">
        <f>L54-N54</f>
        <v>798</v>
      </c>
      <c r="U54" s="9"/>
      <c r="V54" s="49" t="s">
        <v>13</v>
      </c>
    </row>
    <row r="55" spans="1:22" ht="41.4">
      <c r="A55" s="4" t="s">
        <v>146</v>
      </c>
      <c r="B55" s="18" t="s">
        <v>68</v>
      </c>
      <c r="C55" s="18"/>
      <c r="D55" s="6" t="s">
        <v>88</v>
      </c>
      <c r="E55" s="19"/>
      <c r="F55" s="49"/>
      <c r="G55" s="49"/>
      <c r="H55" s="49"/>
      <c r="I55" s="49"/>
      <c r="J55" s="1">
        <f t="shared" ref="J55:K55" si="35">SUBTOTAL(109,J56:J60)</f>
        <v>158</v>
      </c>
      <c r="K55" s="1">
        <f t="shared" si="35"/>
        <v>0</v>
      </c>
      <c r="L55" s="1">
        <f>SUBTOTAL(109,L56:L60)</f>
        <v>16435</v>
      </c>
      <c r="M55" s="1">
        <f>SUBTOTAL(109,M56:M60)</f>
        <v>16435</v>
      </c>
      <c r="N55" s="1">
        <f>SUBTOTAL(109,N56:N60)</f>
        <v>16435</v>
      </c>
      <c r="O55" s="1">
        <f>SUBTOTAL(109,O56:O60)</f>
        <v>0</v>
      </c>
      <c r="P55" s="1">
        <f t="shared" ref="P55:T55" si="36">SUBTOTAL(109,P56:P60)</f>
        <v>5481</v>
      </c>
      <c r="Q55" s="1">
        <f t="shared" si="36"/>
        <v>5938.7391304347821</v>
      </c>
      <c r="R55" s="1">
        <f t="shared" si="36"/>
        <v>2545.217391304348</v>
      </c>
      <c r="S55" s="1">
        <f t="shared" si="36"/>
        <v>2545.217391304348</v>
      </c>
      <c r="T55" s="1">
        <f t="shared" si="36"/>
        <v>0</v>
      </c>
      <c r="U55" s="1"/>
      <c r="V55" s="49"/>
    </row>
    <row r="56" spans="1:22">
      <c r="A56" s="4">
        <v>1</v>
      </c>
      <c r="B56" s="18" t="s">
        <v>60</v>
      </c>
      <c r="C56" s="18"/>
      <c r="D56" s="6">
        <v>21</v>
      </c>
      <c r="E56" s="19"/>
      <c r="F56" s="49"/>
      <c r="G56" s="49"/>
      <c r="H56" s="49"/>
      <c r="I56" s="49"/>
      <c r="J56" s="17">
        <f>D56*2</f>
        <v>42</v>
      </c>
      <c r="K56" s="1"/>
      <c r="L56" s="1">
        <f t="shared" ref="L56:L61" si="37">N56+T56</f>
        <v>4370</v>
      </c>
      <c r="M56" s="1">
        <f t="shared" si="34"/>
        <v>4370</v>
      </c>
      <c r="N56" s="1">
        <f>ROUND((42885)/$J$53*J56,-1)</f>
        <v>4370</v>
      </c>
      <c r="O56" s="1"/>
      <c r="P56" s="1">
        <v>1128</v>
      </c>
      <c r="Q56" s="1">
        <f>10374/(156+120)*J56</f>
        <v>1578.6521739130435</v>
      </c>
      <c r="R56" s="9">
        <f t="shared" ref="R56:R61" si="38">(N56-P56-Q56)/2</f>
        <v>831.67391304347825</v>
      </c>
      <c r="S56" s="9">
        <f t="shared" ref="S56:S61" si="39">R56</f>
        <v>831.67391304347825</v>
      </c>
      <c r="T56" s="9"/>
      <c r="U56" s="9"/>
      <c r="V56" s="55" t="s">
        <v>40</v>
      </c>
    </row>
    <row r="57" spans="1:22">
      <c r="A57" s="4">
        <v>2</v>
      </c>
      <c r="B57" s="18" t="s">
        <v>15</v>
      </c>
      <c r="C57" s="18"/>
      <c r="D57" s="6">
        <v>19</v>
      </c>
      <c r="E57" s="19"/>
      <c r="F57" s="49"/>
      <c r="G57" s="49"/>
      <c r="H57" s="49"/>
      <c r="I57" s="49"/>
      <c r="J57" s="17">
        <f>D57*2</f>
        <v>38</v>
      </c>
      <c r="K57" s="1"/>
      <c r="L57" s="1">
        <f t="shared" si="37"/>
        <v>3960</v>
      </c>
      <c r="M57" s="1">
        <f t="shared" si="34"/>
        <v>3960</v>
      </c>
      <c r="N57" s="1">
        <f>ROUND((42885)/$J$53*J57,-1)</f>
        <v>3960</v>
      </c>
      <c r="O57" s="1"/>
      <c r="P57" s="1">
        <v>1021</v>
      </c>
      <c r="Q57" s="1">
        <f t="shared" ref="Q57:Q61" si="40">10374/(156+120)*J57</f>
        <v>1428.304347826087</v>
      </c>
      <c r="R57" s="9">
        <f t="shared" si="38"/>
        <v>755.3478260869565</v>
      </c>
      <c r="S57" s="9">
        <f t="shared" si="39"/>
        <v>755.3478260869565</v>
      </c>
      <c r="T57" s="9"/>
      <c r="U57" s="9"/>
      <c r="V57" s="55"/>
    </row>
    <row r="58" spans="1:22">
      <c r="A58" s="4">
        <v>3</v>
      </c>
      <c r="B58" s="18" t="s">
        <v>69</v>
      </c>
      <c r="C58" s="18"/>
      <c r="D58" s="6">
        <v>21</v>
      </c>
      <c r="E58" s="19"/>
      <c r="F58" s="49"/>
      <c r="G58" s="49"/>
      <c r="H58" s="49"/>
      <c r="I58" s="49"/>
      <c r="J58" s="17">
        <f>D58*2</f>
        <v>42</v>
      </c>
      <c r="K58" s="1"/>
      <c r="L58" s="1">
        <f t="shared" si="37"/>
        <v>4370</v>
      </c>
      <c r="M58" s="1">
        <f t="shared" si="34"/>
        <v>4370</v>
      </c>
      <c r="N58" s="1">
        <f>ROUND((42885)/$J$53*J58,-1)</f>
        <v>4370</v>
      </c>
      <c r="O58" s="1"/>
      <c r="P58" s="1">
        <v>1182</v>
      </c>
      <c r="Q58" s="1">
        <f t="shared" si="40"/>
        <v>1578.6521739130435</v>
      </c>
      <c r="R58" s="9">
        <f t="shared" si="38"/>
        <v>804.67391304347825</v>
      </c>
      <c r="S58" s="9">
        <f t="shared" si="39"/>
        <v>804.67391304347825</v>
      </c>
      <c r="T58" s="9"/>
      <c r="U58" s="9"/>
      <c r="V58" s="55"/>
    </row>
    <row r="59" spans="1:22">
      <c r="A59" s="4">
        <v>4</v>
      </c>
      <c r="B59" s="18" t="s">
        <v>19</v>
      </c>
      <c r="C59" s="18"/>
      <c r="D59" s="6">
        <v>17</v>
      </c>
      <c r="E59" s="19"/>
      <c r="F59" s="49"/>
      <c r="G59" s="49"/>
      <c r="H59" s="49"/>
      <c r="I59" s="49"/>
      <c r="J59" s="17">
        <f>D59*2</f>
        <v>34</v>
      </c>
      <c r="K59" s="1"/>
      <c r="L59" s="1">
        <f t="shared" si="37"/>
        <v>3519</v>
      </c>
      <c r="M59" s="1">
        <f t="shared" si="34"/>
        <v>3519</v>
      </c>
      <c r="N59" s="1">
        <f>ROUND((42885)/$J$53*J59,-1)-21</f>
        <v>3519</v>
      </c>
      <c r="O59" s="1"/>
      <c r="P59" s="1">
        <v>1934</v>
      </c>
      <c r="Q59" s="1">
        <f t="shared" si="40"/>
        <v>1277.9565217391305</v>
      </c>
      <c r="R59" s="9">
        <f t="shared" si="38"/>
        <v>153.52173913043475</v>
      </c>
      <c r="S59" s="9">
        <f t="shared" si="39"/>
        <v>153.52173913043475</v>
      </c>
      <c r="T59" s="9"/>
      <c r="U59" s="9"/>
      <c r="V59" s="55"/>
    </row>
    <row r="60" spans="1:22">
      <c r="A60" s="4">
        <v>5</v>
      </c>
      <c r="B60" s="18" t="s">
        <v>21</v>
      </c>
      <c r="C60" s="18"/>
      <c r="D60" s="54">
        <v>1</v>
      </c>
      <c r="E60" s="19"/>
      <c r="F60" s="49"/>
      <c r="G60" s="49"/>
      <c r="H60" s="49"/>
      <c r="I60" s="49"/>
      <c r="J60" s="17">
        <f>D60*2</f>
        <v>2</v>
      </c>
      <c r="K60" s="1"/>
      <c r="L60" s="1">
        <f t="shared" si="37"/>
        <v>216</v>
      </c>
      <c r="M60" s="1">
        <f t="shared" si="34"/>
        <v>216</v>
      </c>
      <c r="N60" s="1">
        <f>ROUND((42885)/$J$53*J60,-1)+6</f>
        <v>216</v>
      </c>
      <c r="O60" s="1"/>
      <c r="P60" s="1">
        <v>216</v>
      </c>
      <c r="Q60" s="1">
        <f t="shared" si="40"/>
        <v>75.173913043478265</v>
      </c>
      <c r="R60" s="9"/>
      <c r="S60" s="9"/>
      <c r="T60" s="9"/>
      <c r="U60" s="9"/>
      <c r="V60" s="55"/>
    </row>
    <row r="61" spans="1:22" ht="55.2">
      <c r="A61" s="4" t="s">
        <v>147</v>
      </c>
      <c r="B61" s="18" t="s">
        <v>70</v>
      </c>
      <c r="C61" s="18"/>
      <c r="D61" s="6" t="s">
        <v>71</v>
      </c>
      <c r="E61" s="19"/>
      <c r="F61" s="49"/>
      <c r="G61" s="49"/>
      <c r="H61" s="49"/>
      <c r="I61" s="49"/>
      <c r="J61" s="17">
        <f>2*60</f>
        <v>120</v>
      </c>
      <c r="K61" s="1"/>
      <c r="L61" s="1">
        <f t="shared" si="37"/>
        <v>12490</v>
      </c>
      <c r="M61" s="1">
        <f t="shared" si="34"/>
        <v>12490</v>
      </c>
      <c r="N61" s="1">
        <f>ROUND((42885)/$J$53*J61,-1)</f>
        <v>12490</v>
      </c>
      <c r="O61" s="1"/>
      <c r="P61" s="1"/>
      <c r="Q61" s="1">
        <f t="shared" si="40"/>
        <v>4510.434782608696</v>
      </c>
      <c r="R61" s="9">
        <f t="shared" si="38"/>
        <v>3989.782608695652</v>
      </c>
      <c r="S61" s="9">
        <f t="shared" si="39"/>
        <v>3989.782608695652</v>
      </c>
      <c r="T61" s="9"/>
      <c r="U61" s="9"/>
      <c r="V61" s="49" t="s">
        <v>145</v>
      </c>
    </row>
    <row r="62" spans="1:22" ht="41.4">
      <c r="A62" s="4" t="s">
        <v>148</v>
      </c>
      <c r="B62" s="18" t="s">
        <v>150</v>
      </c>
      <c r="C62" s="18"/>
      <c r="D62" s="6" t="s">
        <v>102</v>
      </c>
      <c r="E62" s="19"/>
      <c r="F62" s="49"/>
      <c r="G62" s="49"/>
      <c r="H62" s="49"/>
      <c r="I62" s="49"/>
      <c r="J62" s="1">
        <f t="shared" ref="J62:L62" si="41">SUBTOTAL(109,J63:J64)</f>
        <v>120</v>
      </c>
      <c r="K62" s="1">
        <f t="shared" si="41"/>
        <v>0</v>
      </c>
      <c r="L62" s="1">
        <f t="shared" si="41"/>
        <v>12500</v>
      </c>
      <c r="M62" s="1">
        <f>SUBTOTAL(109,M63:M64)</f>
        <v>12500</v>
      </c>
      <c r="N62" s="1">
        <f>SUBTOTAL(109,N63:N64)</f>
        <v>12500</v>
      </c>
      <c r="O62" s="1"/>
      <c r="P62" s="1"/>
      <c r="Q62" s="1"/>
      <c r="R62" s="9"/>
      <c r="S62" s="9"/>
      <c r="T62" s="9"/>
      <c r="U62" s="9"/>
      <c r="V62" s="49"/>
    </row>
    <row r="63" spans="1:22" ht="27.6">
      <c r="A63" s="4">
        <v>1</v>
      </c>
      <c r="B63" s="18" t="s">
        <v>153</v>
      </c>
      <c r="C63" s="6" t="s">
        <v>121</v>
      </c>
      <c r="D63" s="6"/>
      <c r="E63" s="19"/>
      <c r="F63" s="49" t="s">
        <v>149</v>
      </c>
      <c r="G63" s="49"/>
      <c r="H63" s="49"/>
      <c r="I63" s="49"/>
      <c r="J63" s="17">
        <v>60</v>
      </c>
      <c r="K63" s="1"/>
      <c r="L63" s="1">
        <f>M63</f>
        <v>6250</v>
      </c>
      <c r="M63" s="1">
        <f t="shared" si="34"/>
        <v>6250</v>
      </c>
      <c r="N63" s="1">
        <f>ROUND((42885)/$J$53*J63,-1)</f>
        <v>6250</v>
      </c>
      <c r="O63" s="1"/>
      <c r="P63" s="1"/>
      <c r="Q63" s="1"/>
      <c r="R63" s="9"/>
      <c r="S63" s="9"/>
      <c r="T63" s="9"/>
      <c r="U63" s="9"/>
      <c r="V63" s="49"/>
    </row>
    <row r="64" spans="1:22" ht="41.4">
      <c r="A64" s="4">
        <v>2</v>
      </c>
      <c r="B64" s="18" t="s">
        <v>151</v>
      </c>
      <c r="C64" s="6" t="s">
        <v>152</v>
      </c>
      <c r="D64" s="6"/>
      <c r="E64" s="19"/>
      <c r="F64" s="49" t="s">
        <v>149</v>
      </c>
      <c r="G64" s="49"/>
      <c r="H64" s="49"/>
      <c r="I64" s="49"/>
      <c r="J64" s="17">
        <v>60</v>
      </c>
      <c r="K64" s="1"/>
      <c r="L64" s="1">
        <f t="shared" ref="L64" si="42">M64</f>
        <v>6250</v>
      </c>
      <c r="M64" s="1">
        <f t="shared" si="34"/>
        <v>6250</v>
      </c>
      <c r="N64" s="1">
        <f>ROUND((42885)/$J$53*J64,-1)</f>
        <v>6250</v>
      </c>
      <c r="O64" s="1"/>
      <c r="P64" s="1"/>
      <c r="Q64" s="1"/>
      <c r="R64" s="9"/>
      <c r="S64" s="9"/>
      <c r="T64" s="9"/>
      <c r="U64" s="9"/>
      <c r="V64" s="49"/>
    </row>
    <row r="65" spans="1:22" s="14" customFormat="1" ht="27.6">
      <c r="A65" s="52" t="s">
        <v>127</v>
      </c>
      <c r="B65" s="11" t="s">
        <v>72</v>
      </c>
      <c r="C65" s="11"/>
      <c r="D65" s="50"/>
      <c r="E65" s="50"/>
      <c r="F65" s="51"/>
      <c r="G65" s="13">
        <f>SUBTOTAL(109,G66:G73)</f>
        <v>173186</v>
      </c>
      <c r="H65" s="13">
        <f>SUBTOTAL(109,H66:H73)</f>
        <v>45000</v>
      </c>
      <c r="I65" s="13">
        <f>SUBTOTAL(109,I66:I73)</f>
        <v>0</v>
      </c>
      <c r="J65" s="13"/>
      <c r="K65" s="13">
        <f t="shared" ref="K65:T65" si="43">SUBTOTAL(109,K66:K73)</f>
        <v>0</v>
      </c>
      <c r="L65" s="13">
        <f t="shared" si="43"/>
        <v>218186</v>
      </c>
      <c r="M65" s="13">
        <f t="shared" si="43"/>
        <v>218186</v>
      </c>
      <c r="N65" s="13">
        <f t="shared" si="43"/>
        <v>218186</v>
      </c>
      <c r="O65" s="13">
        <f t="shared" si="43"/>
        <v>0</v>
      </c>
      <c r="P65" s="13">
        <f t="shared" si="43"/>
        <v>39273</v>
      </c>
      <c r="Q65" s="13">
        <f t="shared" si="43"/>
        <v>0</v>
      </c>
      <c r="R65" s="13">
        <f t="shared" si="43"/>
        <v>97591</v>
      </c>
      <c r="S65" s="13">
        <f t="shared" si="43"/>
        <v>66864</v>
      </c>
      <c r="T65" s="13">
        <f t="shared" si="43"/>
        <v>0</v>
      </c>
      <c r="U65" s="13"/>
      <c r="V65" s="51"/>
    </row>
    <row r="66" spans="1:22" ht="41.4">
      <c r="A66" s="52"/>
      <c r="B66" s="11" t="s">
        <v>73</v>
      </c>
      <c r="C66" s="11"/>
      <c r="D66" s="50" t="s">
        <v>74</v>
      </c>
      <c r="E66" s="50"/>
      <c r="F66" s="49"/>
      <c r="G66" s="13">
        <f>SUBTOTAL(109,G67:G73)</f>
        <v>173186</v>
      </c>
      <c r="H66" s="13">
        <f>SUBTOTAL(109,H67:H73)</f>
        <v>45000</v>
      </c>
      <c r="I66" s="13">
        <f>SUBTOTAL(109,I67:I73)</f>
        <v>0</v>
      </c>
      <c r="J66" s="13">
        <f>SUBTOTAL(109,J67:J69)</f>
        <v>1804</v>
      </c>
      <c r="K66" s="36"/>
      <c r="L66" s="13">
        <f t="shared" ref="L66:T66" si="44">SUBTOTAL(109,L67:L73)</f>
        <v>218186</v>
      </c>
      <c r="M66" s="13">
        <f t="shared" si="44"/>
        <v>218186</v>
      </c>
      <c r="N66" s="13">
        <f t="shared" si="44"/>
        <v>218186</v>
      </c>
      <c r="O66" s="13">
        <f t="shared" si="44"/>
        <v>0</v>
      </c>
      <c r="P66" s="13">
        <f t="shared" si="44"/>
        <v>39273</v>
      </c>
      <c r="Q66" s="13">
        <f t="shared" si="44"/>
        <v>0</v>
      </c>
      <c r="R66" s="13">
        <f t="shared" si="44"/>
        <v>97591</v>
      </c>
      <c r="S66" s="13">
        <f t="shared" si="44"/>
        <v>66864</v>
      </c>
      <c r="T66" s="13">
        <f t="shared" si="44"/>
        <v>0</v>
      </c>
      <c r="U66" s="13"/>
      <c r="V66" s="51"/>
    </row>
    <row r="67" spans="1:22" ht="18.75" customHeight="1">
      <c r="A67" s="4" t="s">
        <v>10</v>
      </c>
      <c r="B67" s="5" t="s">
        <v>17</v>
      </c>
      <c r="C67" s="5"/>
      <c r="D67" s="4" t="s">
        <v>75</v>
      </c>
      <c r="E67" s="4">
        <v>1</v>
      </c>
      <c r="F67" s="49"/>
      <c r="G67" s="1">
        <v>6409</v>
      </c>
      <c r="H67" s="1">
        <f>M67-G67</f>
        <v>3511</v>
      </c>
      <c r="I67" s="49"/>
      <c r="J67" s="1">
        <f>1*82</f>
        <v>82</v>
      </c>
      <c r="K67" s="1"/>
      <c r="L67" s="1">
        <f>N67</f>
        <v>9920</v>
      </c>
      <c r="M67" s="1">
        <f t="shared" si="34"/>
        <v>9920</v>
      </c>
      <c r="N67" s="1">
        <f>ROUND(218186/1804*J67,-1)</f>
        <v>9920</v>
      </c>
      <c r="O67" s="1"/>
      <c r="P67" s="1">
        <v>1136</v>
      </c>
      <c r="Q67" s="1"/>
      <c r="R67" s="1">
        <f>(N67-P67-Q67)/2</f>
        <v>4392</v>
      </c>
      <c r="S67" s="1">
        <f>R67</f>
        <v>4392</v>
      </c>
      <c r="T67" s="1"/>
      <c r="U67" s="1"/>
      <c r="V67" s="55" t="s">
        <v>40</v>
      </c>
    </row>
    <row r="68" spans="1:22" ht="18" customHeight="1">
      <c r="A68" s="4" t="s">
        <v>146</v>
      </c>
      <c r="B68" s="5" t="s">
        <v>21</v>
      </c>
      <c r="C68" s="5"/>
      <c r="D68" s="4" t="s">
        <v>76</v>
      </c>
      <c r="E68" s="4">
        <v>4</v>
      </c>
      <c r="F68" s="49"/>
      <c r="G68" s="1">
        <v>25637</v>
      </c>
      <c r="H68" s="1">
        <f t="shared" ref="H68" si="45">M68-G68</f>
        <v>14033</v>
      </c>
      <c r="I68" s="49"/>
      <c r="J68" s="1">
        <f>4*82</f>
        <v>328</v>
      </c>
      <c r="K68" s="1"/>
      <c r="L68" s="1">
        <f>N68</f>
        <v>39670</v>
      </c>
      <c r="M68" s="1">
        <f t="shared" si="34"/>
        <v>39670</v>
      </c>
      <c r="N68" s="1">
        <f>ROUND(218186/1804*J68,-1)</f>
        <v>39670</v>
      </c>
      <c r="O68" s="1"/>
      <c r="P68" s="1">
        <v>4546</v>
      </c>
      <c r="Q68" s="1"/>
      <c r="R68" s="1">
        <f>(N68-P68-Q68)/2</f>
        <v>17562</v>
      </c>
      <c r="S68" s="1">
        <f t="shared" ref="S68" si="46">R68</f>
        <v>17562</v>
      </c>
      <c r="T68" s="1"/>
      <c r="U68" s="1"/>
      <c r="V68" s="55"/>
    </row>
    <row r="69" spans="1:22" ht="18.75" customHeight="1">
      <c r="A69" s="4" t="s">
        <v>147</v>
      </c>
      <c r="B69" s="5" t="s">
        <v>77</v>
      </c>
      <c r="C69" s="5"/>
      <c r="D69" s="4" t="s">
        <v>78</v>
      </c>
      <c r="E69" s="4">
        <v>17</v>
      </c>
      <c r="F69" s="49"/>
      <c r="G69" s="1">
        <f>SUBTOTAL(109,G70:G73)</f>
        <v>141140</v>
      </c>
      <c r="H69" s="1">
        <f>SUBTOTAL(109,H70:H73)</f>
        <v>27456</v>
      </c>
      <c r="I69" s="49"/>
      <c r="J69" s="1">
        <f>17*82</f>
        <v>1394</v>
      </c>
      <c r="K69" s="21"/>
      <c r="L69" s="1">
        <f>SUBTOTAL(109,L70:L73)</f>
        <v>168596</v>
      </c>
      <c r="M69" s="1">
        <f>SUBTOTAL(109,M70:M73)</f>
        <v>168596</v>
      </c>
      <c r="N69" s="1">
        <f>SUBTOTAL(109,N70:N73)</f>
        <v>168596</v>
      </c>
      <c r="O69" s="1"/>
      <c r="P69" s="1">
        <f>SUBTOTAL(109,P70:P73)</f>
        <v>33591</v>
      </c>
      <c r="Q69" s="1"/>
      <c r="R69" s="1">
        <f>SUBTOTAL(109,R70:R73)</f>
        <v>75637</v>
      </c>
      <c r="S69" s="1">
        <f>SUBTOTAL(109,S70:S73)</f>
        <v>44910</v>
      </c>
      <c r="T69" s="1"/>
      <c r="U69" s="1"/>
      <c r="V69" s="55"/>
    </row>
    <row r="70" spans="1:22" ht="27.6">
      <c r="A70" s="4" t="s">
        <v>160</v>
      </c>
      <c r="B70" s="5" t="s">
        <v>162</v>
      </c>
      <c r="C70" s="5"/>
      <c r="D70" s="4" t="s">
        <v>78</v>
      </c>
      <c r="E70" s="4">
        <v>17</v>
      </c>
      <c r="F70" s="49"/>
      <c r="G70" s="1">
        <v>96140</v>
      </c>
      <c r="H70" s="1">
        <f>M70-G70</f>
        <v>27456</v>
      </c>
      <c r="I70" s="49"/>
      <c r="J70" s="1"/>
      <c r="K70" s="21"/>
      <c r="L70" s="1">
        <f>N70</f>
        <v>123596</v>
      </c>
      <c r="M70" s="1">
        <f t="shared" si="34"/>
        <v>123596</v>
      </c>
      <c r="N70" s="1">
        <f>123598-2</f>
        <v>123596</v>
      </c>
      <c r="O70" s="1"/>
      <c r="P70" s="1">
        <v>19318</v>
      </c>
      <c r="Q70" s="1"/>
      <c r="R70" s="1">
        <v>29547</v>
      </c>
      <c r="S70" s="1">
        <v>44910</v>
      </c>
      <c r="T70" s="1">
        <f>T69-T71</f>
        <v>0</v>
      </c>
      <c r="U70" s="1"/>
      <c r="V70" s="55"/>
    </row>
    <row r="71" spans="1:22" s="14" customFormat="1" ht="27.6">
      <c r="A71" s="4" t="s">
        <v>161</v>
      </c>
      <c r="B71" s="5" t="s">
        <v>163</v>
      </c>
      <c r="C71" s="5"/>
      <c r="D71" s="4"/>
      <c r="E71" s="4"/>
      <c r="F71" s="49"/>
      <c r="G71" s="1"/>
      <c r="H71" s="49"/>
      <c r="I71" s="49"/>
      <c r="J71" s="1"/>
      <c r="K71" s="1"/>
      <c r="L71" s="1">
        <f>SUBTOTAL(109,L72:L73)</f>
        <v>45000</v>
      </c>
      <c r="M71" s="1">
        <f>SUBTOTAL(109,M72:M73)</f>
        <v>45000</v>
      </c>
      <c r="N71" s="1">
        <f t="shared" ref="N71:T71" si="47">SUBTOTAL(109,N72:N73)</f>
        <v>45000</v>
      </c>
      <c r="O71" s="1">
        <f t="shared" si="47"/>
        <v>0</v>
      </c>
      <c r="P71" s="1">
        <f t="shared" si="47"/>
        <v>14273</v>
      </c>
      <c r="Q71" s="1">
        <f t="shared" si="47"/>
        <v>0</v>
      </c>
      <c r="R71" s="1">
        <v>15363</v>
      </c>
      <c r="S71" s="1">
        <v>0</v>
      </c>
      <c r="T71" s="1">
        <f t="shared" si="47"/>
        <v>0</v>
      </c>
      <c r="U71" s="1"/>
      <c r="V71" s="51"/>
    </row>
    <row r="72" spans="1:22" ht="51" customHeight="1">
      <c r="A72" s="53" t="s">
        <v>125</v>
      </c>
      <c r="B72" s="16" t="s">
        <v>79</v>
      </c>
      <c r="C72" s="16" t="s">
        <v>124</v>
      </c>
      <c r="D72" s="6"/>
      <c r="E72" s="12"/>
      <c r="F72" s="49" t="s">
        <v>53</v>
      </c>
      <c r="G72" s="1">
        <v>30000</v>
      </c>
      <c r="H72" s="49"/>
      <c r="I72" s="49"/>
      <c r="J72" s="1"/>
      <c r="K72" s="1"/>
      <c r="L72" s="1">
        <f>N72+T72</f>
        <v>30000</v>
      </c>
      <c r="M72" s="1">
        <f t="shared" si="34"/>
        <v>30000</v>
      </c>
      <c r="N72" s="1">
        <v>30000</v>
      </c>
      <c r="O72" s="1"/>
      <c r="P72" s="1">
        <v>9500</v>
      </c>
      <c r="Q72" s="1"/>
      <c r="R72" s="22">
        <f>N72-P72-Q72</f>
        <v>20500</v>
      </c>
      <c r="S72" s="22">
        <v>0</v>
      </c>
      <c r="T72" s="22"/>
      <c r="U72" s="22"/>
      <c r="V72" s="49" t="s">
        <v>80</v>
      </c>
    </row>
    <row r="73" spans="1:22" ht="53.25" customHeight="1">
      <c r="A73" s="53" t="s">
        <v>125</v>
      </c>
      <c r="B73" s="16" t="s">
        <v>81</v>
      </c>
      <c r="C73" s="16" t="s">
        <v>121</v>
      </c>
      <c r="D73" s="6"/>
      <c r="E73" s="4"/>
      <c r="F73" s="49" t="s">
        <v>53</v>
      </c>
      <c r="G73" s="1">
        <v>15000</v>
      </c>
      <c r="H73" s="49"/>
      <c r="I73" s="49"/>
      <c r="J73" s="1"/>
      <c r="K73" s="1"/>
      <c r="L73" s="1">
        <f>N73+T73</f>
        <v>15000</v>
      </c>
      <c r="M73" s="1">
        <f t="shared" si="34"/>
        <v>15000</v>
      </c>
      <c r="N73" s="1">
        <v>15000</v>
      </c>
      <c r="O73" s="1"/>
      <c r="P73" s="1">
        <f>14273-9500</f>
        <v>4773</v>
      </c>
      <c r="Q73" s="1"/>
      <c r="R73" s="22">
        <f>N73-P73-Q73</f>
        <v>10227</v>
      </c>
      <c r="S73" s="22">
        <v>0</v>
      </c>
      <c r="T73" s="22"/>
      <c r="U73" s="22"/>
      <c r="V73" s="49" t="s">
        <v>80</v>
      </c>
    </row>
    <row r="74" spans="1:22" s="14" customFormat="1" ht="55.2" hidden="1">
      <c r="A74" s="52" t="s">
        <v>82</v>
      </c>
      <c r="B74" s="11" t="s">
        <v>83</v>
      </c>
      <c r="C74" s="11"/>
      <c r="D74" s="50"/>
      <c r="E74" s="50"/>
      <c r="F74" s="51"/>
      <c r="G74" s="13">
        <f>SUBTOTAL(109,G75:G80)</f>
        <v>0</v>
      </c>
      <c r="H74" s="51"/>
      <c r="I74" s="51"/>
      <c r="J74" s="13">
        <f>SUBTOTAL(109,J75:J80)</f>
        <v>0</v>
      </c>
      <c r="K74" s="13">
        <f t="shared" ref="K74:T74" si="48">SUBTOTAL(109,K75:K80)</f>
        <v>0</v>
      </c>
      <c r="L74" s="13">
        <f t="shared" si="48"/>
        <v>0</v>
      </c>
      <c r="M74" s="13">
        <f t="shared" si="48"/>
        <v>0</v>
      </c>
      <c r="N74" s="13">
        <f t="shared" si="48"/>
        <v>0</v>
      </c>
      <c r="O74" s="13">
        <f t="shared" si="48"/>
        <v>0</v>
      </c>
      <c r="P74" s="13">
        <f t="shared" si="48"/>
        <v>0</v>
      </c>
      <c r="Q74" s="13">
        <f t="shared" si="48"/>
        <v>0</v>
      </c>
      <c r="R74" s="13">
        <f t="shared" si="48"/>
        <v>0</v>
      </c>
      <c r="S74" s="13">
        <f t="shared" si="48"/>
        <v>0</v>
      </c>
      <c r="T74" s="13">
        <f t="shared" si="48"/>
        <v>0</v>
      </c>
      <c r="U74" s="13"/>
      <c r="V74" s="51"/>
    </row>
    <row r="75" spans="1:22" ht="55.2" hidden="1">
      <c r="A75" s="40"/>
      <c r="B75" s="11" t="s">
        <v>84</v>
      </c>
      <c r="C75" s="11"/>
      <c r="D75" s="50"/>
      <c r="E75" s="50"/>
      <c r="F75" s="51"/>
      <c r="G75" s="13">
        <f>SUBTOTAL(109,G76:G80)</f>
        <v>0</v>
      </c>
      <c r="H75" s="51"/>
      <c r="I75" s="51"/>
      <c r="J75" s="13">
        <f>SUBTOTAL(109,J76:J80)</f>
        <v>0</v>
      </c>
      <c r="K75" s="13">
        <f t="shared" ref="K75:T75" si="49">SUBTOTAL(109,K76:K80)</f>
        <v>0</v>
      </c>
      <c r="L75" s="13">
        <f t="shared" si="49"/>
        <v>0</v>
      </c>
      <c r="M75" s="13">
        <f t="shared" si="49"/>
        <v>0</v>
      </c>
      <c r="N75" s="13">
        <f t="shared" si="49"/>
        <v>0</v>
      </c>
      <c r="O75" s="13">
        <f t="shared" si="49"/>
        <v>0</v>
      </c>
      <c r="P75" s="13">
        <f t="shared" si="49"/>
        <v>0</v>
      </c>
      <c r="Q75" s="13">
        <f t="shared" si="49"/>
        <v>0</v>
      </c>
      <c r="R75" s="13">
        <f t="shared" si="49"/>
        <v>0</v>
      </c>
      <c r="S75" s="13">
        <f t="shared" si="49"/>
        <v>0</v>
      </c>
      <c r="T75" s="13">
        <f t="shared" si="49"/>
        <v>0</v>
      </c>
      <c r="U75" s="13"/>
      <c r="V75" s="51"/>
    </row>
    <row r="76" spans="1:22" ht="22.65" hidden="1" customHeight="1">
      <c r="A76" s="4">
        <v>1</v>
      </c>
      <c r="B76" s="5" t="s">
        <v>12</v>
      </c>
      <c r="C76" s="5"/>
      <c r="D76" s="4"/>
      <c r="E76" s="6" t="s">
        <v>14</v>
      </c>
      <c r="F76" s="49"/>
      <c r="G76" s="1">
        <v>1857.2972972972975</v>
      </c>
      <c r="H76" s="49"/>
      <c r="I76" s="49"/>
      <c r="J76" s="1">
        <f>3*30</f>
        <v>90</v>
      </c>
      <c r="K76" s="1"/>
      <c r="L76" s="1" t="e">
        <f t="shared" ref="L76:L80" si="50">N76+T76</f>
        <v>#DIV/0!</v>
      </c>
      <c r="M76" s="1" t="e">
        <f t="shared" si="34"/>
        <v>#DIV/0!</v>
      </c>
      <c r="N76" s="1" t="e">
        <f>(5180+1692)/$J$75*J76</f>
        <v>#DIV/0!</v>
      </c>
      <c r="O76" s="1"/>
      <c r="P76" s="1">
        <v>254</v>
      </c>
      <c r="Q76" s="1"/>
      <c r="R76" s="1" t="e">
        <f t="shared" ref="R76:R80" si="51">(N76-P76-Q76)/2</f>
        <v>#DIV/0!</v>
      </c>
      <c r="S76" s="1" t="e">
        <f>N76-(P76+Q76+R76)</f>
        <v>#DIV/0!</v>
      </c>
      <c r="T76" s="1"/>
      <c r="U76" s="1"/>
      <c r="V76" s="55" t="s">
        <v>126</v>
      </c>
    </row>
    <row r="77" spans="1:22" ht="22.5" hidden="1" customHeight="1">
      <c r="A77" s="4">
        <v>2</v>
      </c>
      <c r="B77" s="5" t="s">
        <v>15</v>
      </c>
      <c r="C77" s="5"/>
      <c r="D77" s="4"/>
      <c r="E77" s="6" t="s">
        <v>49</v>
      </c>
      <c r="F77" s="49"/>
      <c r="G77" s="1">
        <v>660.37237237237241</v>
      </c>
      <c r="H77" s="49"/>
      <c r="I77" s="49"/>
      <c r="J77" s="1">
        <f>1*30+4*0.5</f>
        <v>32</v>
      </c>
      <c r="K77" s="1"/>
      <c r="L77" s="1" t="e">
        <f t="shared" si="50"/>
        <v>#DIV/0!</v>
      </c>
      <c r="M77" s="1" t="e">
        <f t="shared" si="34"/>
        <v>#DIV/0!</v>
      </c>
      <c r="N77" s="1" t="e">
        <f>(5180+1692)/$J$75*J77</f>
        <v>#DIV/0!</v>
      </c>
      <c r="O77" s="1"/>
      <c r="P77" s="1">
        <v>85</v>
      </c>
      <c r="Q77" s="1"/>
      <c r="R77" s="1" t="e">
        <f t="shared" si="51"/>
        <v>#DIV/0!</v>
      </c>
      <c r="S77" s="1" t="e">
        <f>N77-(P77+Q77+R77)</f>
        <v>#DIV/0!</v>
      </c>
      <c r="T77" s="1"/>
      <c r="U77" s="1"/>
      <c r="V77" s="55"/>
    </row>
    <row r="78" spans="1:22" ht="21.75" hidden="1" customHeight="1">
      <c r="A78" s="4">
        <v>3</v>
      </c>
      <c r="B78" s="5" t="s">
        <v>17</v>
      </c>
      <c r="C78" s="5"/>
      <c r="D78" s="4"/>
      <c r="E78" s="6" t="s">
        <v>85</v>
      </c>
      <c r="F78" s="49"/>
      <c r="G78" s="1">
        <v>1258.834834834835</v>
      </c>
      <c r="H78" s="49"/>
      <c r="I78" s="49"/>
      <c r="J78" s="1">
        <f>2*30+2*0.5</f>
        <v>61</v>
      </c>
      <c r="K78" s="1"/>
      <c r="L78" s="1" t="e">
        <f t="shared" si="50"/>
        <v>#DIV/0!</v>
      </c>
      <c r="M78" s="1" t="e">
        <f t="shared" si="34"/>
        <v>#DIV/0!</v>
      </c>
      <c r="N78" s="1" t="e">
        <f>(5180+1692)/$J$75*J78</f>
        <v>#DIV/0!</v>
      </c>
      <c r="O78" s="1"/>
      <c r="P78" s="1">
        <v>169</v>
      </c>
      <c r="Q78" s="1"/>
      <c r="R78" s="1" t="e">
        <f t="shared" si="51"/>
        <v>#DIV/0!</v>
      </c>
      <c r="S78" s="1" t="e">
        <f>N78-(P78+Q78+R78)</f>
        <v>#DIV/0!</v>
      </c>
      <c r="T78" s="1"/>
      <c r="U78" s="1"/>
      <c r="V78" s="55"/>
    </row>
    <row r="79" spans="1:22" ht="21.75" hidden="1" customHeight="1">
      <c r="A79" s="4">
        <v>4</v>
      </c>
      <c r="B79" s="5" t="s">
        <v>19</v>
      </c>
      <c r="C79" s="5"/>
      <c r="D79" s="4"/>
      <c r="E79" s="6" t="s">
        <v>48</v>
      </c>
      <c r="F79" s="49"/>
      <c r="G79" s="1">
        <v>2476.3963963963965</v>
      </c>
      <c r="H79" s="49"/>
      <c r="I79" s="49"/>
      <c r="J79" s="1">
        <f>4*30</f>
        <v>120</v>
      </c>
      <c r="K79" s="1"/>
      <c r="L79" s="1" t="e">
        <f t="shared" si="50"/>
        <v>#DIV/0!</v>
      </c>
      <c r="M79" s="1" t="e">
        <f t="shared" si="34"/>
        <v>#DIV/0!</v>
      </c>
      <c r="N79" s="1" t="e">
        <f>(5180+1692)/$J$75*J79</f>
        <v>#DIV/0!</v>
      </c>
      <c r="O79" s="1"/>
      <c r="P79" s="1">
        <v>339</v>
      </c>
      <c r="Q79" s="1"/>
      <c r="R79" s="1" t="e">
        <f t="shared" si="51"/>
        <v>#DIV/0!</v>
      </c>
      <c r="S79" s="1" t="e">
        <f>N79-(P79+Q79+R79)</f>
        <v>#DIV/0!</v>
      </c>
      <c r="T79" s="1"/>
      <c r="U79" s="1"/>
      <c r="V79" s="55"/>
    </row>
    <row r="80" spans="1:22" ht="21.6" hidden="1" customHeight="1">
      <c r="A80" s="4">
        <v>5</v>
      </c>
      <c r="B80" s="5" t="s">
        <v>21</v>
      </c>
      <c r="C80" s="5"/>
      <c r="D80" s="4"/>
      <c r="E80" s="6" t="s">
        <v>49</v>
      </c>
      <c r="F80" s="49"/>
      <c r="G80" s="1">
        <v>619.09909909909913</v>
      </c>
      <c r="H80" s="49"/>
      <c r="I80" s="49"/>
      <c r="J80" s="1">
        <f>1*30</f>
        <v>30</v>
      </c>
      <c r="K80" s="1"/>
      <c r="L80" s="1" t="e">
        <f t="shared" si="50"/>
        <v>#DIV/0!</v>
      </c>
      <c r="M80" s="1" t="e">
        <f t="shared" si="34"/>
        <v>#DIV/0!</v>
      </c>
      <c r="N80" s="1" t="e">
        <f>(5180+1692)/$J$75*J80</f>
        <v>#DIV/0!</v>
      </c>
      <c r="O80" s="1"/>
      <c r="P80" s="1">
        <v>85</v>
      </c>
      <c r="Q80" s="1"/>
      <c r="R80" s="1" t="e">
        <f t="shared" si="51"/>
        <v>#DIV/0!</v>
      </c>
      <c r="S80" s="1" t="e">
        <f>N80-(P80+Q80+R80)</f>
        <v>#DIV/0!</v>
      </c>
      <c r="T80" s="1"/>
      <c r="U80" s="1"/>
      <c r="V80" s="55"/>
    </row>
    <row r="81" spans="1:22" ht="32.25" customHeight="1">
      <c r="A81" s="52" t="s">
        <v>144</v>
      </c>
      <c r="B81" s="27" t="s">
        <v>128</v>
      </c>
      <c r="C81" s="27"/>
      <c r="D81" s="28"/>
      <c r="E81" s="52"/>
      <c r="F81" s="51"/>
      <c r="G81" s="13"/>
      <c r="H81" s="13">
        <v>28112</v>
      </c>
      <c r="I81" s="13"/>
      <c r="J81" s="51"/>
      <c r="K81" s="51"/>
      <c r="L81" s="13"/>
      <c r="M81" s="13">
        <f>SUBTOTAL(109,M82:M86)</f>
        <v>28112</v>
      </c>
      <c r="N81" s="13">
        <f t="shared" ref="N81:T81" si="52">SUBTOTAL(109,N82:N86)</f>
        <v>0</v>
      </c>
      <c r="O81" s="13">
        <f t="shared" si="52"/>
        <v>28112</v>
      </c>
      <c r="P81" s="13">
        <f t="shared" si="52"/>
        <v>0</v>
      </c>
      <c r="Q81" s="13">
        <f t="shared" si="52"/>
        <v>0</v>
      </c>
      <c r="R81" s="13">
        <f t="shared" si="52"/>
        <v>0</v>
      </c>
      <c r="S81" s="13">
        <f t="shared" si="52"/>
        <v>0</v>
      </c>
      <c r="T81" s="13">
        <f t="shared" si="52"/>
        <v>0</v>
      </c>
      <c r="U81" s="13"/>
      <c r="V81" s="51"/>
    </row>
    <row r="82" spans="1:22" ht="22.5" customHeight="1">
      <c r="A82" s="4">
        <v>1</v>
      </c>
      <c r="B82" s="5" t="s">
        <v>19</v>
      </c>
      <c r="C82" s="5"/>
      <c r="D82" s="4"/>
      <c r="E82" s="6"/>
      <c r="F82" s="49"/>
      <c r="G82" s="49"/>
      <c r="H82" s="49"/>
      <c r="I82" s="49"/>
      <c r="J82" s="1"/>
      <c r="K82" s="1"/>
      <c r="L82" s="1"/>
      <c r="M82" s="1">
        <f>O82</f>
        <v>9920</v>
      </c>
      <c r="N82" s="1"/>
      <c r="O82" s="1">
        <f>ROUND((50000-21090-798)/102*36,-1)</f>
        <v>9920</v>
      </c>
      <c r="P82" s="1"/>
      <c r="Q82" s="1"/>
      <c r="R82" s="1"/>
      <c r="S82" s="1"/>
      <c r="T82" s="1"/>
      <c r="U82" s="1"/>
      <c r="V82" s="55" t="s">
        <v>40</v>
      </c>
    </row>
    <row r="83" spans="1:22">
      <c r="A83" s="4">
        <v>2</v>
      </c>
      <c r="B83" s="5" t="s">
        <v>21</v>
      </c>
      <c r="C83" s="5"/>
      <c r="D83" s="4"/>
      <c r="E83" s="6"/>
      <c r="F83" s="49"/>
      <c r="G83" s="49"/>
      <c r="H83" s="49"/>
      <c r="I83" s="49"/>
      <c r="J83" s="1"/>
      <c r="K83" s="1"/>
      <c r="L83" s="1"/>
      <c r="M83" s="1">
        <f t="shared" ref="M83:M86" si="53">O83</f>
        <v>1100</v>
      </c>
      <c r="N83" s="1"/>
      <c r="O83" s="1">
        <f>ROUND((50000-21090-798)/102*4,-1)</f>
        <v>1100</v>
      </c>
      <c r="P83" s="1"/>
      <c r="Q83" s="1"/>
      <c r="R83" s="1"/>
      <c r="S83" s="1"/>
      <c r="T83" s="1"/>
      <c r="U83" s="1"/>
      <c r="V83" s="55"/>
    </row>
    <row r="84" spans="1:22">
      <c r="A84" s="4">
        <v>3</v>
      </c>
      <c r="B84" s="5" t="s">
        <v>12</v>
      </c>
      <c r="C84" s="5"/>
      <c r="D84" s="4"/>
      <c r="E84" s="6"/>
      <c r="F84" s="49"/>
      <c r="G84" s="49"/>
      <c r="H84" s="49"/>
      <c r="I84" s="49"/>
      <c r="J84" s="1"/>
      <c r="K84" s="1"/>
      <c r="L84" s="1"/>
      <c r="M84" s="1">
        <f t="shared" si="53"/>
        <v>5790</v>
      </c>
      <c r="N84" s="1"/>
      <c r="O84" s="1">
        <f>ROUND((50000-21090-798)/102*21,-1)</f>
        <v>5790</v>
      </c>
      <c r="P84" s="1"/>
      <c r="Q84" s="1"/>
      <c r="R84" s="1"/>
      <c r="S84" s="1"/>
      <c r="T84" s="1"/>
      <c r="U84" s="1"/>
      <c r="V84" s="55"/>
    </row>
    <row r="85" spans="1:22">
      <c r="A85" s="4">
        <v>4</v>
      </c>
      <c r="B85" s="5" t="s">
        <v>15</v>
      </c>
      <c r="C85" s="5"/>
      <c r="D85" s="4"/>
      <c r="E85" s="6"/>
      <c r="F85" s="49"/>
      <c r="G85" s="49"/>
      <c r="H85" s="49"/>
      <c r="I85" s="49"/>
      <c r="J85" s="1"/>
      <c r="K85" s="1"/>
      <c r="L85" s="1"/>
      <c r="M85" s="1">
        <f t="shared" si="53"/>
        <v>5240</v>
      </c>
      <c r="N85" s="1"/>
      <c r="O85" s="1">
        <f>ROUND((50000-21090-798)/102*19,-1)</f>
        <v>5240</v>
      </c>
      <c r="P85" s="1"/>
      <c r="Q85" s="1"/>
      <c r="R85" s="1"/>
      <c r="S85" s="1"/>
      <c r="T85" s="1"/>
      <c r="U85" s="1"/>
      <c r="V85" s="55"/>
    </row>
    <row r="86" spans="1:22">
      <c r="A86" s="4">
        <v>5</v>
      </c>
      <c r="B86" s="5" t="s">
        <v>17</v>
      </c>
      <c r="C86" s="5"/>
      <c r="D86" s="4"/>
      <c r="E86" s="6"/>
      <c r="F86" s="49"/>
      <c r="G86" s="49"/>
      <c r="H86" s="49"/>
      <c r="I86" s="49"/>
      <c r="J86" s="1"/>
      <c r="K86" s="1"/>
      <c r="L86" s="1"/>
      <c r="M86" s="1">
        <f t="shared" si="53"/>
        <v>6062</v>
      </c>
      <c r="N86" s="1"/>
      <c r="O86" s="1">
        <f>ROUND((50000-21090-798)/102*22,-1)+2</f>
        <v>6062</v>
      </c>
      <c r="P86" s="1"/>
      <c r="Q86" s="1"/>
      <c r="R86" s="1"/>
      <c r="S86" s="1"/>
      <c r="T86" s="1"/>
      <c r="U86" s="1"/>
      <c r="V86" s="55"/>
    </row>
    <row r="90" spans="1:22" s="24" customFormat="1">
      <c r="A90" s="20"/>
      <c r="B90" s="20"/>
      <c r="C90" s="20"/>
      <c r="D90" s="25"/>
      <c r="F90" s="25"/>
      <c r="G90" s="25"/>
      <c r="H90" s="25"/>
      <c r="I90" s="25"/>
      <c r="J90" s="20"/>
      <c r="K90" s="20"/>
      <c r="L90" s="20"/>
      <c r="M90" s="20"/>
      <c r="N90" s="20"/>
      <c r="O90" s="20"/>
      <c r="P90" s="20"/>
      <c r="Q90" s="20"/>
      <c r="R90" s="20"/>
      <c r="S90" s="20"/>
      <c r="T90" s="20"/>
      <c r="U90" s="20"/>
      <c r="V90" s="25"/>
    </row>
    <row r="91" spans="1:22" s="24" customFormat="1">
      <c r="A91" s="20"/>
      <c r="B91" s="20"/>
      <c r="C91" s="20"/>
      <c r="D91" s="25"/>
      <c r="F91" s="25"/>
      <c r="G91" s="25"/>
      <c r="H91" s="25"/>
      <c r="I91" s="25"/>
      <c r="J91" s="20"/>
      <c r="K91" s="20"/>
      <c r="L91" s="20"/>
      <c r="M91" s="20"/>
      <c r="N91" s="20"/>
      <c r="O91" s="20"/>
      <c r="P91" s="20"/>
      <c r="Q91" s="20"/>
      <c r="R91" s="20"/>
      <c r="S91" s="20"/>
      <c r="T91" s="20"/>
      <c r="U91" s="20"/>
      <c r="V91" s="25"/>
    </row>
    <row r="92" spans="1:22" s="24" customFormat="1">
      <c r="A92" s="20"/>
      <c r="B92" s="20"/>
      <c r="C92" s="20"/>
      <c r="D92" s="25"/>
      <c r="F92" s="25"/>
      <c r="G92" s="25"/>
      <c r="H92" s="25"/>
      <c r="I92" s="25"/>
      <c r="J92" s="20"/>
      <c r="K92" s="20"/>
      <c r="L92" s="20"/>
      <c r="M92" s="20"/>
      <c r="N92" s="20"/>
      <c r="O92" s="20"/>
      <c r="P92" s="20"/>
      <c r="Q92" s="20"/>
      <c r="R92" s="20"/>
      <c r="S92" s="20"/>
      <c r="T92" s="20"/>
      <c r="U92" s="20"/>
      <c r="V92" s="25"/>
    </row>
  </sheetData>
  <mergeCells count="27">
    <mergeCell ref="A6:A7"/>
    <mergeCell ref="V67:V70"/>
    <mergeCell ref="V76:V80"/>
    <mergeCell ref="V6:V7"/>
    <mergeCell ref="V37:V41"/>
    <mergeCell ref="V56:V60"/>
    <mergeCell ref="V29:V33"/>
    <mergeCell ref="A2:V2"/>
    <mergeCell ref="A3:V3"/>
    <mergeCell ref="A4:V4"/>
    <mergeCell ref="D5:J5"/>
    <mergeCell ref="Q5:V5"/>
    <mergeCell ref="V82:V86"/>
    <mergeCell ref="Q6:U6"/>
    <mergeCell ref="C6:C7"/>
    <mergeCell ref="B6:B7"/>
    <mergeCell ref="D6:D7"/>
    <mergeCell ref="E6:E7"/>
    <mergeCell ref="F6:F7"/>
    <mergeCell ref="M6:O6"/>
    <mergeCell ref="J6:J7"/>
    <mergeCell ref="K6:K7"/>
    <mergeCell ref="L6:L7"/>
    <mergeCell ref="P6:P7"/>
    <mergeCell ref="G6:G7"/>
    <mergeCell ref="H6:I6"/>
    <mergeCell ref="V23:V27"/>
  </mergeCells>
  <pageMargins left="0.44685039399999998" right="0.32874015699999998" top="1.0905511809999999" bottom="0.65" header="0.118110236220472" footer="0"/>
  <pageSetup paperSize="9" scale="90" orientation="landscape" verticalDpi="1200" r:id="rId1"/>
  <headerFooter>
    <oddHeader>&amp;C&amp;P</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3"/>
  <sheetViews>
    <sheetView tabSelected="1" view="pageLayout" topLeftCell="A22" zoomScaleNormal="100" workbookViewId="0">
      <selection activeCell="A29" sqref="A29"/>
    </sheetView>
  </sheetViews>
  <sheetFormatPr defaultColWidth="9" defaultRowHeight="13.8"/>
  <cols>
    <col min="1" max="1" width="5" style="20" customWidth="1"/>
    <col min="2" max="2" width="49" style="20" customWidth="1"/>
    <col min="3" max="3" width="8.69921875" style="20" hidden="1" customWidth="1"/>
    <col min="4" max="4" width="11.69921875" style="25" hidden="1" customWidth="1"/>
    <col min="5" max="5" width="0.8984375" style="24" hidden="1" customWidth="1"/>
    <col min="6" max="6" width="7.59765625" style="25" hidden="1" customWidth="1"/>
    <col min="7" max="7" width="14.3984375" style="25" hidden="1" customWidth="1"/>
    <col min="8" max="8" width="8.19921875" style="25" hidden="1" customWidth="1"/>
    <col min="9" max="9" width="8.5" style="25" hidden="1" customWidth="1"/>
    <col min="10" max="10" width="6.5" style="20" hidden="1" customWidth="1"/>
    <col min="11" max="11" width="7.09765625" style="20" hidden="1" customWidth="1"/>
    <col min="12" max="12" width="9.59765625" style="20" hidden="1" customWidth="1"/>
    <col min="13" max="13" width="8.59765625" style="20" hidden="1" customWidth="1"/>
    <col min="14" max="14" width="7.19921875" style="20" hidden="1" customWidth="1"/>
    <col min="15" max="15" width="8.3984375" style="20" hidden="1" customWidth="1"/>
    <col min="16" max="16" width="7.8984375" style="20" hidden="1" customWidth="1"/>
    <col min="17" max="17" width="13.69921875" style="20" hidden="1" customWidth="1"/>
    <col min="18" max="18" width="11.09765625" style="20" customWidth="1"/>
    <col min="19" max="19" width="9.19921875" style="20" customWidth="1"/>
    <col min="20" max="20" width="7.5" style="20" hidden="1" customWidth="1"/>
    <col min="21" max="21" width="7.8984375" style="20" hidden="1" customWidth="1"/>
    <col min="22" max="22" width="7.3984375" style="20" hidden="1" customWidth="1"/>
    <col min="23" max="23" width="6.5" style="20" hidden="1" customWidth="1"/>
    <col min="24" max="24" width="9.19921875" style="20" customWidth="1"/>
    <col min="25" max="25" width="17" style="20" customWidth="1"/>
    <col min="26" max="26" width="24.5" style="25" customWidth="1"/>
    <col min="27" max="16384" width="9" style="20"/>
  </cols>
  <sheetData>
    <row r="1" spans="1:26" ht="14.4">
      <c r="B1" s="26"/>
      <c r="C1" s="26"/>
    </row>
    <row r="2" spans="1:26">
      <c r="A2" s="59" t="s">
        <v>143</v>
      </c>
      <c r="B2" s="59"/>
      <c r="C2" s="59"/>
      <c r="D2" s="59"/>
      <c r="E2" s="59"/>
      <c r="F2" s="59"/>
      <c r="G2" s="59"/>
      <c r="H2" s="59"/>
      <c r="I2" s="59"/>
      <c r="J2" s="59"/>
      <c r="K2" s="59"/>
      <c r="L2" s="59"/>
      <c r="M2" s="59"/>
      <c r="N2" s="59"/>
      <c r="O2" s="59"/>
      <c r="P2" s="59"/>
      <c r="Q2" s="59"/>
      <c r="R2" s="59"/>
      <c r="S2" s="59"/>
      <c r="T2" s="59"/>
      <c r="U2" s="59"/>
      <c r="V2" s="59"/>
      <c r="W2" s="59"/>
      <c r="X2" s="59"/>
      <c r="Y2" s="59"/>
      <c r="Z2" s="59"/>
    </row>
    <row r="3" spans="1:26" ht="32.25" customHeight="1">
      <c r="A3" s="60" t="s">
        <v>138</v>
      </c>
      <c r="B3" s="60"/>
      <c r="C3" s="60"/>
      <c r="D3" s="60"/>
      <c r="E3" s="60"/>
      <c r="F3" s="60"/>
      <c r="G3" s="60"/>
      <c r="H3" s="60"/>
      <c r="I3" s="60"/>
      <c r="J3" s="60"/>
      <c r="K3" s="60"/>
      <c r="L3" s="60"/>
      <c r="M3" s="60"/>
      <c r="N3" s="60"/>
      <c r="O3" s="60"/>
      <c r="P3" s="60"/>
      <c r="Q3" s="60"/>
      <c r="R3" s="60"/>
      <c r="S3" s="60"/>
      <c r="T3" s="60"/>
      <c r="U3" s="60"/>
      <c r="V3" s="60"/>
      <c r="W3" s="60"/>
      <c r="X3" s="60"/>
      <c r="Y3" s="60"/>
      <c r="Z3" s="60"/>
    </row>
    <row r="4" spans="1:26">
      <c r="A4" s="61" t="s">
        <v>139</v>
      </c>
      <c r="B4" s="61"/>
      <c r="C4" s="61"/>
      <c r="D4" s="61"/>
      <c r="E4" s="61"/>
      <c r="F4" s="61"/>
      <c r="G4" s="61"/>
      <c r="H4" s="61"/>
      <c r="I4" s="61"/>
      <c r="J4" s="61"/>
      <c r="K4" s="61"/>
      <c r="L4" s="61"/>
      <c r="M4" s="61"/>
      <c r="N4" s="61"/>
      <c r="O4" s="61"/>
      <c r="P4" s="61"/>
      <c r="Q4" s="61"/>
      <c r="R4" s="61"/>
      <c r="S4" s="61"/>
      <c r="T4" s="61"/>
      <c r="U4" s="61"/>
      <c r="V4" s="61"/>
      <c r="W4" s="61"/>
      <c r="X4" s="61"/>
      <c r="Y4" s="61"/>
      <c r="Z4" s="61"/>
    </row>
    <row r="5" spans="1:26">
      <c r="A5" s="23"/>
      <c r="B5" s="23"/>
      <c r="C5" s="23"/>
      <c r="D5" s="62"/>
      <c r="E5" s="62"/>
      <c r="F5" s="62"/>
      <c r="G5" s="62"/>
      <c r="H5" s="62"/>
      <c r="I5" s="62"/>
      <c r="J5" s="62"/>
      <c r="K5" s="23"/>
      <c r="L5" s="23"/>
      <c r="M5" s="23"/>
      <c r="N5" s="23"/>
      <c r="O5" s="23"/>
      <c r="P5" s="23"/>
      <c r="Q5" s="23"/>
      <c r="R5" s="23"/>
      <c r="S5" s="63" t="s">
        <v>0</v>
      </c>
      <c r="T5" s="63"/>
      <c r="U5" s="63"/>
      <c r="V5" s="63"/>
      <c r="W5" s="63"/>
      <c r="X5" s="63"/>
      <c r="Y5" s="63"/>
      <c r="Z5" s="63"/>
    </row>
    <row r="6" spans="1:26" ht="15.75" customHeight="1">
      <c r="A6" s="58" t="s">
        <v>1</v>
      </c>
      <c r="B6" s="58" t="s">
        <v>2</v>
      </c>
      <c r="C6" s="57" t="s">
        <v>112</v>
      </c>
      <c r="D6" s="56" t="s">
        <v>3</v>
      </c>
      <c r="E6" s="56" t="s">
        <v>4</v>
      </c>
      <c r="F6" s="57" t="s">
        <v>5</v>
      </c>
      <c r="G6" s="57" t="s">
        <v>134</v>
      </c>
      <c r="H6" s="57" t="s">
        <v>130</v>
      </c>
      <c r="I6" s="57"/>
      <c r="J6" s="57" t="s">
        <v>6</v>
      </c>
      <c r="K6" s="57" t="s">
        <v>110</v>
      </c>
      <c r="L6" s="57" t="s">
        <v>94</v>
      </c>
      <c r="M6" s="57" t="s">
        <v>133</v>
      </c>
      <c r="N6" s="57"/>
      <c r="O6" s="57"/>
      <c r="P6" s="56" t="s">
        <v>7</v>
      </c>
      <c r="Q6" s="11"/>
      <c r="R6" s="56" t="s">
        <v>137</v>
      </c>
      <c r="S6" s="56" t="s">
        <v>130</v>
      </c>
      <c r="T6" s="56"/>
      <c r="U6" s="56"/>
      <c r="V6" s="56"/>
      <c r="W6" s="56"/>
      <c r="X6" s="56"/>
      <c r="Y6" s="56" t="s">
        <v>141</v>
      </c>
      <c r="Z6" s="57" t="s">
        <v>109</v>
      </c>
    </row>
    <row r="7" spans="1:26" ht="27.6">
      <c r="A7" s="58"/>
      <c r="B7" s="58"/>
      <c r="C7" s="57"/>
      <c r="D7" s="56"/>
      <c r="E7" s="56"/>
      <c r="F7" s="57"/>
      <c r="G7" s="57"/>
      <c r="H7" s="51" t="s">
        <v>131</v>
      </c>
      <c r="I7" s="51" t="s">
        <v>132</v>
      </c>
      <c r="J7" s="57"/>
      <c r="K7" s="57"/>
      <c r="L7" s="57"/>
      <c r="M7" s="51" t="s">
        <v>108</v>
      </c>
      <c r="N7" s="51" t="s">
        <v>106</v>
      </c>
      <c r="O7" s="51" t="s">
        <v>107</v>
      </c>
      <c r="P7" s="56"/>
      <c r="Q7" s="50" t="s">
        <v>136</v>
      </c>
      <c r="R7" s="56"/>
      <c r="S7" s="50" t="s">
        <v>131</v>
      </c>
      <c r="T7" s="51" t="s">
        <v>107</v>
      </c>
      <c r="U7" s="50"/>
      <c r="V7" s="50"/>
      <c r="W7" s="50" t="s">
        <v>107</v>
      </c>
      <c r="X7" s="50" t="s">
        <v>132</v>
      </c>
      <c r="Y7" s="56"/>
      <c r="Z7" s="57"/>
    </row>
    <row r="8" spans="1:26" ht="30" customHeight="1">
      <c r="A8" s="52"/>
      <c r="B8" s="27" t="s">
        <v>129</v>
      </c>
      <c r="C8" s="27"/>
      <c r="D8" s="28"/>
      <c r="E8" s="52"/>
      <c r="F8" s="51"/>
      <c r="G8" s="13">
        <f t="shared" ref="G8:Y8" si="0">SUBTOTAL(109,G9:G28)</f>
        <v>93885</v>
      </c>
      <c r="H8" s="13" t="e">
        <f t="shared" si="0"/>
        <v>#REF!</v>
      </c>
      <c r="I8" s="13">
        <f t="shared" si="0"/>
        <v>5468.9804134474834</v>
      </c>
      <c r="J8" s="13" t="e">
        <f t="shared" si="0"/>
        <v>#REF!</v>
      </c>
      <c r="K8" s="13" t="e">
        <f t="shared" si="0"/>
        <v>#REF!</v>
      </c>
      <c r="L8" s="13" t="e">
        <f t="shared" si="0"/>
        <v>#REF!</v>
      </c>
      <c r="M8" s="13" t="e">
        <f t="shared" si="0"/>
        <v>#REF!</v>
      </c>
      <c r="N8" s="13" t="e">
        <f t="shared" si="0"/>
        <v>#REF!</v>
      </c>
      <c r="O8" s="13">
        <f t="shared" si="0"/>
        <v>6770.2</v>
      </c>
      <c r="P8" s="13">
        <f t="shared" si="0"/>
        <v>10765</v>
      </c>
      <c r="Q8" s="13">
        <f t="shared" si="0"/>
        <v>30530</v>
      </c>
      <c r="R8" s="13">
        <f t="shared" si="0"/>
        <v>14500</v>
      </c>
      <c r="S8" s="13">
        <f t="shared" si="0"/>
        <v>34596</v>
      </c>
      <c r="T8" s="13" t="e">
        <f t="shared" si="0"/>
        <v>#REF!</v>
      </c>
      <c r="U8" s="13" t="e">
        <f t="shared" si="0"/>
        <v>#REF!</v>
      </c>
      <c r="V8" s="13">
        <f t="shared" si="0"/>
        <v>6770.2</v>
      </c>
      <c r="W8" s="13">
        <f t="shared" si="0"/>
        <v>0</v>
      </c>
      <c r="X8" s="13">
        <f t="shared" si="0"/>
        <v>0</v>
      </c>
      <c r="Y8" s="13">
        <f t="shared" si="0"/>
        <v>49096</v>
      </c>
      <c r="Z8" s="51"/>
    </row>
    <row r="9" spans="1:26" ht="27.6">
      <c r="A9" s="52" t="s">
        <v>8</v>
      </c>
      <c r="B9" s="30" t="s">
        <v>9</v>
      </c>
      <c r="C9" s="30"/>
      <c r="D9" s="50"/>
      <c r="E9" s="50"/>
      <c r="F9" s="51"/>
      <c r="G9" s="13">
        <f t="shared" ref="G9:Y9" si="1">SUBTOTAL(109,G10:G16)</f>
        <v>51000</v>
      </c>
      <c r="H9" s="13">
        <f t="shared" si="1"/>
        <v>28941.180413447481</v>
      </c>
      <c r="I9" s="13">
        <f t="shared" si="1"/>
        <v>5468.9804134474834</v>
      </c>
      <c r="J9" s="13">
        <f t="shared" si="1"/>
        <v>2633.95</v>
      </c>
      <c r="K9" s="13">
        <f t="shared" si="1"/>
        <v>51.407202110898076</v>
      </c>
      <c r="L9" s="13">
        <f t="shared" si="1"/>
        <v>107332.24744205471</v>
      </c>
      <c r="M9" s="13">
        <f t="shared" si="1"/>
        <v>74472.2</v>
      </c>
      <c r="N9" s="13">
        <f t="shared" si="1"/>
        <v>67702</v>
      </c>
      <c r="O9" s="13">
        <f t="shared" si="1"/>
        <v>6770.2</v>
      </c>
      <c r="P9" s="13">
        <f t="shared" si="1"/>
        <v>5500</v>
      </c>
      <c r="Q9" s="13">
        <f t="shared" si="1"/>
        <v>20000</v>
      </c>
      <c r="R9" s="13">
        <f t="shared" si="1"/>
        <v>14500</v>
      </c>
      <c r="S9" s="13">
        <f t="shared" si="1"/>
        <v>2422</v>
      </c>
      <c r="T9" s="13">
        <f t="shared" si="1"/>
        <v>29890</v>
      </c>
      <c r="U9" s="13">
        <f t="shared" si="1"/>
        <v>29890</v>
      </c>
      <c r="V9" s="13">
        <f t="shared" si="1"/>
        <v>6770.2</v>
      </c>
      <c r="W9" s="13">
        <f t="shared" si="1"/>
        <v>0</v>
      </c>
      <c r="X9" s="13">
        <f t="shared" si="1"/>
        <v>0</v>
      </c>
      <c r="Y9" s="13">
        <f t="shared" si="1"/>
        <v>16922</v>
      </c>
      <c r="Z9" s="51"/>
    </row>
    <row r="10" spans="1:26" s="14" customFormat="1" ht="21.9" customHeight="1">
      <c r="A10" s="40" t="s">
        <v>10</v>
      </c>
      <c r="B10" s="30" t="s">
        <v>11</v>
      </c>
      <c r="C10" s="30"/>
      <c r="D10" s="6" t="s">
        <v>100</v>
      </c>
      <c r="E10" s="47"/>
      <c r="F10" s="48"/>
      <c r="G10" s="13">
        <f>SUBTOTAL(109,G11:G15)</f>
        <v>51000</v>
      </c>
      <c r="H10" s="13">
        <f t="shared" ref="H10:I10" si="2">SUBTOTAL(109,H11:H15)</f>
        <v>28941.180413447481</v>
      </c>
      <c r="I10" s="13">
        <f t="shared" si="2"/>
        <v>5468.9804134474834</v>
      </c>
      <c r="J10" s="13">
        <f>SUM(J11:J15)</f>
        <v>1316.9750000000001</v>
      </c>
      <c r="K10" s="36">
        <f>N10/J10</f>
        <v>51.407202110898076</v>
      </c>
      <c r="L10" s="13">
        <f>SUBTOTAL(109,L11:L15)</f>
        <v>107332.24744205471</v>
      </c>
      <c r="M10" s="13">
        <f>SUBTOTAL(109,M11:M15)</f>
        <v>74472.2</v>
      </c>
      <c r="N10" s="13">
        <f>SUBTOTAL(109,N11:N15)</f>
        <v>67702</v>
      </c>
      <c r="O10" s="13">
        <f>SUBTOTAL(109,O11:O15)</f>
        <v>6770.2</v>
      </c>
      <c r="P10" s="13">
        <f t="shared" ref="P10:Y10" si="3">SUBTOTAL(109,P11:P15)</f>
        <v>5500</v>
      </c>
      <c r="Q10" s="13">
        <f t="shared" si="3"/>
        <v>20000</v>
      </c>
      <c r="R10" s="13">
        <f t="shared" si="3"/>
        <v>14500</v>
      </c>
      <c r="S10" s="13">
        <f t="shared" si="3"/>
        <v>2422</v>
      </c>
      <c r="T10" s="13">
        <f t="shared" si="3"/>
        <v>29890</v>
      </c>
      <c r="U10" s="13">
        <f t="shared" si="3"/>
        <v>29890</v>
      </c>
      <c r="V10" s="13">
        <f t="shared" si="3"/>
        <v>6770.2</v>
      </c>
      <c r="W10" s="13">
        <f t="shared" si="3"/>
        <v>0</v>
      </c>
      <c r="X10" s="13">
        <f t="shared" si="3"/>
        <v>0</v>
      </c>
      <c r="Y10" s="13">
        <f t="shared" si="3"/>
        <v>16922</v>
      </c>
      <c r="Z10" s="31"/>
    </row>
    <row r="11" spans="1:26" ht="20.25" customHeight="1">
      <c r="A11" s="4">
        <v>1</v>
      </c>
      <c r="B11" s="5" t="s">
        <v>12</v>
      </c>
      <c r="C11" s="5"/>
      <c r="D11" s="6" t="s">
        <v>95</v>
      </c>
      <c r="E11" s="32"/>
      <c r="F11" s="34"/>
      <c r="G11" s="42">
        <f>500*21</f>
        <v>10500</v>
      </c>
      <c r="H11" s="1">
        <f>M11-G11</f>
        <v>21209.247442054708</v>
      </c>
      <c r="I11" s="34"/>
      <c r="J11" s="1">
        <f>(206+801)*0.4+702*0.225</f>
        <v>560.75</v>
      </c>
      <c r="K11" s="21"/>
      <c r="L11" s="1">
        <f>N11+V11</f>
        <v>31709.247442054708</v>
      </c>
      <c r="M11" s="1">
        <f t="shared" ref="M11:M15" si="4">N11+O11</f>
        <v>31709.247442054708</v>
      </c>
      <c r="N11" s="1">
        <f>(118702-51000)/$J$10*J11</f>
        <v>28826.588583686098</v>
      </c>
      <c r="O11" s="1">
        <f>N11*0.1</f>
        <v>2882.6588583686098</v>
      </c>
      <c r="P11" s="1">
        <v>1500</v>
      </c>
      <c r="Q11" s="42">
        <f>P11+R11</f>
        <v>4500</v>
      </c>
      <c r="R11" s="42">
        <v>3000</v>
      </c>
      <c r="S11" s="1">
        <f>ROUND(2422*J11/J10,-1)</f>
        <v>1030</v>
      </c>
      <c r="T11" s="1">
        <f>(N11-P11-S11)/2</f>
        <v>13148.294291843049</v>
      </c>
      <c r="U11" s="1">
        <f t="shared" ref="U11:U15" si="5">T11</f>
        <v>13148.294291843049</v>
      </c>
      <c r="V11" s="1">
        <f>N11*0.1</f>
        <v>2882.6588583686098</v>
      </c>
      <c r="W11" s="1"/>
      <c r="X11" s="1"/>
      <c r="Y11" s="1">
        <f>R11+S11</f>
        <v>4030</v>
      </c>
      <c r="Z11" s="49" t="s">
        <v>13</v>
      </c>
    </row>
    <row r="12" spans="1:26" ht="18.899999999999999" customHeight="1">
      <c r="A12" s="4">
        <v>2</v>
      </c>
      <c r="B12" s="5" t="s">
        <v>15</v>
      </c>
      <c r="C12" s="5"/>
      <c r="D12" s="6" t="s">
        <v>96</v>
      </c>
      <c r="E12" s="32"/>
      <c r="F12" s="34"/>
      <c r="G12" s="42">
        <f>500*19</f>
        <v>9500</v>
      </c>
      <c r="H12" s="1">
        <f t="shared" ref="H12:H15" si="6">M12-G12</f>
        <v>4344.3450824806823</v>
      </c>
      <c r="I12" s="34"/>
      <c r="J12" s="1">
        <f>(204+376)*0.4+57*0.225</f>
        <v>244.82499999999999</v>
      </c>
      <c r="K12" s="21"/>
      <c r="L12" s="1">
        <v>24483</v>
      </c>
      <c r="M12" s="1">
        <f t="shared" si="4"/>
        <v>13844.345082480682</v>
      </c>
      <c r="N12" s="1">
        <f t="shared" ref="N12:N15" si="7">(118702-51000)/$J$10*J12</f>
        <v>12585.76825680062</v>
      </c>
      <c r="O12" s="1">
        <f t="shared" ref="O12:O15" si="8">N12*0.1</f>
        <v>1258.576825680062</v>
      </c>
      <c r="P12" s="1">
        <v>500</v>
      </c>
      <c r="Q12" s="42">
        <f t="shared" ref="Q12:Q15" si="9">P12+R12</f>
        <v>3500</v>
      </c>
      <c r="R12" s="42">
        <v>3000</v>
      </c>
      <c r="S12" s="1">
        <f>ROUND(2422*J12/J10,-1)</f>
        <v>450</v>
      </c>
      <c r="T12" s="1">
        <f>(N12-P12-S12)/2</f>
        <v>5817.8841284003101</v>
      </c>
      <c r="U12" s="1">
        <f t="shared" si="5"/>
        <v>5817.8841284003101</v>
      </c>
      <c r="V12" s="1">
        <f>N12*0.1</f>
        <v>1258.576825680062</v>
      </c>
      <c r="W12" s="1"/>
      <c r="X12" s="1"/>
      <c r="Y12" s="1">
        <f t="shared" ref="Y12:Y15" si="10">R12+S12</f>
        <v>3450</v>
      </c>
      <c r="Z12" s="49" t="s">
        <v>16</v>
      </c>
    </row>
    <row r="13" spans="1:26" ht="19.5" customHeight="1">
      <c r="A13" s="4">
        <v>3</v>
      </c>
      <c r="B13" s="5" t="s">
        <v>17</v>
      </c>
      <c r="C13" s="5"/>
      <c r="D13" s="6" t="s">
        <v>97</v>
      </c>
      <c r="E13" s="32"/>
      <c r="F13" s="34"/>
      <c r="G13" s="42">
        <f>500*22</f>
        <v>11000</v>
      </c>
      <c r="H13" s="1">
        <f t="shared" si="6"/>
        <v>1361.3758195865521</v>
      </c>
      <c r="I13" s="34"/>
      <c r="J13" s="1">
        <f>(149+276)*0.4+216*0.225</f>
        <v>218.6</v>
      </c>
      <c r="K13" s="21"/>
      <c r="L13" s="1">
        <f>149*40+276*40+216*22.5</f>
        <v>21860</v>
      </c>
      <c r="M13" s="1">
        <f t="shared" si="4"/>
        <v>12361.375819586552</v>
      </c>
      <c r="N13" s="1">
        <f t="shared" si="7"/>
        <v>11237.614381442319</v>
      </c>
      <c r="O13" s="1">
        <f t="shared" si="8"/>
        <v>1123.761438144232</v>
      </c>
      <c r="P13" s="1">
        <v>1000</v>
      </c>
      <c r="Q13" s="42">
        <f t="shared" si="9"/>
        <v>4000</v>
      </c>
      <c r="R13" s="42">
        <v>3000</v>
      </c>
      <c r="S13" s="1">
        <f>ROUND(2422*J13/J10,-1)</f>
        <v>400</v>
      </c>
      <c r="T13" s="1">
        <f>(N13-P13-S13)/2</f>
        <v>4918.8071907211597</v>
      </c>
      <c r="U13" s="1">
        <f t="shared" si="5"/>
        <v>4918.8071907211597</v>
      </c>
      <c r="V13" s="1">
        <f>N13*0.1</f>
        <v>1123.761438144232</v>
      </c>
      <c r="W13" s="1"/>
      <c r="X13" s="1"/>
      <c r="Y13" s="1">
        <f t="shared" si="10"/>
        <v>3400</v>
      </c>
      <c r="Z13" s="49" t="s">
        <v>18</v>
      </c>
    </row>
    <row r="14" spans="1:26" ht="18" customHeight="1">
      <c r="A14" s="4">
        <v>4</v>
      </c>
      <c r="B14" s="5" t="s">
        <v>19</v>
      </c>
      <c r="C14" s="5"/>
      <c r="D14" s="6" t="s">
        <v>98</v>
      </c>
      <c r="E14" s="33" t="s">
        <v>56</v>
      </c>
      <c r="F14" s="34"/>
      <c r="G14" s="42">
        <f>500*36</f>
        <v>18000</v>
      </c>
      <c r="H14" s="1"/>
      <c r="I14" s="1">
        <f>G14-M14</f>
        <v>5468.9804134474834</v>
      </c>
      <c r="J14" s="1">
        <f>(271+283)*0.4</f>
        <v>221.60000000000002</v>
      </c>
      <c r="K14" s="21"/>
      <c r="L14" s="1">
        <f>271*40+283*40</f>
        <v>22160</v>
      </c>
      <c r="M14" s="1">
        <f t="shared" si="4"/>
        <v>12531.019586552517</v>
      </c>
      <c r="N14" s="1">
        <f t="shared" si="7"/>
        <v>11391.835987775015</v>
      </c>
      <c r="O14" s="1">
        <f t="shared" si="8"/>
        <v>1139.1835987775016</v>
      </c>
      <c r="P14" s="1">
        <v>2000</v>
      </c>
      <c r="Q14" s="42">
        <f t="shared" si="9"/>
        <v>7000</v>
      </c>
      <c r="R14" s="42">
        <v>5000</v>
      </c>
      <c r="S14" s="1">
        <f>ROUND(2422*J14/J10,-1)</f>
        <v>410</v>
      </c>
      <c r="T14" s="1">
        <f>(N14-P14-S14)/2</f>
        <v>4490.9179938875077</v>
      </c>
      <c r="U14" s="1">
        <f t="shared" si="5"/>
        <v>4490.9179938875077</v>
      </c>
      <c r="V14" s="1">
        <f>N14*0.1</f>
        <v>1139.1835987775016</v>
      </c>
      <c r="W14" s="1"/>
      <c r="X14" s="1"/>
      <c r="Y14" s="1">
        <f t="shared" si="10"/>
        <v>5410</v>
      </c>
      <c r="Z14" s="49" t="s">
        <v>20</v>
      </c>
    </row>
    <row r="15" spans="1:26" ht="16.5" customHeight="1">
      <c r="A15" s="4">
        <v>5</v>
      </c>
      <c r="B15" s="5" t="s">
        <v>21</v>
      </c>
      <c r="C15" s="5"/>
      <c r="D15" s="6" t="s">
        <v>99</v>
      </c>
      <c r="E15" s="32"/>
      <c r="F15" s="34"/>
      <c r="G15" s="42">
        <f>500*4</f>
        <v>2000</v>
      </c>
      <c r="H15" s="1">
        <f t="shared" si="6"/>
        <v>2026.2120693255374</v>
      </c>
      <c r="I15" s="34"/>
      <c r="J15" s="1">
        <f>(69+109)*0.4</f>
        <v>71.2</v>
      </c>
      <c r="K15" s="21"/>
      <c r="L15" s="1">
        <f>69*40+109*40+0*22.5</f>
        <v>7120</v>
      </c>
      <c r="M15" s="1">
        <f t="shared" si="4"/>
        <v>4026.2120693255374</v>
      </c>
      <c r="N15" s="1">
        <f t="shared" si="7"/>
        <v>3660.1927902959433</v>
      </c>
      <c r="O15" s="1">
        <f t="shared" si="8"/>
        <v>366.01927902959437</v>
      </c>
      <c r="P15" s="1">
        <v>500</v>
      </c>
      <c r="Q15" s="42">
        <f t="shared" si="9"/>
        <v>1000</v>
      </c>
      <c r="R15" s="42">
        <v>500</v>
      </c>
      <c r="S15" s="1">
        <f>ROUND(2422*J15/J10,-1)+2</f>
        <v>132</v>
      </c>
      <c r="T15" s="1">
        <f>(N15-P15-S15)/2</f>
        <v>1514.0963951479716</v>
      </c>
      <c r="U15" s="1">
        <f t="shared" si="5"/>
        <v>1514.0963951479716</v>
      </c>
      <c r="V15" s="1">
        <f>N15*0.1</f>
        <v>366.01927902959437</v>
      </c>
      <c r="W15" s="1"/>
      <c r="X15" s="1"/>
      <c r="Y15" s="1">
        <f t="shared" si="10"/>
        <v>632</v>
      </c>
      <c r="Z15" s="49" t="s">
        <v>22</v>
      </c>
    </row>
    <row r="16" spans="1:26">
      <c r="A16" s="52" t="s">
        <v>146</v>
      </c>
      <c r="B16" s="30" t="s">
        <v>24</v>
      </c>
      <c r="C16" s="30"/>
      <c r="D16" s="50" t="s">
        <v>101</v>
      </c>
      <c r="E16" s="50"/>
      <c r="F16" s="51"/>
      <c r="G16" s="13" t="e">
        <f>SUBTOTAL(109,#REF!)</f>
        <v>#REF!</v>
      </c>
      <c r="H16" s="13" t="e">
        <f>SUBTOTAL(109,#REF!)</f>
        <v>#REF!</v>
      </c>
      <c r="I16" s="13" t="e">
        <f>SUBTOTAL(109,#REF!)</f>
        <v>#REF!</v>
      </c>
      <c r="J16" s="13" t="e">
        <f>SUBTOTAL(109,#REF!)</f>
        <v>#REF!</v>
      </c>
      <c r="K16" s="13" t="e">
        <f>SUBTOTAL(109,#REF!)</f>
        <v>#REF!</v>
      </c>
      <c r="L16" s="13" t="e">
        <f>SUBTOTAL(109,#REF!)</f>
        <v>#REF!</v>
      </c>
      <c r="M16" s="13" t="e">
        <f>SUBTOTAL(109,#REF!)</f>
        <v>#REF!</v>
      </c>
      <c r="N16" s="13" t="e">
        <f>SUBTOTAL(109,#REF!)</f>
        <v>#REF!</v>
      </c>
      <c r="O16" s="13" t="e">
        <f>SUBTOTAL(109,#REF!)</f>
        <v>#REF!</v>
      </c>
      <c r="P16" s="13" t="e">
        <f>SUBTOTAL(109,#REF!)</f>
        <v>#REF!</v>
      </c>
      <c r="Q16" s="13"/>
      <c r="R16" s="13"/>
      <c r="S16" s="13">
        <f t="shared" ref="S16:X16" si="11">SUBTOTAL(109,S17:S21)</f>
        <v>21800</v>
      </c>
      <c r="T16" s="13">
        <f t="shared" si="11"/>
        <v>0</v>
      </c>
      <c r="U16" s="13">
        <f t="shared" si="11"/>
        <v>0</v>
      </c>
      <c r="V16" s="13">
        <f t="shared" si="11"/>
        <v>0</v>
      </c>
      <c r="W16" s="13">
        <f t="shared" si="11"/>
        <v>0</v>
      </c>
      <c r="X16" s="13">
        <f t="shared" si="11"/>
        <v>0</v>
      </c>
      <c r="Y16" s="13">
        <f>SUBTOTAL(109,Y17:Y21)</f>
        <v>21800</v>
      </c>
      <c r="Z16" s="49"/>
    </row>
    <row r="17" spans="1:29" s="3" customFormat="1" ht="25.5" customHeight="1">
      <c r="A17" s="53">
        <v>1</v>
      </c>
      <c r="B17" s="5" t="s">
        <v>12</v>
      </c>
      <c r="C17" s="5"/>
      <c r="D17" s="4"/>
      <c r="E17" s="6"/>
      <c r="F17" s="49"/>
      <c r="G17" s="49"/>
      <c r="H17" s="49"/>
      <c r="I17" s="49"/>
      <c r="J17" s="1"/>
      <c r="K17" s="1"/>
      <c r="L17" s="1"/>
      <c r="M17" s="1">
        <f>N17</f>
        <v>4488.2352941176468</v>
      </c>
      <c r="N17" s="1">
        <f>(51000-29200)/102*21</f>
        <v>4488.2352941176468</v>
      </c>
      <c r="O17" s="1"/>
      <c r="P17" s="1"/>
      <c r="Q17" s="1"/>
      <c r="R17" s="1"/>
      <c r="S17" s="1">
        <f>ROUND(N17,-1)</f>
        <v>4490</v>
      </c>
      <c r="T17" s="2"/>
      <c r="U17" s="2"/>
      <c r="V17" s="2"/>
      <c r="W17" s="2"/>
      <c r="X17" s="2"/>
      <c r="Y17" s="1">
        <f>S17</f>
        <v>4490</v>
      </c>
      <c r="Z17" s="55" t="s">
        <v>40</v>
      </c>
    </row>
    <row r="18" spans="1:29" s="3" customFormat="1" ht="25.5" customHeight="1">
      <c r="A18" s="53">
        <v>2</v>
      </c>
      <c r="B18" s="5" t="s">
        <v>15</v>
      </c>
      <c r="C18" s="5"/>
      <c r="D18" s="4"/>
      <c r="E18" s="6"/>
      <c r="F18" s="49"/>
      <c r="G18" s="49"/>
      <c r="H18" s="49"/>
      <c r="I18" s="49"/>
      <c r="J18" s="1"/>
      <c r="K18" s="1"/>
      <c r="L18" s="1"/>
      <c r="M18" s="1">
        <f t="shared" ref="M18:M21" si="12">N18</f>
        <v>4060.7843137254899</v>
      </c>
      <c r="N18" s="1">
        <f>(51000-29200)/102*19</f>
        <v>4060.7843137254899</v>
      </c>
      <c r="O18" s="1"/>
      <c r="P18" s="1"/>
      <c r="Q18" s="1"/>
      <c r="R18" s="1"/>
      <c r="S18" s="1">
        <f>ROUND(N18,-1)</f>
        <v>4060</v>
      </c>
      <c r="T18" s="2"/>
      <c r="U18" s="2"/>
      <c r="V18" s="2"/>
      <c r="W18" s="2"/>
      <c r="X18" s="2"/>
      <c r="Y18" s="1">
        <f t="shared" ref="Y18:Y21" si="13">S18</f>
        <v>4060</v>
      </c>
      <c r="Z18" s="55"/>
    </row>
    <row r="19" spans="1:29" s="3" customFormat="1" ht="21.75" customHeight="1">
      <c r="A19" s="53">
        <v>3</v>
      </c>
      <c r="B19" s="5" t="s">
        <v>17</v>
      </c>
      <c r="C19" s="5"/>
      <c r="D19" s="4"/>
      <c r="E19" s="6"/>
      <c r="F19" s="49"/>
      <c r="G19" s="49"/>
      <c r="H19" s="49"/>
      <c r="I19" s="49"/>
      <c r="J19" s="1"/>
      <c r="K19" s="1"/>
      <c r="L19" s="1"/>
      <c r="M19" s="1">
        <f t="shared" si="12"/>
        <v>4701.9607843137255</v>
      </c>
      <c r="N19" s="1">
        <f>(51000-29200)/102*22</f>
        <v>4701.9607843137255</v>
      </c>
      <c r="O19" s="1"/>
      <c r="P19" s="1"/>
      <c r="Q19" s="1"/>
      <c r="R19" s="1"/>
      <c r="S19" s="1">
        <f>ROUND(N19,-1)</f>
        <v>4700</v>
      </c>
      <c r="T19" s="2"/>
      <c r="U19" s="2"/>
      <c r="V19" s="2"/>
      <c r="W19" s="2"/>
      <c r="X19" s="2"/>
      <c r="Y19" s="1">
        <f t="shared" si="13"/>
        <v>4700</v>
      </c>
      <c r="Z19" s="55"/>
    </row>
    <row r="20" spans="1:29" s="3" customFormat="1" ht="30" customHeight="1">
      <c r="A20" s="53">
        <v>4</v>
      </c>
      <c r="B20" s="5" t="s">
        <v>19</v>
      </c>
      <c r="C20" s="5"/>
      <c r="D20" s="4"/>
      <c r="E20" s="6"/>
      <c r="F20" s="49"/>
      <c r="G20" s="49"/>
      <c r="H20" s="49"/>
      <c r="I20" s="49"/>
      <c r="J20" s="1"/>
      <c r="K20" s="1"/>
      <c r="L20" s="1"/>
      <c r="M20" s="1">
        <f t="shared" si="12"/>
        <v>7694.1176470588234</v>
      </c>
      <c r="N20" s="1">
        <f>(51000-29200)/102*36</f>
        <v>7694.1176470588234</v>
      </c>
      <c r="O20" s="1"/>
      <c r="P20" s="1"/>
      <c r="Q20" s="1"/>
      <c r="R20" s="1"/>
      <c r="S20" s="1">
        <f>ROUND(N20,-1)</f>
        <v>7690</v>
      </c>
      <c r="T20" s="2"/>
      <c r="U20" s="2"/>
      <c r="V20" s="2"/>
      <c r="W20" s="2"/>
      <c r="X20" s="2"/>
      <c r="Y20" s="1">
        <f t="shared" si="13"/>
        <v>7690</v>
      </c>
      <c r="Z20" s="55"/>
    </row>
    <row r="21" spans="1:29" s="3" customFormat="1" ht="30" customHeight="1">
      <c r="A21" s="53">
        <v>5</v>
      </c>
      <c r="B21" s="5" t="s">
        <v>21</v>
      </c>
      <c r="C21" s="5"/>
      <c r="D21" s="4"/>
      <c r="E21" s="6"/>
      <c r="F21" s="49"/>
      <c r="G21" s="49"/>
      <c r="H21" s="49"/>
      <c r="I21" s="49"/>
      <c r="J21" s="1"/>
      <c r="K21" s="1"/>
      <c r="L21" s="1"/>
      <c r="M21" s="1">
        <f t="shared" si="12"/>
        <v>854.9019607843137</v>
      </c>
      <c r="N21" s="1">
        <f>(51000-29200)/102*4</f>
        <v>854.9019607843137</v>
      </c>
      <c r="O21" s="1"/>
      <c r="P21" s="1"/>
      <c r="Q21" s="1"/>
      <c r="R21" s="1"/>
      <c r="S21" s="1">
        <f>ROUND(N21,-1)+10</f>
        <v>860</v>
      </c>
      <c r="T21" s="2"/>
      <c r="U21" s="2"/>
      <c r="V21" s="2"/>
      <c r="W21" s="2"/>
      <c r="X21" s="2"/>
      <c r="Y21" s="1">
        <f t="shared" si="13"/>
        <v>860</v>
      </c>
      <c r="Z21" s="55"/>
    </row>
    <row r="22" spans="1:29" s="14" customFormat="1" ht="27.6">
      <c r="A22" s="52" t="s">
        <v>37</v>
      </c>
      <c r="B22" s="11" t="s">
        <v>65</v>
      </c>
      <c r="C22" s="11"/>
      <c r="D22" s="50"/>
      <c r="E22" s="12"/>
      <c r="F22" s="49"/>
      <c r="G22" s="13">
        <v>42885</v>
      </c>
      <c r="H22" s="13" t="e">
        <f>M22-G22</f>
        <v>#REF!</v>
      </c>
      <c r="I22" s="49"/>
      <c r="J22" s="36" t="e">
        <f>#REF!+J23+J28+#REF!</f>
        <v>#REF!</v>
      </c>
      <c r="K22" s="15" t="e">
        <f>N22/J22</f>
        <v>#REF!</v>
      </c>
      <c r="L22" s="13" t="e">
        <f>SUBTOTAL(109,L23:L28)</f>
        <v>#REF!</v>
      </c>
      <c r="M22" s="13" t="e">
        <f>SUBTOTAL(109,M23:M28)</f>
        <v>#REF!</v>
      </c>
      <c r="N22" s="13" t="e">
        <f>SUBTOTAL(109,N23:N28)</f>
        <v>#REF!</v>
      </c>
      <c r="O22" s="13">
        <f>SUBTOTAL(109,O23:O28)</f>
        <v>0</v>
      </c>
      <c r="P22" s="13">
        <f>SUBTOTAL(109,P23:P28)</f>
        <v>5265</v>
      </c>
      <c r="Q22" s="13"/>
      <c r="R22" s="13"/>
      <c r="S22" s="13">
        <f>SUBTOTAL(109,S23:S28)</f>
        <v>10374</v>
      </c>
      <c r="T22" s="13" t="e">
        <f t="shared" ref="T22:Y22" si="14">SUBTOTAL(109,T23:T28)</f>
        <v>#REF!</v>
      </c>
      <c r="U22" s="13" t="e">
        <f t="shared" si="14"/>
        <v>#REF!</v>
      </c>
      <c r="V22" s="13">
        <f t="shared" si="14"/>
        <v>0</v>
      </c>
      <c r="W22" s="13">
        <f t="shared" si="14"/>
        <v>0</v>
      </c>
      <c r="X22" s="13">
        <f t="shared" si="14"/>
        <v>0</v>
      </c>
      <c r="Y22" s="13">
        <f t="shared" si="14"/>
        <v>10374</v>
      </c>
      <c r="Z22" s="51"/>
    </row>
    <row r="23" spans="1:29" ht="27.6">
      <c r="A23" s="4" t="s">
        <v>10</v>
      </c>
      <c r="B23" s="18" t="s">
        <v>68</v>
      </c>
      <c r="C23" s="18"/>
      <c r="D23" s="6" t="s">
        <v>88</v>
      </c>
      <c r="E23" s="19"/>
      <c r="F23" s="49"/>
      <c r="G23" s="49"/>
      <c r="H23" s="49"/>
      <c r="I23" s="49"/>
      <c r="J23" s="1">
        <f t="shared" ref="J23:P23" si="15">SUBTOTAL(109,J24:J27)</f>
        <v>156</v>
      </c>
      <c r="K23" s="1">
        <f t="shared" si="15"/>
        <v>0</v>
      </c>
      <c r="L23" s="1" t="e">
        <f t="shared" si="15"/>
        <v>#REF!</v>
      </c>
      <c r="M23" s="1" t="e">
        <f t="shared" si="15"/>
        <v>#REF!</v>
      </c>
      <c r="N23" s="1" t="e">
        <f t="shared" si="15"/>
        <v>#REF!</v>
      </c>
      <c r="O23" s="1">
        <f t="shared" si="15"/>
        <v>0</v>
      </c>
      <c r="P23" s="1">
        <f t="shared" si="15"/>
        <v>5265</v>
      </c>
      <c r="Q23" s="1">
        <f t="shared" ref="Q23:Q27" si="16">P23+R23</f>
        <v>5265</v>
      </c>
      <c r="R23" s="1">
        <f>SUBTOTAL(109,R24:R27)</f>
        <v>0</v>
      </c>
      <c r="S23" s="1">
        <f>SUBTOTAL(109,S24:S27)</f>
        <v>5864</v>
      </c>
      <c r="T23" s="1" t="e">
        <f t="shared" ref="T23:Y23" si="17">SUBTOTAL(109,T24:T27)</f>
        <v>#REF!</v>
      </c>
      <c r="U23" s="1" t="e">
        <f t="shared" si="17"/>
        <v>#REF!</v>
      </c>
      <c r="V23" s="1">
        <f t="shared" si="17"/>
        <v>0</v>
      </c>
      <c r="W23" s="1">
        <f t="shared" si="17"/>
        <v>0</v>
      </c>
      <c r="X23" s="1">
        <f t="shared" si="17"/>
        <v>0</v>
      </c>
      <c r="Y23" s="1">
        <f t="shared" si="17"/>
        <v>5864</v>
      </c>
      <c r="Z23" s="49"/>
      <c r="AC23" s="29"/>
    </row>
    <row r="24" spans="1:29">
      <c r="A24" s="53">
        <v>1</v>
      </c>
      <c r="B24" s="18" t="s">
        <v>60</v>
      </c>
      <c r="C24" s="18"/>
      <c r="D24" s="6">
        <v>21</v>
      </c>
      <c r="E24" s="19"/>
      <c r="F24" s="49"/>
      <c r="G24" s="49"/>
      <c r="H24" s="49"/>
      <c r="I24" s="49"/>
      <c r="J24" s="17">
        <f>D24*2</f>
        <v>42</v>
      </c>
      <c r="K24" s="1"/>
      <c r="L24" s="1" t="e">
        <f>N24+V24</f>
        <v>#REF!</v>
      </c>
      <c r="M24" s="1" t="e">
        <f t="shared" ref="M24:M28" si="18">N24+O24</f>
        <v>#REF!</v>
      </c>
      <c r="N24" s="1" t="e">
        <f>42885/$J$22*J24</f>
        <v>#REF!</v>
      </c>
      <c r="O24" s="1"/>
      <c r="P24" s="1">
        <v>1128</v>
      </c>
      <c r="Q24" s="1">
        <f t="shared" si="16"/>
        <v>1128</v>
      </c>
      <c r="R24" s="1"/>
      <c r="S24" s="1">
        <f>ROUND(10374/(156+120)*J24,-1)</f>
        <v>1580</v>
      </c>
      <c r="T24" s="9" t="e">
        <f>(N24-P24-S24)/2</f>
        <v>#REF!</v>
      </c>
      <c r="U24" s="9" t="e">
        <f t="shared" ref="U24:U28" si="19">T24</f>
        <v>#REF!</v>
      </c>
      <c r="V24" s="9"/>
      <c r="W24" s="9"/>
      <c r="X24" s="9"/>
      <c r="Y24" s="1">
        <f>S24</f>
        <v>1580</v>
      </c>
      <c r="Z24" s="55" t="s">
        <v>40</v>
      </c>
    </row>
    <row r="25" spans="1:29">
      <c r="A25" s="53">
        <v>2</v>
      </c>
      <c r="B25" s="18" t="s">
        <v>15</v>
      </c>
      <c r="C25" s="18"/>
      <c r="D25" s="6">
        <v>19</v>
      </c>
      <c r="E25" s="19"/>
      <c r="F25" s="49"/>
      <c r="G25" s="49"/>
      <c r="H25" s="49"/>
      <c r="I25" s="49"/>
      <c r="J25" s="17">
        <f>D25*2</f>
        <v>38</v>
      </c>
      <c r="K25" s="1"/>
      <c r="L25" s="1" t="e">
        <f>N25+V25</f>
        <v>#REF!</v>
      </c>
      <c r="M25" s="1" t="e">
        <f t="shared" si="18"/>
        <v>#REF!</v>
      </c>
      <c r="N25" s="1" t="e">
        <f>42885/$J$22*J25</f>
        <v>#REF!</v>
      </c>
      <c r="O25" s="1"/>
      <c r="P25" s="1">
        <v>1021</v>
      </c>
      <c r="Q25" s="1">
        <f t="shared" si="16"/>
        <v>1021</v>
      </c>
      <c r="R25" s="1"/>
      <c r="S25" s="1">
        <f>ROUND(10374/(156+120)*J25,-1)</f>
        <v>1430</v>
      </c>
      <c r="T25" s="9" t="e">
        <f>(N25-P25-S25)/2</f>
        <v>#REF!</v>
      </c>
      <c r="U25" s="9" t="e">
        <f t="shared" si="19"/>
        <v>#REF!</v>
      </c>
      <c r="V25" s="9"/>
      <c r="W25" s="9"/>
      <c r="X25" s="9"/>
      <c r="Y25" s="1">
        <f t="shared" ref="Y25:Y28" si="20">S25</f>
        <v>1430</v>
      </c>
      <c r="Z25" s="55"/>
    </row>
    <row r="26" spans="1:29" ht="15" customHeight="1">
      <c r="A26" s="53">
        <v>3</v>
      </c>
      <c r="B26" s="18" t="s">
        <v>69</v>
      </c>
      <c r="C26" s="18"/>
      <c r="D26" s="6">
        <v>21</v>
      </c>
      <c r="E26" s="19"/>
      <c r="F26" s="49"/>
      <c r="G26" s="49"/>
      <c r="H26" s="49"/>
      <c r="I26" s="49"/>
      <c r="J26" s="17">
        <f>D26*2</f>
        <v>42</v>
      </c>
      <c r="K26" s="1"/>
      <c r="L26" s="1" t="e">
        <f>N26+V26</f>
        <v>#REF!</v>
      </c>
      <c r="M26" s="1" t="e">
        <f t="shared" si="18"/>
        <v>#REF!</v>
      </c>
      <c r="N26" s="1" t="e">
        <f>42885/$J$22*J26</f>
        <v>#REF!</v>
      </c>
      <c r="O26" s="1"/>
      <c r="P26" s="1">
        <v>1182</v>
      </c>
      <c r="Q26" s="1">
        <f t="shared" si="16"/>
        <v>1182</v>
      </c>
      <c r="R26" s="1"/>
      <c r="S26" s="1">
        <f>ROUND(10374/(156+120)*J26,-1)</f>
        <v>1580</v>
      </c>
      <c r="T26" s="9" t="e">
        <f>(N26-P26-S26)/2</f>
        <v>#REF!</v>
      </c>
      <c r="U26" s="9" t="e">
        <f t="shared" si="19"/>
        <v>#REF!</v>
      </c>
      <c r="V26" s="9"/>
      <c r="W26" s="9"/>
      <c r="X26" s="9"/>
      <c r="Y26" s="1">
        <f t="shared" si="20"/>
        <v>1580</v>
      </c>
      <c r="Z26" s="55"/>
    </row>
    <row r="27" spans="1:29">
      <c r="A27" s="53">
        <v>4</v>
      </c>
      <c r="B27" s="18" t="s">
        <v>19</v>
      </c>
      <c r="C27" s="18"/>
      <c r="D27" s="6">
        <v>17</v>
      </c>
      <c r="E27" s="19"/>
      <c r="F27" s="49"/>
      <c r="G27" s="49"/>
      <c r="H27" s="49"/>
      <c r="I27" s="49"/>
      <c r="J27" s="17">
        <f>D27*2</f>
        <v>34</v>
      </c>
      <c r="K27" s="1"/>
      <c r="L27" s="1" t="e">
        <f>N27+V27</f>
        <v>#REF!</v>
      </c>
      <c r="M27" s="1" t="e">
        <f t="shared" si="18"/>
        <v>#REF!</v>
      </c>
      <c r="N27" s="1" t="e">
        <f>42885/$J$22*J27</f>
        <v>#REF!</v>
      </c>
      <c r="O27" s="1"/>
      <c r="P27" s="1">
        <v>1934</v>
      </c>
      <c r="Q27" s="1">
        <f t="shared" si="16"/>
        <v>1934</v>
      </c>
      <c r="R27" s="1"/>
      <c r="S27" s="1">
        <f>ROUND(10374/(156+120)*J27,-1)-6</f>
        <v>1274</v>
      </c>
      <c r="T27" s="9" t="e">
        <f>(N27-P27-S27)/2</f>
        <v>#REF!</v>
      </c>
      <c r="U27" s="9" t="e">
        <f t="shared" si="19"/>
        <v>#REF!</v>
      </c>
      <c r="V27" s="9"/>
      <c r="W27" s="9"/>
      <c r="X27" s="9"/>
      <c r="Y27" s="1">
        <f t="shared" si="20"/>
        <v>1274</v>
      </c>
      <c r="Z27" s="55"/>
    </row>
    <row r="28" spans="1:29" ht="41.4">
      <c r="A28" s="4" t="s">
        <v>146</v>
      </c>
      <c r="B28" s="18" t="s">
        <v>70</v>
      </c>
      <c r="C28" s="18"/>
      <c r="D28" s="6" t="s">
        <v>71</v>
      </c>
      <c r="E28" s="19"/>
      <c r="F28" s="49"/>
      <c r="G28" s="49"/>
      <c r="H28" s="49"/>
      <c r="I28" s="49"/>
      <c r="J28" s="17">
        <f>2*60</f>
        <v>120</v>
      </c>
      <c r="K28" s="1"/>
      <c r="L28" s="1" t="e">
        <f>N28+V28</f>
        <v>#REF!</v>
      </c>
      <c r="M28" s="1" t="e">
        <f t="shared" si="18"/>
        <v>#REF!</v>
      </c>
      <c r="N28" s="1" t="e">
        <f>42885/$J$22*J28</f>
        <v>#REF!</v>
      </c>
      <c r="O28" s="1"/>
      <c r="P28" s="1"/>
      <c r="Q28" s="1"/>
      <c r="R28" s="1"/>
      <c r="S28" s="1">
        <f>ROUND(10374/(156+120)*J28,-1)</f>
        <v>4510</v>
      </c>
      <c r="T28" s="9" t="e">
        <f>(N28-P28-S28)/2</f>
        <v>#REF!</v>
      </c>
      <c r="U28" s="9" t="e">
        <f t="shared" si="19"/>
        <v>#REF!</v>
      </c>
      <c r="V28" s="9"/>
      <c r="W28" s="9"/>
      <c r="X28" s="9"/>
      <c r="Y28" s="1">
        <f t="shared" si="20"/>
        <v>4510</v>
      </c>
      <c r="Z28" s="49" t="s">
        <v>145</v>
      </c>
    </row>
    <row r="31" spans="1:29" s="24" customFormat="1">
      <c r="A31" s="20"/>
      <c r="B31" s="20"/>
      <c r="C31" s="20"/>
      <c r="D31" s="25"/>
      <c r="F31" s="25"/>
      <c r="G31" s="25"/>
      <c r="H31" s="25"/>
      <c r="I31" s="25"/>
      <c r="J31" s="20"/>
      <c r="K31" s="20"/>
      <c r="L31" s="20"/>
      <c r="M31" s="20"/>
      <c r="N31" s="20"/>
      <c r="O31" s="20"/>
      <c r="P31" s="20"/>
      <c r="Q31" s="20"/>
      <c r="R31" s="20"/>
      <c r="S31" s="20"/>
      <c r="T31" s="20"/>
      <c r="U31" s="20"/>
      <c r="V31" s="20"/>
      <c r="W31" s="20"/>
      <c r="X31" s="20"/>
      <c r="Y31" s="20"/>
      <c r="Z31" s="25"/>
    </row>
    <row r="32" spans="1:29" s="24" customFormat="1">
      <c r="A32" s="20"/>
      <c r="B32" s="20"/>
      <c r="C32" s="20"/>
      <c r="D32" s="25"/>
      <c r="F32" s="25"/>
      <c r="G32" s="25"/>
      <c r="H32" s="25"/>
      <c r="I32" s="25"/>
      <c r="J32" s="20"/>
      <c r="K32" s="20"/>
      <c r="L32" s="20"/>
      <c r="M32" s="20"/>
      <c r="N32" s="20"/>
      <c r="O32" s="20"/>
      <c r="P32" s="20"/>
      <c r="Q32" s="20"/>
      <c r="R32" s="20"/>
      <c r="S32" s="20"/>
      <c r="T32" s="20"/>
      <c r="U32" s="20"/>
      <c r="V32" s="20"/>
      <c r="W32" s="20"/>
      <c r="X32" s="20"/>
      <c r="Y32" s="20"/>
      <c r="Z32" s="25"/>
    </row>
    <row r="33" spans="1:26" s="24" customFormat="1">
      <c r="A33" s="20"/>
      <c r="B33" s="20"/>
      <c r="C33" s="20"/>
      <c r="D33" s="25"/>
      <c r="F33" s="25"/>
      <c r="G33" s="25"/>
      <c r="H33" s="25"/>
      <c r="I33" s="25"/>
      <c r="J33" s="20"/>
      <c r="K33" s="20"/>
      <c r="L33" s="20"/>
      <c r="M33" s="20"/>
      <c r="N33" s="20"/>
      <c r="O33" s="20"/>
      <c r="P33" s="20"/>
      <c r="Q33" s="20"/>
      <c r="R33" s="20"/>
      <c r="S33" s="20"/>
      <c r="T33" s="20"/>
      <c r="U33" s="20"/>
      <c r="V33" s="20"/>
      <c r="W33" s="20"/>
      <c r="X33" s="20"/>
      <c r="Y33" s="20"/>
      <c r="Z33" s="25"/>
    </row>
  </sheetData>
  <mergeCells count="24">
    <mergeCell ref="Z24:Z27"/>
    <mergeCell ref="L6:L7"/>
    <mergeCell ref="M6:O6"/>
    <mergeCell ref="P6:P7"/>
    <mergeCell ref="Z6:Z7"/>
    <mergeCell ref="S6:X6"/>
    <mergeCell ref="Y6:Y7"/>
    <mergeCell ref="R6:R7"/>
    <mergeCell ref="Z17:Z21"/>
    <mergeCell ref="F6:F7"/>
    <mergeCell ref="G6:G7"/>
    <mergeCell ref="H6:I6"/>
    <mergeCell ref="J6:J7"/>
    <mergeCell ref="K6:K7"/>
    <mergeCell ref="A6:A7"/>
    <mergeCell ref="B6:B7"/>
    <mergeCell ref="C6:C7"/>
    <mergeCell ref="D6:D7"/>
    <mergeCell ref="E6:E7"/>
    <mergeCell ref="A2:Z2"/>
    <mergeCell ref="A3:Z3"/>
    <mergeCell ref="A4:Z4"/>
    <mergeCell ref="D5:J5"/>
    <mergeCell ref="S5:Z5"/>
  </mergeCells>
  <pageMargins left="0.75" right="0.45" top="1" bottom="1" header="0.3" footer="0.3"/>
  <pageSetup paperSize="9" orientation="landscape" verticalDpi="1200" r:id="rId1"/>
  <headerFooter>
    <oddHeader>&amp;C&amp;P</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2"/>
  <sheetViews>
    <sheetView view="pageLayout" zoomScaleNormal="100" workbookViewId="0">
      <selection activeCell="A4" sqref="A4:V4"/>
    </sheetView>
  </sheetViews>
  <sheetFormatPr defaultColWidth="9" defaultRowHeight="13.8"/>
  <cols>
    <col min="1" max="1" width="5" style="20" customWidth="1"/>
    <col min="2" max="2" width="38" style="20" customWidth="1"/>
    <col min="3" max="3" width="13.8984375" style="20" customWidth="1"/>
    <col min="4" max="4" width="7.59765625" style="25" hidden="1" customWidth="1"/>
    <col min="5" max="5" width="0.8984375" style="24" hidden="1" customWidth="1"/>
    <col min="6" max="6" width="9.5" style="25" customWidth="1"/>
    <col min="7" max="7" width="14.3984375" style="25" customWidth="1"/>
    <col min="8" max="8" width="8.19921875" style="25" customWidth="1"/>
    <col min="9" max="9" width="8.5" style="25" customWidth="1"/>
    <col min="10" max="10" width="6.5" style="20" hidden="1" customWidth="1"/>
    <col min="11" max="11" width="7.09765625" style="20" hidden="1" customWidth="1"/>
    <col min="12" max="12" width="9.59765625" style="20" hidden="1" customWidth="1"/>
    <col min="13" max="13" width="8.59765625" style="20" customWidth="1"/>
    <col min="14" max="14" width="7.19921875" style="20" customWidth="1"/>
    <col min="15" max="15" width="8.3984375" style="20" customWidth="1"/>
    <col min="16" max="16" width="7.8984375" style="20" hidden="1" customWidth="1"/>
    <col min="17" max="17" width="14.3984375" style="20" hidden="1" customWidth="1"/>
    <col min="18" max="18" width="7.5" style="20" hidden="1" customWidth="1"/>
    <col min="19" max="19" width="7.8984375" style="20" hidden="1" customWidth="1"/>
    <col min="20" max="20" width="7.3984375" style="20" hidden="1" customWidth="1"/>
    <col min="21" max="21" width="8.69921875" style="20" hidden="1" customWidth="1"/>
    <col min="22" max="22" width="21.59765625" style="25" customWidth="1"/>
    <col min="23" max="16384" width="9" style="20"/>
  </cols>
  <sheetData>
    <row r="1" spans="1:24" ht="14.4">
      <c r="B1" s="26"/>
      <c r="C1" s="26"/>
    </row>
    <row r="2" spans="1:24">
      <c r="A2" s="59" t="s">
        <v>142</v>
      </c>
      <c r="B2" s="59"/>
      <c r="C2" s="59"/>
      <c r="D2" s="59"/>
      <c r="E2" s="59"/>
      <c r="F2" s="59"/>
      <c r="G2" s="59"/>
      <c r="H2" s="59"/>
      <c r="I2" s="59"/>
      <c r="J2" s="59"/>
      <c r="K2" s="59"/>
      <c r="L2" s="59"/>
      <c r="M2" s="59"/>
      <c r="N2" s="59"/>
      <c r="O2" s="59"/>
      <c r="P2" s="59"/>
      <c r="Q2" s="59"/>
      <c r="R2" s="59"/>
      <c r="S2" s="59"/>
      <c r="T2" s="59"/>
      <c r="U2" s="59"/>
      <c r="V2" s="59"/>
    </row>
    <row r="3" spans="1:24" ht="35.25" customHeight="1">
      <c r="A3" s="60" t="s">
        <v>135</v>
      </c>
      <c r="B3" s="60"/>
      <c r="C3" s="60"/>
      <c r="D3" s="60"/>
      <c r="E3" s="60"/>
      <c r="F3" s="60"/>
      <c r="G3" s="60"/>
      <c r="H3" s="60"/>
      <c r="I3" s="60"/>
      <c r="J3" s="60"/>
      <c r="K3" s="60"/>
      <c r="L3" s="60"/>
      <c r="M3" s="60"/>
      <c r="N3" s="60"/>
      <c r="O3" s="60"/>
      <c r="P3" s="60"/>
      <c r="Q3" s="60"/>
      <c r="R3" s="60"/>
      <c r="S3" s="60"/>
      <c r="T3" s="60"/>
      <c r="U3" s="60"/>
      <c r="V3" s="60"/>
    </row>
    <row r="4" spans="1:24">
      <c r="A4" s="61" t="s">
        <v>164</v>
      </c>
      <c r="B4" s="61"/>
      <c r="C4" s="61"/>
      <c r="D4" s="61"/>
      <c r="E4" s="61"/>
      <c r="F4" s="61"/>
      <c r="G4" s="61"/>
      <c r="H4" s="61"/>
      <c r="I4" s="61"/>
      <c r="J4" s="61"/>
      <c r="K4" s="61"/>
      <c r="L4" s="61"/>
      <c r="M4" s="61"/>
      <c r="N4" s="61"/>
      <c r="O4" s="61"/>
      <c r="P4" s="61"/>
      <c r="Q4" s="61"/>
      <c r="R4" s="61"/>
      <c r="S4" s="61"/>
      <c r="T4" s="61"/>
      <c r="U4" s="61"/>
      <c r="V4" s="61"/>
    </row>
    <row r="5" spans="1:24">
      <c r="A5" s="23"/>
      <c r="B5" s="23"/>
      <c r="C5" s="23"/>
      <c r="D5" s="62"/>
      <c r="E5" s="62"/>
      <c r="F5" s="62"/>
      <c r="G5" s="62"/>
      <c r="H5" s="62"/>
      <c r="I5" s="62"/>
      <c r="J5" s="62"/>
      <c r="K5" s="23"/>
      <c r="L5" s="23"/>
      <c r="M5" s="23"/>
      <c r="N5" s="23"/>
      <c r="O5" s="23"/>
      <c r="P5" s="23"/>
      <c r="Q5" s="63" t="s">
        <v>0</v>
      </c>
      <c r="R5" s="63"/>
      <c r="S5" s="63"/>
      <c r="T5" s="63"/>
      <c r="U5" s="63"/>
      <c r="V5" s="63"/>
    </row>
    <row r="6" spans="1:24" ht="32.25" customHeight="1">
      <c r="A6" s="58" t="s">
        <v>1</v>
      </c>
      <c r="B6" s="58" t="s">
        <v>2</v>
      </c>
      <c r="C6" s="57" t="s">
        <v>112</v>
      </c>
      <c r="D6" s="56" t="s">
        <v>3</v>
      </c>
      <c r="E6" s="56" t="s">
        <v>4</v>
      </c>
      <c r="F6" s="57" t="s">
        <v>5</v>
      </c>
      <c r="G6" s="67" t="s">
        <v>140</v>
      </c>
      <c r="H6" s="69" t="s">
        <v>130</v>
      </c>
      <c r="I6" s="70"/>
      <c r="J6" s="57" t="s">
        <v>6</v>
      </c>
      <c r="K6" s="57" t="s">
        <v>110</v>
      </c>
      <c r="L6" s="57" t="s">
        <v>94</v>
      </c>
      <c r="M6" s="57" t="s">
        <v>133</v>
      </c>
      <c r="N6" s="57"/>
      <c r="O6" s="57"/>
      <c r="P6" s="56" t="s">
        <v>7</v>
      </c>
      <c r="Q6" s="56" t="s">
        <v>111</v>
      </c>
      <c r="R6" s="56"/>
      <c r="S6" s="56"/>
      <c r="T6" s="56"/>
      <c r="U6" s="56"/>
      <c r="V6" s="57" t="s">
        <v>109</v>
      </c>
    </row>
    <row r="7" spans="1:24" ht="66.900000000000006" customHeight="1">
      <c r="A7" s="58"/>
      <c r="B7" s="58"/>
      <c r="C7" s="57"/>
      <c r="D7" s="56"/>
      <c r="E7" s="56"/>
      <c r="F7" s="57"/>
      <c r="G7" s="68"/>
      <c r="H7" s="51" t="s">
        <v>131</v>
      </c>
      <c r="I7" s="51" t="s">
        <v>132</v>
      </c>
      <c r="J7" s="57"/>
      <c r="K7" s="57"/>
      <c r="L7" s="57"/>
      <c r="M7" s="51" t="s">
        <v>108</v>
      </c>
      <c r="N7" s="51" t="s">
        <v>106</v>
      </c>
      <c r="O7" s="51" t="s">
        <v>107</v>
      </c>
      <c r="P7" s="56"/>
      <c r="Q7" s="51" t="s">
        <v>106</v>
      </c>
      <c r="R7" s="51" t="s">
        <v>107</v>
      </c>
      <c r="S7" s="11"/>
      <c r="T7" s="11"/>
      <c r="U7" s="50" t="s">
        <v>107</v>
      </c>
      <c r="V7" s="57"/>
    </row>
    <row r="8" spans="1:24" ht="30" customHeight="1">
      <c r="A8" s="52"/>
      <c r="B8" s="27" t="s">
        <v>129</v>
      </c>
      <c r="C8" s="27"/>
      <c r="D8" s="28"/>
      <c r="E8" s="52"/>
      <c r="F8" s="51"/>
      <c r="G8" s="13">
        <f>SUBTOTAL(109,G9:G86)</f>
        <v>593918.19999999995</v>
      </c>
      <c r="H8" s="13">
        <f>SUBTOTAL(109,H9:H86)</f>
        <v>263436.79999999999</v>
      </c>
      <c r="I8" s="13">
        <f>SUBTOTAL(109,I9:I86)</f>
        <v>5470</v>
      </c>
      <c r="J8" s="13"/>
      <c r="K8" s="13">
        <f t="shared" ref="K8:T8" si="0">SUBTOTAL(109,K9:K86)</f>
        <v>155.49700793614079</v>
      </c>
      <c r="L8" s="13">
        <f t="shared" si="0"/>
        <v>861975</v>
      </c>
      <c r="M8" s="13">
        <f t="shared" si="0"/>
        <v>851885</v>
      </c>
      <c r="N8" s="13">
        <f t="shared" si="0"/>
        <v>801885</v>
      </c>
      <c r="O8" s="13">
        <f t="shared" si="0"/>
        <v>50000</v>
      </c>
      <c r="P8" s="13">
        <f t="shared" si="0"/>
        <v>156999</v>
      </c>
      <c r="Q8" s="13">
        <f t="shared" si="0"/>
        <v>34671.173913043487</v>
      </c>
      <c r="R8" s="13">
        <f t="shared" si="0"/>
        <v>191392</v>
      </c>
      <c r="S8" s="13">
        <f t="shared" si="0"/>
        <v>127021</v>
      </c>
      <c r="T8" s="13">
        <f t="shared" si="0"/>
        <v>21884.2</v>
      </c>
      <c r="U8" s="13"/>
      <c r="V8" s="51"/>
    </row>
    <row r="9" spans="1:24" ht="27.6">
      <c r="A9" s="52" t="s">
        <v>8</v>
      </c>
      <c r="B9" s="30" t="s">
        <v>9</v>
      </c>
      <c r="C9" s="30"/>
      <c r="D9" s="50"/>
      <c r="E9" s="50"/>
      <c r="F9" s="51"/>
      <c r="G9" s="13">
        <f>SUBTOTAL(109,G10:G22)</f>
        <v>80200</v>
      </c>
      <c r="H9" s="13">
        <f t="shared" ref="H9:M9" si="1">SUBTOTAL(109,H10:H27)</f>
        <v>50742</v>
      </c>
      <c r="I9" s="13">
        <f t="shared" si="1"/>
        <v>5470</v>
      </c>
      <c r="J9" s="13">
        <f t="shared" si="1"/>
        <v>2633.95</v>
      </c>
      <c r="K9" s="13">
        <f t="shared" si="1"/>
        <v>51.407202110898076</v>
      </c>
      <c r="L9" s="13">
        <f t="shared" si="1"/>
        <v>158336</v>
      </c>
      <c r="M9" s="13">
        <f t="shared" si="1"/>
        <v>125472</v>
      </c>
      <c r="N9" s="13">
        <f>SUBTOTAL(109,N10:N27)</f>
        <v>118702</v>
      </c>
      <c r="O9" s="13">
        <f t="shared" ref="O9:Q9" si="2">SUBTOTAL(109,O10:O22)</f>
        <v>6770</v>
      </c>
      <c r="P9" s="13">
        <f t="shared" si="2"/>
        <v>34311</v>
      </c>
      <c r="Q9" s="13">
        <f t="shared" si="2"/>
        <v>2422</v>
      </c>
      <c r="R9" s="13">
        <f t="shared" ref="R9:T9" si="3">SUBTOTAL(109,R10:R21)</f>
        <v>29890</v>
      </c>
      <c r="S9" s="13">
        <f t="shared" si="3"/>
        <v>29890</v>
      </c>
      <c r="T9" s="13">
        <f t="shared" si="3"/>
        <v>6770.2</v>
      </c>
      <c r="U9" s="13"/>
      <c r="V9" s="51"/>
      <c r="W9" s="29"/>
    </row>
    <row r="10" spans="1:24" s="14" customFormat="1" ht="21.9" customHeight="1">
      <c r="A10" s="40" t="s">
        <v>10</v>
      </c>
      <c r="B10" s="30" t="s">
        <v>11</v>
      </c>
      <c r="C10" s="30"/>
      <c r="D10" s="6" t="s">
        <v>100</v>
      </c>
      <c r="E10" s="47"/>
      <c r="F10" s="48"/>
      <c r="G10" s="13">
        <f>SUBTOTAL(109,G11:G15)</f>
        <v>51000</v>
      </c>
      <c r="H10" s="13">
        <f t="shared" ref="H10:I10" si="4">SUBTOTAL(109,H11:H15)</f>
        <v>28942</v>
      </c>
      <c r="I10" s="13">
        <f t="shared" si="4"/>
        <v>5470</v>
      </c>
      <c r="J10" s="13">
        <f>SUM(J11:J15)</f>
        <v>1316.9750000000001</v>
      </c>
      <c r="K10" s="36">
        <f>N10/J10</f>
        <v>51.407202110898076</v>
      </c>
      <c r="L10" s="13">
        <f>SUBTOTAL(109,L11:L15)</f>
        <v>107336</v>
      </c>
      <c r="M10" s="13">
        <f>SUBTOTAL(109,M11:M15)</f>
        <v>74472</v>
      </c>
      <c r="N10" s="13">
        <f>SUBTOTAL(109,N11:N15)</f>
        <v>67702</v>
      </c>
      <c r="O10" s="13">
        <f>SUBTOTAL(109,O11:O15)</f>
        <v>6770</v>
      </c>
      <c r="P10" s="13">
        <f t="shared" ref="P10:T10" si="5">SUBTOTAL(109,P11:P15)</f>
        <v>5500</v>
      </c>
      <c r="Q10" s="13">
        <f t="shared" si="5"/>
        <v>2422</v>
      </c>
      <c r="R10" s="13">
        <f t="shared" si="5"/>
        <v>29890</v>
      </c>
      <c r="S10" s="13">
        <f t="shared" si="5"/>
        <v>29890</v>
      </c>
      <c r="T10" s="13">
        <f t="shared" si="5"/>
        <v>6770.2</v>
      </c>
      <c r="U10" s="13"/>
      <c r="V10" s="31"/>
      <c r="W10" s="37"/>
    </row>
    <row r="11" spans="1:24" ht="20.25" customHeight="1">
      <c r="A11" s="4">
        <v>1</v>
      </c>
      <c r="B11" s="5" t="s">
        <v>12</v>
      </c>
      <c r="C11" s="5"/>
      <c r="D11" s="6" t="s">
        <v>95</v>
      </c>
      <c r="E11" s="32"/>
      <c r="F11" s="34"/>
      <c r="G11" s="42">
        <f>500*21</f>
        <v>10500</v>
      </c>
      <c r="H11" s="1">
        <f>M11-G11</f>
        <v>21210</v>
      </c>
      <c r="I11" s="34"/>
      <c r="J11" s="1">
        <f>(206+801)*0.4+702*0.225</f>
        <v>560.75</v>
      </c>
      <c r="K11" s="21"/>
      <c r="L11" s="1">
        <f>N11+T11</f>
        <v>31713</v>
      </c>
      <c r="M11" s="1">
        <f t="shared" ref="M11:M52" si="6">N11+O11</f>
        <v>31710</v>
      </c>
      <c r="N11" s="1">
        <f>ROUND((118702-51000)/$J$10*J11,-1)</f>
        <v>28830</v>
      </c>
      <c r="O11" s="1">
        <f>ROUND(N11*0.1,-1)</f>
        <v>2880</v>
      </c>
      <c r="P11" s="1">
        <v>1500</v>
      </c>
      <c r="Q11" s="1">
        <f>2422*J11/J10</f>
        <v>1031.2545796237589</v>
      </c>
      <c r="R11" s="1">
        <f>(N11-P11-Q11)/2</f>
        <v>13149.372710188121</v>
      </c>
      <c r="S11" s="1">
        <f t="shared" ref="S11:S15" si="7">R11</f>
        <v>13149.372710188121</v>
      </c>
      <c r="T11" s="1">
        <f>N11*0.1</f>
        <v>2883</v>
      </c>
      <c r="U11" s="1"/>
      <c r="V11" s="49" t="s">
        <v>13</v>
      </c>
      <c r="X11" s="29"/>
    </row>
    <row r="12" spans="1:24" ht="18.899999999999999" customHeight="1">
      <c r="A12" s="4">
        <v>2</v>
      </c>
      <c r="B12" s="5" t="s">
        <v>15</v>
      </c>
      <c r="C12" s="5"/>
      <c r="D12" s="6" t="s">
        <v>96</v>
      </c>
      <c r="E12" s="32"/>
      <c r="F12" s="34"/>
      <c r="G12" s="42">
        <f>500*19</f>
        <v>9500</v>
      </c>
      <c r="H12" s="1">
        <f t="shared" ref="H12:H15" si="8">M12-G12</f>
        <v>4350</v>
      </c>
      <c r="I12" s="34"/>
      <c r="J12" s="1">
        <f>(204+376)*0.4+57*0.225</f>
        <v>244.82499999999999</v>
      </c>
      <c r="K12" s="21"/>
      <c r="L12" s="1">
        <v>24483</v>
      </c>
      <c r="M12" s="1">
        <f t="shared" si="6"/>
        <v>13850</v>
      </c>
      <c r="N12" s="1">
        <f>ROUND((118702-51000)/$J$10*J12,-1)</f>
        <v>12590</v>
      </c>
      <c r="O12" s="1">
        <f>ROUND(N12*0.1,-1)</f>
        <v>1260</v>
      </c>
      <c r="P12" s="1">
        <v>500</v>
      </c>
      <c r="Q12" s="1">
        <f>2422*J12/J10</f>
        <v>450.24860001138973</v>
      </c>
      <c r="R12" s="1">
        <f>(N12-P12-Q12)/2</f>
        <v>5819.8756999943053</v>
      </c>
      <c r="S12" s="1">
        <f t="shared" si="7"/>
        <v>5819.8756999943053</v>
      </c>
      <c r="T12" s="1">
        <f t="shared" ref="T12:T15" si="9">N12*0.1</f>
        <v>1259</v>
      </c>
      <c r="U12" s="1"/>
      <c r="V12" s="49" t="s">
        <v>16</v>
      </c>
      <c r="X12" s="29"/>
    </row>
    <row r="13" spans="1:24" ht="19.5" customHeight="1">
      <c r="A13" s="4">
        <v>3</v>
      </c>
      <c r="B13" s="5" t="s">
        <v>17</v>
      </c>
      <c r="C13" s="5"/>
      <c r="D13" s="6" t="s">
        <v>97</v>
      </c>
      <c r="E13" s="32"/>
      <c r="F13" s="34"/>
      <c r="G13" s="42">
        <f>500*22</f>
        <v>11000</v>
      </c>
      <c r="H13" s="1">
        <f t="shared" si="8"/>
        <v>1360</v>
      </c>
      <c r="I13" s="34"/>
      <c r="J13" s="1">
        <f>(149+276)*0.4+216*0.225</f>
        <v>218.6</v>
      </c>
      <c r="K13" s="21"/>
      <c r="L13" s="1">
        <f>149*40+276*40+216*22.5</f>
        <v>21860</v>
      </c>
      <c r="M13" s="1">
        <f t="shared" si="6"/>
        <v>12360</v>
      </c>
      <c r="N13" s="1">
        <f>ROUND((118702-51000)/$J$10*J13,-1)</f>
        <v>11240</v>
      </c>
      <c r="O13" s="1">
        <f>ROUND(N13*0.1,-1)</f>
        <v>1120</v>
      </c>
      <c r="P13" s="1">
        <v>1000</v>
      </c>
      <c r="Q13" s="1">
        <f>2422*J13/J10</f>
        <v>402.01917272537435</v>
      </c>
      <c r="R13" s="1">
        <f>(N13-P13-Q13)/2</f>
        <v>4918.9904136373125</v>
      </c>
      <c r="S13" s="1">
        <f t="shared" si="7"/>
        <v>4918.9904136373125</v>
      </c>
      <c r="T13" s="1">
        <f t="shared" si="9"/>
        <v>1124</v>
      </c>
      <c r="U13" s="1"/>
      <c r="V13" s="49" t="s">
        <v>18</v>
      </c>
      <c r="X13" s="29"/>
    </row>
    <row r="14" spans="1:24" ht="18" customHeight="1">
      <c r="A14" s="4">
        <v>4</v>
      </c>
      <c r="B14" s="5" t="s">
        <v>19</v>
      </c>
      <c r="C14" s="5"/>
      <c r="D14" s="6" t="s">
        <v>98</v>
      </c>
      <c r="E14" s="33" t="s">
        <v>56</v>
      </c>
      <c r="F14" s="34"/>
      <c r="G14" s="42">
        <f>500*36</f>
        <v>18000</v>
      </c>
      <c r="H14" s="1"/>
      <c r="I14" s="1">
        <f>G14-M14</f>
        <v>5470</v>
      </c>
      <c r="J14" s="1">
        <f>(271+283)*0.4</f>
        <v>221.60000000000002</v>
      </c>
      <c r="K14" s="21"/>
      <c r="L14" s="1">
        <f>271*40+283*40</f>
        <v>22160</v>
      </c>
      <c r="M14" s="1">
        <f t="shared" si="6"/>
        <v>12530</v>
      </c>
      <c r="N14" s="1">
        <f>ROUND((118702-51000)/$J$10*J14,-1)</f>
        <v>11390</v>
      </c>
      <c r="O14" s="1">
        <f>ROUND(N14*0.1,-1)</f>
        <v>1140</v>
      </c>
      <c r="P14" s="1">
        <v>2000</v>
      </c>
      <c r="Q14" s="1">
        <f>2422*J14/J10</f>
        <v>407.53636173807399</v>
      </c>
      <c r="R14" s="1">
        <f>(N14-P14-Q14)/2</f>
        <v>4491.2318191309632</v>
      </c>
      <c r="S14" s="1">
        <f t="shared" si="7"/>
        <v>4491.2318191309632</v>
      </c>
      <c r="T14" s="1">
        <f t="shared" si="9"/>
        <v>1139</v>
      </c>
      <c r="U14" s="1"/>
      <c r="V14" s="49" t="s">
        <v>20</v>
      </c>
      <c r="X14" s="29"/>
    </row>
    <row r="15" spans="1:24" ht="16.5" customHeight="1">
      <c r="A15" s="4">
        <v>5</v>
      </c>
      <c r="B15" s="5" t="s">
        <v>21</v>
      </c>
      <c r="C15" s="5"/>
      <c r="D15" s="6" t="s">
        <v>99</v>
      </c>
      <c r="E15" s="32"/>
      <c r="F15" s="34"/>
      <c r="G15" s="42">
        <f>500*4</f>
        <v>2000</v>
      </c>
      <c r="H15" s="1">
        <f t="shared" si="8"/>
        <v>2022</v>
      </c>
      <c r="I15" s="34"/>
      <c r="J15" s="1">
        <f>(69+109)*0.4</f>
        <v>71.2</v>
      </c>
      <c r="K15" s="21"/>
      <c r="L15" s="1">
        <f>69*40+109*40+0*22.5</f>
        <v>7120</v>
      </c>
      <c r="M15" s="1">
        <f t="shared" si="6"/>
        <v>4022</v>
      </c>
      <c r="N15" s="1">
        <f>ROUND((118702-51000)/$J$10*J15,-1)-8</f>
        <v>3652</v>
      </c>
      <c r="O15" s="1">
        <f>ROUND(N15*0.1,-1)</f>
        <v>370</v>
      </c>
      <c r="P15" s="1">
        <v>500</v>
      </c>
      <c r="Q15" s="1">
        <f>2422*J15/J10</f>
        <v>130.94128590140281</v>
      </c>
      <c r="R15" s="1">
        <f>(N15-P15-Q15)/2</f>
        <v>1510.5293570492986</v>
      </c>
      <c r="S15" s="1">
        <f t="shared" si="7"/>
        <v>1510.5293570492986</v>
      </c>
      <c r="T15" s="1">
        <f t="shared" si="9"/>
        <v>365.20000000000005</v>
      </c>
      <c r="U15" s="1"/>
      <c r="V15" s="49" t="s">
        <v>22</v>
      </c>
      <c r="X15" s="29"/>
    </row>
    <row r="16" spans="1:24">
      <c r="A16" s="52" t="s">
        <v>23</v>
      </c>
      <c r="B16" s="30" t="s">
        <v>24</v>
      </c>
      <c r="C16" s="30"/>
      <c r="D16" s="50" t="s">
        <v>101</v>
      </c>
      <c r="E16" s="50"/>
      <c r="F16" s="51"/>
      <c r="G16" s="13">
        <f t="shared" ref="G16:T16" si="10">SUBTOTAL(109,G17:G22)</f>
        <v>29200</v>
      </c>
      <c r="H16" s="13">
        <f t="shared" si="10"/>
        <v>21800</v>
      </c>
      <c r="I16" s="13">
        <f t="shared" si="10"/>
        <v>0</v>
      </c>
      <c r="J16" s="13">
        <f t="shared" si="10"/>
        <v>0</v>
      </c>
      <c r="K16" s="13">
        <f t="shared" si="10"/>
        <v>0</v>
      </c>
      <c r="L16" s="13">
        <f t="shared" si="10"/>
        <v>51000</v>
      </c>
      <c r="M16" s="13">
        <f>SUBTOTAL(109,M17:M27)</f>
        <v>51000</v>
      </c>
      <c r="N16" s="13">
        <f>SUBTOTAL(109,N17:N27)</f>
        <v>51000</v>
      </c>
      <c r="O16" s="13">
        <f t="shared" si="10"/>
        <v>0</v>
      </c>
      <c r="P16" s="13">
        <f t="shared" si="10"/>
        <v>28811</v>
      </c>
      <c r="Q16" s="13">
        <f t="shared" si="10"/>
        <v>0</v>
      </c>
      <c r="R16" s="13">
        <f t="shared" si="10"/>
        <v>0</v>
      </c>
      <c r="S16" s="13">
        <f t="shared" si="10"/>
        <v>0</v>
      </c>
      <c r="T16" s="13">
        <f t="shared" si="10"/>
        <v>0</v>
      </c>
      <c r="U16" s="13"/>
      <c r="V16" s="51"/>
    </row>
    <row r="17" spans="1:22" s="3" customFormat="1" ht="53.25" customHeight="1">
      <c r="A17" s="4">
        <v>1</v>
      </c>
      <c r="B17" s="5" t="s">
        <v>154</v>
      </c>
      <c r="C17" s="5" t="s">
        <v>113</v>
      </c>
      <c r="D17" s="4" t="s">
        <v>26</v>
      </c>
      <c r="E17" s="6" t="s">
        <v>27</v>
      </c>
      <c r="F17" s="49" t="s">
        <v>28</v>
      </c>
      <c r="G17" s="43">
        <v>5500</v>
      </c>
      <c r="H17" s="49"/>
      <c r="I17" s="49"/>
      <c r="J17" s="1"/>
      <c r="K17" s="1"/>
      <c r="L17" s="1">
        <f>N17</f>
        <v>5500</v>
      </c>
      <c r="M17" s="1">
        <f t="shared" si="6"/>
        <v>5500</v>
      </c>
      <c r="N17" s="43">
        <v>5500</v>
      </c>
      <c r="O17" s="1"/>
      <c r="P17" s="1">
        <v>5427</v>
      </c>
      <c r="Q17" s="1"/>
      <c r="R17" s="2"/>
      <c r="S17" s="2"/>
      <c r="T17" s="1"/>
      <c r="U17" s="1"/>
      <c r="V17" s="49" t="s">
        <v>13</v>
      </c>
    </row>
    <row r="18" spans="1:22" s="3" customFormat="1" ht="52.5" customHeight="1">
      <c r="A18" s="4">
        <v>2</v>
      </c>
      <c r="B18" s="5" t="s">
        <v>155</v>
      </c>
      <c r="C18" s="5" t="s">
        <v>114</v>
      </c>
      <c r="D18" s="4" t="s">
        <v>30</v>
      </c>
      <c r="E18" s="6" t="s">
        <v>31</v>
      </c>
      <c r="F18" s="49" t="s">
        <v>28</v>
      </c>
      <c r="G18" s="43">
        <v>5200</v>
      </c>
      <c r="H18" s="49"/>
      <c r="I18" s="49"/>
      <c r="J18" s="1"/>
      <c r="K18" s="1"/>
      <c r="L18" s="1">
        <f t="shared" ref="L18:L22" si="11">N18</f>
        <v>5200</v>
      </c>
      <c r="M18" s="1">
        <f t="shared" si="6"/>
        <v>5200</v>
      </c>
      <c r="N18" s="43">
        <v>5200</v>
      </c>
      <c r="O18" s="1"/>
      <c r="P18" s="1">
        <v>5131</v>
      </c>
      <c r="Q18" s="1"/>
      <c r="R18" s="2"/>
      <c r="S18" s="2"/>
      <c r="T18" s="1"/>
      <c r="U18" s="1"/>
      <c r="V18" s="49" t="s">
        <v>16</v>
      </c>
    </row>
    <row r="19" spans="1:22" s="3" customFormat="1" ht="27.6">
      <c r="A19" s="4">
        <v>3</v>
      </c>
      <c r="B19" s="5" t="s">
        <v>156</v>
      </c>
      <c r="C19" s="5" t="s">
        <v>115</v>
      </c>
      <c r="D19" s="4" t="s">
        <v>33</v>
      </c>
      <c r="E19" s="6"/>
      <c r="F19" s="49" t="s">
        <v>28</v>
      </c>
      <c r="G19" s="43">
        <v>6000</v>
      </c>
      <c r="H19" s="49"/>
      <c r="I19" s="49"/>
      <c r="J19" s="1"/>
      <c r="K19" s="1"/>
      <c r="L19" s="1">
        <f t="shared" si="11"/>
        <v>6000</v>
      </c>
      <c r="M19" s="1">
        <f t="shared" si="6"/>
        <v>6000</v>
      </c>
      <c r="N19" s="43">
        <v>6000</v>
      </c>
      <c r="O19" s="1"/>
      <c r="P19" s="1">
        <v>5920</v>
      </c>
      <c r="Q19" s="1"/>
      <c r="R19" s="2"/>
      <c r="S19" s="2"/>
      <c r="T19" s="1"/>
      <c r="U19" s="1"/>
      <c r="V19" s="49" t="s">
        <v>18</v>
      </c>
    </row>
    <row r="20" spans="1:22" s="3" customFormat="1" ht="27.6">
      <c r="A20" s="4">
        <v>4</v>
      </c>
      <c r="B20" s="5" t="s">
        <v>157</v>
      </c>
      <c r="C20" s="5" t="s">
        <v>116</v>
      </c>
      <c r="D20" s="4" t="s">
        <v>35</v>
      </c>
      <c r="E20" s="6"/>
      <c r="F20" s="49" t="s">
        <v>28</v>
      </c>
      <c r="G20" s="43">
        <v>6000</v>
      </c>
      <c r="H20" s="49"/>
      <c r="I20" s="49"/>
      <c r="J20" s="1"/>
      <c r="K20" s="1"/>
      <c r="L20" s="1">
        <f t="shared" si="11"/>
        <v>6000</v>
      </c>
      <c r="M20" s="1">
        <f t="shared" si="6"/>
        <v>6000</v>
      </c>
      <c r="N20" s="43">
        <v>6000</v>
      </c>
      <c r="O20" s="1"/>
      <c r="P20" s="1">
        <v>5920</v>
      </c>
      <c r="Q20" s="1"/>
      <c r="R20" s="2"/>
      <c r="S20" s="2"/>
      <c r="T20" s="1"/>
      <c r="U20" s="1"/>
      <c r="V20" s="49" t="s">
        <v>20</v>
      </c>
    </row>
    <row r="21" spans="1:22" s="3" customFormat="1" ht="41.4">
      <c r="A21" s="4">
        <v>5</v>
      </c>
      <c r="B21" s="5" t="s">
        <v>158</v>
      </c>
      <c r="C21" s="5" t="s">
        <v>117</v>
      </c>
      <c r="D21" s="4"/>
      <c r="E21" s="6"/>
      <c r="F21" s="49" t="s">
        <v>28</v>
      </c>
      <c r="G21" s="43">
        <v>6500</v>
      </c>
      <c r="H21" s="49"/>
      <c r="I21" s="49"/>
      <c r="J21" s="1"/>
      <c r="K21" s="1"/>
      <c r="L21" s="1">
        <f t="shared" si="11"/>
        <v>6500</v>
      </c>
      <c r="M21" s="1">
        <f t="shared" si="6"/>
        <v>6500</v>
      </c>
      <c r="N21" s="43">
        <v>6500</v>
      </c>
      <c r="O21" s="1"/>
      <c r="P21" s="1">
        <v>6413</v>
      </c>
      <c r="Q21" s="1"/>
      <c r="R21" s="2"/>
      <c r="S21" s="2"/>
      <c r="T21" s="1"/>
      <c r="U21" s="1"/>
      <c r="V21" s="49" t="s">
        <v>22</v>
      </c>
    </row>
    <row r="22" spans="1:22" s="3" customFormat="1" ht="27.6">
      <c r="A22" s="4">
        <v>6</v>
      </c>
      <c r="B22" s="5" t="s">
        <v>105</v>
      </c>
      <c r="C22" s="5"/>
      <c r="D22" s="4"/>
      <c r="E22" s="6"/>
      <c r="F22" s="49"/>
      <c r="G22" s="44"/>
      <c r="H22" s="1">
        <v>21800</v>
      </c>
      <c r="I22" s="1"/>
      <c r="J22" s="1"/>
      <c r="K22" s="1"/>
      <c r="L22" s="1">
        <f t="shared" si="11"/>
        <v>21800</v>
      </c>
      <c r="M22" s="1">
        <f>SUBTOTAL(109,M23:M27)</f>
        <v>21800</v>
      </c>
      <c r="N22" s="1">
        <f>SUBTOTAL(109,N23:N27)</f>
        <v>21800</v>
      </c>
      <c r="O22" s="1"/>
      <c r="P22" s="1" t="e">
        <f>SUBTOTAL(109,#REF!)</f>
        <v>#REF!</v>
      </c>
      <c r="Q22" s="1" t="e">
        <f>SUBTOTAL(109,#REF!)</f>
        <v>#REF!</v>
      </c>
      <c r="R22" s="1" t="e">
        <f>SUBTOTAL(109,#REF!)</f>
        <v>#REF!</v>
      </c>
      <c r="S22" s="1" t="e">
        <f>SUBTOTAL(109,#REF!)</f>
        <v>#REF!</v>
      </c>
      <c r="T22" s="1" t="e">
        <f>SUBTOTAL(109,#REF!)</f>
        <v>#REF!</v>
      </c>
      <c r="U22" s="2"/>
      <c r="V22" s="49"/>
    </row>
    <row r="23" spans="1:22" s="3" customFormat="1" ht="25.5" customHeight="1">
      <c r="A23" s="53" t="s">
        <v>125</v>
      </c>
      <c r="B23" s="5" t="s">
        <v>12</v>
      </c>
      <c r="C23" s="5"/>
      <c r="D23" s="4"/>
      <c r="E23" s="6"/>
      <c r="F23" s="49"/>
      <c r="G23" s="49"/>
      <c r="H23" s="49"/>
      <c r="I23" s="49"/>
      <c r="J23" s="1"/>
      <c r="K23" s="1"/>
      <c r="L23" s="1"/>
      <c r="M23" s="1">
        <f>N23</f>
        <v>4490</v>
      </c>
      <c r="N23" s="1">
        <f>ROUND((51000-29200)/102*21,-1)</f>
        <v>4490</v>
      </c>
      <c r="O23" s="1"/>
      <c r="P23" s="1"/>
      <c r="Q23" s="1">
        <f>N23</f>
        <v>4490</v>
      </c>
      <c r="R23" s="2"/>
      <c r="S23" s="2"/>
      <c r="T23" s="2"/>
      <c r="U23" s="2"/>
      <c r="V23" s="64" t="s">
        <v>40</v>
      </c>
    </row>
    <row r="24" spans="1:22" s="3" customFormat="1" ht="25.5" customHeight="1">
      <c r="A24" s="53" t="s">
        <v>125</v>
      </c>
      <c r="B24" s="5" t="s">
        <v>15</v>
      </c>
      <c r="C24" s="5"/>
      <c r="D24" s="4"/>
      <c r="E24" s="6"/>
      <c r="F24" s="49"/>
      <c r="G24" s="49"/>
      <c r="H24" s="49"/>
      <c r="I24" s="49"/>
      <c r="J24" s="1"/>
      <c r="K24" s="1"/>
      <c r="L24" s="1"/>
      <c r="M24" s="1">
        <f t="shared" ref="M24:M27" si="12">N24</f>
        <v>4060</v>
      </c>
      <c r="N24" s="1">
        <f>ROUND((51000-29200)/102*19,-1)</f>
        <v>4060</v>
      </c>
      <c r="O24" s="1"/>
      <c r="P24" s="1"/>
      <c r="Q24" s="1">
        <f t="shared" ref="Q24:Q27" si="13">N24</f>
        <v>4060</v>
      </c>
      <c r="R24" s="2"/>
      <c r="S24" s="2"/>
      <c r="T24" s="2"/>
      <c r="U24" s="2"/>
      <c r="V24" s="65"/>
    </row>
    <row r="25" spans="1:22" s="3" customFormat="1" ht="25.5" customHeight="1">
      <c r="A25" s="53" t="s">
        <v>125</v>
      </c>
      <c r="B25" s="5" t="s">
        <v>17</v>
      </c>
      <c r="C25" s="5"/>
      <c r="D25" s="4"/>
      <c r="E25" s="6"/>
      <c r="F25" s="49"/>
      <c r="G25" s="49"/>
      <c r="H25" s="49"/>
      <c r="I25" s="49"/>
      <c r="J25" s="1"/>
      <c r="K25" s="1"/>
      <c r="L25" s="1"/>
      <c r="M25" s="1">
        <f t="shared" si="12"/>
        <v>4700</v>
      </c>
      <c r="N25" s="1">
        <f>ROUND((51000-29200)/102*22,-1)</f>
        <v>4700</v>
      </c>
      <c r="O25" s="1"/>
      <c r="P25" s="1"/>
      <c r="Q25" s="1">
        <f t="shared" si="13"/>
        <v>4700</v>
      </c>
      <c r="R25" s="2"/>
      <c r="S25" s="2"/>
      <c r="T25" s="2"/>
      <c r="U25" s="2"/>
      <c r="V25" s="65"/>
    </row>
    <row r="26" spans="1:22" s="3" customFormat="1" ht="25.5" customHeight="1">
      <c r="A26" s="53" t="s">
        <v>125</v>
      </c>
      <c r="B26" s="5" t="s">
        <v>19</v>
      </c>
      <c r="C26" s="5"/>
      <c r="D26" s="4"/>
      <c r="E26" s="6"/>
      <c r="F26" s="49"/>
      <c r="G26" s="49"/>
      <c r="H26" s="49"/>
      <c r="I26" s="49"/>
      <c r="J26" s="1"/>
      <c r="K26" s="1"/>
      <c r="L26" s="1"/>
      <c r="M26" s="1">
        <f t="shared" si="12"/>
        <v>7690</v>
      </c>
      <c r="N26" s="1">
        <f>ROUND((51000-29200)/102*36,-1)</f>
        <v>7690</v>
      </c>
      <c r="O26" s="1"/>
      <c r="P26" s="1"/>
      <c r="Q26" s="1">
        <f t="shared" si="13"/>
        <v>7690</v>
      </c>
      <c r="R26" s="2"/>
      <c r="S26" s="2"/>
      <c r="T26" s="2"/>
      <c r="U26" s="2"/>
      <c r="V26" s="65"/>
    </row>
    <row r="27" spans="1:22" s="3" customFormat="1" ht="25.5" customHeight="1">
      <c r="A27" s="53" t="s">
        <v>125</v>
      </c>
      <c r="B27" s="5" t="s">
        <v>21</v>
      </c>
      <c r="C27" s="5"/>
      <c r="D27" s="4"/>
      <c r="E27" s="6"/>
      <c r="F27" s="49"/>
      <c r="G27" s="49"/>
      <c r="H27" s="49"/>
      <c r="I27" s="49"/>
      <c r="J27" s="1"/>
      <c r="K27" s="1"/>
      <c r="L27" s="1"/>
      <c r="M27" s="1">
        <f t="shared" si="12"/>
        <v>860</v>
      </c>
      <c r="N27" s="1">
        <f>ROUND((51000-29200)/102*4,-1)+10</f>
        <v>860</v>
      </c>
      <c r="O27" s="1"/>
      <c r="P27" s="1"/>
      <c r="Q27" s="1">
        <f t="shared" si="13"/>
        <v>860</v>
      </c>
      <c r="R27" s="2"/>
      <c r="S27" s="2"/>
      <c r="T27" s="2"/>
      <c r="U27" s="2"/>
      <c r="V27" s="66"/>
    </row>
    <row r="28" spans="1:22" s="14" customFormat="1" ht="27.6">
      <c r="A28" s="52" t="s">
        <v>37</v>
      </c>
      <c r="B28" s="35" t="s">
        <v>38</v>
      </c>
      <c r="C28" s="35"/>
      <c r="D28" s="52"/>
      <c r="E28" s="52"/>
      <c r="F28" s="49"/>
      <c r="G28" s="13">
        <f t="shared" ref="G28:T28" si="14">SUBTOTAL(109,G29:G33)</f>
        <v>157371.19999999998</v>
      </c>
      <c r="H28" s="13">
        <f t="shared" si="14"/>
        <v>39342.799999999996</v>
      </c>
      <c r="I28" s="13">
        <f t="shared" si="14"/>
        <v>0</v>
      </c>
      <c r="J28" s="13">
        <f t="shared" si="14"/>
        <v>2221.7000000000003</v>
      </c>
      <c r="K28" s="13">
        <f t="shared" si="14"/>
        <v>0</v>
      </c>
      <c r="L28" s="13">
        <f t="shared" si="14"/>
        <v>196714</v>
      </c>
      <c r="M28" s="13">
        <f t="shared" si="14"/>
        <v>196714</v>
      </c>
      <c r="N28" s="13">
        <f t="shared" si="14"/>
        <v>196714</v>
      </c>
      <c r="O28" s="13">
        <f t="shared" si="14"/>
        <v>0</v>
      </c>
      <c r="P28" s="13">
        <f t="shared" si="14"/>
        <v>35409</v>
      </c>
      <c r="Q28" s="13">
        <f t="shared" si="14"/>
        <v>0</v>
      </c>
      <c r="R28" s="13">
        <f t="shared" si="14"/>
        <v>0</v>
      </c>
      <c r="S28" s="13">
        <f t="shared" si="14"/>
        <v>0</v>
      </c>
      <c r="T28" s="13">
        <f t="shared" si="14"/>
        <v>0</v>
      </c>
      <c r="U28" s="13"/>
      <c r="V28" s="49"/>
    </row>
    <row r="29" spans="1:22" ht="15.75" customHeight="1">
      <c r="A29" s="4">
        <v>1</v>
      </c>
      <c r="B29" s="5" t="s">
        <v>12</v>
      </c>
      <c r="C29" s="5"/>
      <c r="D29" s="4" t="s">
        <v>39</v>
      </c>
      <c r="E29" s="7">
        <v>32400</v>
      </c>
      <c r="F29" s="49"/>
      <c r="G29" s="42">
        <v>32399.952941176471</v>
      </c>
      <c r="H29" s="1">
        <f>M29-G29</f>
        <v>3370.0470588235294</v>
      </c>
      <c r="I29" s="1"/>
      <c r="J29" s="8">
        <f>30+(39400-3000)/100+10</f>
        <v>404</v>
      </c>
      <c r="K29" s="1"/>
      <c r="L29" s="1">
        <f>N29</f>
        <v>35770</v>
      </c>
      <c r="M29" s="1">
        <f t="shared" si="6"/>
        <v>35770</v>
      </c>
      <c r="N29" s="1">
        <f>ROUND(196714/$J$28*J29,-1)</f>
        <v>35770</v>
      </c>
      <c r="O29" s="1"/>
      <c r="P29" s="1">
        <v>7290</v>
      </c>
      <c r="Q29" s="1"/>
      <c r="R29" s="1"/>
      <c r="S29" s="1"/>
      <c r="T29" s="1"/>
      <c r="U29" s="1"/>
      <c r="V29" s="64" t="s">
        <v>40</v>
      </c>
    </row>
    <row r="30" spans="1:22" ht="15.6">
      <c r="A30" s="4">
        <v>2</v>
      </c>
      <c r="B30" s="5" t="s">
        <v>15</v>
      </c>
      <c r="C30" s="5"/>
      <c r="D30" s="4" t="s">
        <v>87</v>
      </c>
      <c r="E30" s="9">
        <v>29314</v>
      </c>
      <c r="F30" s="49"/>
      <c r="G30" s="42">
        <v>29314.243137254904</v>
      </c>
      <c r="H30" s="1">
        <f>M30-G30</f>
        <v>12245.756862745096</v>
      </c>
      <c r="I30" s="49"/>
      <c r="J30" s="8">
        <f>20+(46436-2000)/100+5</f>
        <v>469.36</v>
      </c>
      <c r="K30" s="1"/>
      <c r="L30" s="1">
        <f t="shared" ref="L30:L33" si="15">N30</f>
        <v>41560</v>
      </c>
      <c r="M30" s="1">
        <f t="shared" si="6"/>
        <v>41560</v>
      </c>
      <c r="N30" s="1">
        <f t="shared" ref="N30:N32" si="16">ROUND(196714/$J$28*J30,-1)</f>
        <v>41560</v>
      </c>
      <c r="O30" s="1"/>
      <c r="P30" s="1">
        <v>6596</v>
      </c>
      <c r="Q30" s="1"/>
      <c r="R30" s="1"/>
      <c r="S30" s="1"/>
      <c r="T30" s="1"/>
      <c r="U30" s="1"/>
      <c r="V30" s="65"/>
    </row>
    <row r="31" spans="1:22" ht="15.6">
      <c r="A31" s="4">
        <v>3</v>
      </c>
      <c r="B31" s="5" t="s">
        <v>17</v>
      </c>
      <c r="C31" s="5"/>
      <c r="D31" s="6" t="s">
        <v>86</v>
      </c>
      <c r="E31" s="9">
        <v>45000</v>
      </c>
      <c r="F31" s="49"/>
      <c r="G31" s="42">
        <v>33942.807843137256</v>
      </c>
      <c r="H31" s="1">
        <f>M31-G31</f>
        <v>6347.192156862744</v>
      </c>
      <c r="I31" s="49"/>
      <c r="J31" s="8">
        <f>10+(45000-1000)/100+5</f>
        <v>455</v>
      </c>
      <c r="K31" s="1"/>
      <c r="L31" s="1">
        <f t="shared" si="15"/>
        <v>40290</v>
      </c>
      <c r="M31" s="1">
        <f t="shared" si="6"/>
        <v>40290</v>
      </c>
      <c r="N31" s="1">
        <f t="shared" si="16"/>
        <v>40290</v>
      </c>
      <c r="O31" s="1"/>
      <c r="P31" s="1">
        <v>7637</v>
      </c>
      <c r="Q31" s="1"/>
      <c r="R31" s="1"/>
      <c r="S31" s="1"/>
      <c r="T31" s="1"/>
      <c r="U31" s="1"/>
      <c r="V31" s="65"/>
    </row>
    <row r="32" spans="1:22" ht="15.6">
      <c r="A32" s="4">
        <v>4</v>
      </c>
      <c r="B32" s="5" t="s">
        <v>19</v>
      </c>
      <c r="C32" s="5"/>
      <c r="D32" s="4"/>
      <c r="E32" s="9">
        <v>55543</v>
      </c>
      <c r="F32" s="49"/>
      <c r="G32" s="42">
        <v>55542.776470588236</v>
      </c>
      <c r="H32" s="1">
        <f>M32-G32</f>
        <v>4957.2235294117636</v>
      </c>
      <c r="I32" s="49"/>
      <c r="J32" s="8">
        <f>20+(67334-2000)/100+10</f>
        <v>683.34</v>
      </c>
      <c r="K32" s="1"/>
      <c r="L32" s="1">
        <f t="shared" si="15"/>
        <v>60500</v>
      </c>
      <c r="M32" s="1">
        <f t="shared" si="6"/>
        <v>60500</v>
      </c>
      <c r="N32" s="1">
        <f t="shared" si="16"/>
        <v>60500</v>
      </c>
      <c r="O32" s="1"/>
      <c r="P32" s="1">
        <v>12497</v>
      </c>
      <c r="Q32" s="1"/>
      <c r="R32" s="1"/>
      <c r="S32" s="1"/>
      <c r="T32" s="1"/>
      <c r="U32" s="1"/>
      <c r="V32" s="65"/>
    </row>
    <row r="33" spans="1:22" ht="15.6">
      <c r="A33" s="4">
        <v>5</v>
      </c>
      <c r="B33" s="5" t="s">
        <v>21</v>
      </c>
      <c r="C33" s="5"/>
      <c r="D33" s="4"/>
      <c r="E33" s="9"/>
      <c r="F33" s="49"/>
      <c r="G33" s="42">
        <v>6171.4196078431378</v>
      </c>
      <c r="H33" s="1">
        <f>M33-G33</f>
        <v>12422.580392156862</v>
      </c>
      <c r="I33" s="1"/>
      <c r="J33" s="10">
        <f>10+(21000-1000)/100</f>
        <v>210</v>
      </c>
      <c r="K33" s="1"/>
      <c r="L33" s="1">
        <f t="shared" si="15"/>
        <v>18594</v>
      </c>
      <c r="M33" s="1">
        <f t="shared" si="6"/>
        <v>18594</v>
      </c>
      <c r="N33" s="1">
        <f>ROUND(196714/$J$28*J33,-1)+4</f>
        <v>18594</v>
      </c>
      <c r="O33" s="1"/>
      <c r="P33" s="1">
        <v>1389</v>
      </c>
      <c r="Q33" s="1"/>
      <c r="R33" s="1"/>
      <c r="S33" s="1"/>
      <c r="T33" s="1"/>
      <c r="U33" s="1"/>
      <c r="V33" s="66"/>
    </row>
    <row r="34" spans="1:22" s="14" customFormat="1" ht="55.2">
      <c r="A34" s="52" t="s">
        <v>41</v>
      </c>
      <c r="B34" s="11" t="s">
        <v>42</v>
      </c>
      <c r="C34" s="11"/>
      <c r="D34" s="50"/>
      <c r="E34" s="50"/>
      <c r="F34" s="49"/>
      <c r="G34" s="13">
        <f>SUBTOTAL(109,G35:G44)</f>
        <v>129289</v>
      </c>
      <c r="H34" s="13">
        <f>SUBTOTAL(109,H35:H44)</f>
        <v>48820</v>
      </c>
      <c r="I34" s="13">
        <f>SUBTOTAL(109,I35:I44)</f>
        <v>0</v>
      </c>
      <c r="J34" s="13"/>
      <c r="K34" s="13">
        <f t="shared" ref="K34:T34" si="17">SUBTOTAL(109,K35:K44)</f>
        <v>0</v>
      </c>
      <c r="L34" s="13">
        <f t="shared" si="17"/>
        <v>170947</v>
      </c>
      <c r="M34" s="13">
        <f t="shared" si="17"/>
        <v>178109</v>
      </c>
      <c r="N34" s="13">
        <f t="shared" si="17"/>
        <v>163789</v>
      </c>
      <c r="O34" s="13">
        <f t="shared" si="17"/>
        <v>14320</v>
      </c>
      <c r="P34" s="13">
        <f t="shared" si="17"/>
        <v>29482</v>
      </c>
      <c r="Q34" s="13">
        <f t="shared" si="17"/>
        <v>0</v>
      </c>
      <c r="R34" s="13">
        <f t="shared" si="17"/>
        <v>16892</v>
      </c>
      <c r="S34" s="13">
        <f t="shared" si="17"/>
        <v>13392</v>
      </c>
      <c r="T34" s="13">
        <f t="shared" si="17"/>
        <v>14316</v>
      </c>
      <c r="U34" s="13"/>
      <c r="V34" s="51"/>
    </row>
    <row r="35" spans="1:22" ht="41.4">
      <c r="A35" s="52"/>
      <c r="B35" s="35" t="s">
        <v>43</v>
      </c>
      <c r="C35" s="35"/>
      <c r="D35" s="52"/>
      <c r="E35" s="52"/>
      <c r="F35" s="49"/>
      <c r="G35" s="13">
        <f>SUBTOTAL(109,G36:G44)</f>
        <v>129289</v>
      </c>
      <c r="H35" s="13">
        <f>SUBTOTAL(109,H36:H44)</f>
        <v>48820</v>
      </c>
      <c r="I35" s="13">
        <f>SUBTOTAL(109,I36:I44)</f>
        <v>0</v>
      </c>
      <c r="J35" s="13"/>
      <c r="K35" s="13"/>
      <c r="L35" s="13">
        <f t="shared" ref="L35:T35" si="18">SUBTOTAL(109,L36:L44)</f>
        <v>170947</v>
      </c>
      <c r="M35" s="13">
        <f t="shared" si="18"/>
        <v>178109</v>
      </c>
      <c r="N35" s="13">
        <f t="shared" si="18"/>
        <v>163789</v>
      </c>
      <c r="O35" s="13">
        <f t="shared" si="18"/>
        <v>14320</v>
      </c>
      <c r="P35" s="13">
        <f t="shared" si="18"/>
        <v>29482</v>
      </c>
      <c r="Q35" s="13">
        <f t="shared" si="18"/>
        <v>0</v>
      </c>
      <c r="R35" s="13">
        <f t="shared" si="18"/>
        <v>16892</v>
      </c>
      <c r="S35" s="13">
        <f t="shared" si="18"/>
        <v>13392</v>
      </c>
      <c r="T35" s="13">
        <f t="shared" si="18"/>
        <v>14316</v>
      </c>
      <c r="U35" s="13"/>
      <c r="V35" s="51"/>
    </row>
    <row r="36" spans="1:22" ht="27.6">
      <c r="A36" s="52" t="s">
        <v>10</v>
      </c>
      <c r="B36" s="35" t="s">
        <v>44</v>
      </c>
      <c r="C36" s="35"/>
      <c r="D36" s="6" t="s">
        <v>45</v>
      </c>
      <c r="E36" s="52"/>
      <c r="F36" s="49"/>
      <c r="G36" s="13">
        <f>SUBTOTAL(109,G37:G41)</f>
        <v>93789</v>
      </c>
      <c r="H36" s="13">
        <f t="shared" ref="H36:I36" si="19">SUBTOTAL(109,H37:H41)</f>
        <v>48820</v>
      </c>
      <c r="I36" s="13">
        <f t="shared" si="19"/>
        <v>0</v>
      </c>
      <c r="J36" s="13">
        <f>SUBTOTAL(109,J37:J41)</f>
        <v>1432.9150000000002</v>
      </c>
      <c r="K36" s="36"/>
      <c r="L36" s="13">
        <f t="shared" ref="L36:Q36" si="20">SUBTOTAL(109,L37:L41)</f>
        <v>135447</v>
      </c>
      <c r="M36" s="13">
        <f t="shared" si="20"/>
        <v>142609</v>
      </c>
      <c r="N36" s="13">
        <f t="shared" si="20"/>
        <v>142609</v>
      </c>
      <c r="O36" s="13">
        <f t="shared" si="20"/>
        <v>0</v>
      </c>
      <c r="P36" s="13">
        <f t="shared" si="20"/>
        <v>24266</v>
      </c>
      <c r="Q36" s="13">
        <f t="shared" si="20"/>
        <v>0</v>
      </c>
      <c r="R36" s="13"/>
      <c r="S36" s="13"/>
      <c r="T36" s="13"/>
      <c r="U36" s="13"/>
      <c r="V36" s="51"/>
    </row>
    <row r="37" spans="1:22" ht="15.75" customHeight="1">
      <c r="A37" s="4">
        <v>1</v>
      </c>
      <c r="B37" s="5" t="s">
        <v>12</v>
      </c>
      <c r="C37" s="5"/>
      <c r="D37" s="4" t="s">
        <v>14</v>
      </c>
      <c r="E37" s="4"/>
      <c r="F37" s="49"/>
      <c r="G37" s="42">
        <v>23126</v>
      </c>
      <c r="H37" s="1">
        <f>M37-G37</f>
        <v>12044</v>
      </c>
      <c r="I37" s="49"/>
      <c r="J37" s="1">
        <f>3*100+2*10+((35.93+45.45+29.76)*0.3)</f>
        <v>353.34199999999998</v>
      </c>
      <c r="K37" s="1"/>
      <c r="L37" s="1">
        <v>33400</v>
      </c>
      <c r="M37" s="1">
        <f t="shared" si="6"/>
        <v>35170</v>
      </c>
      <c r="N37" s="1">
        <f>ROUND((163789-21180)/$J$36*J37,-1)</f>
        <v>35170</v>
      </c>
      <c r="O37" s="1"/>
      <c r="P37" s="1">
        <v>5983</v>
      </c>
      <c r="Q37" s="1"/>
      <c r="R37" s="1">
        <f>J37*$R$36/$J$36</f>
        <v>0</v>
      </c>
      <c r="S37" s="1">
        <f>J37*$S$36/$J$36</f>
        <v>0</v>
      </c>
      <c r="T37" s="1"/>
      <c r="U37" s="1"/>
      <c r="V37" s="55" t="s">
        <v>40</v>
      </c>
    </row>
    <row r="38" spans="1:22" ht="27.6">
      <c r="A38" s="4">
        <v>2</v>
      </c>
      <c r="B38" s="5" t="s">
        <v>15</v>
      </c>
      <c r="C38" s="5"/>
      <c r="D38" s="6" t="s">
        <v>46</v>
      </c>
      <c r="E38" s="4"/>
      <c r="F38" s="49"/>
      <c r="G38" s="42">
        <v>11792</v>
      </c>
      <c r="H38" s="1">
        <f t="shared" ref="H38:H41" si="21">M38-G38</f>
        <v>6138</v>
      </c>
      <c r="I38" s="49"/>
      <c r="J38" s="1">
        <f>1*100+1*10+4*15+33.91*0.3</f>
        <v>180.173</v>
      </c>
      <c r="K38" s="1"/>
      <c r="L38" s="1">
        <v>17031</v>
      </c>
      <c r="M38" s="1">
        <f t="shared" si="6"/>
        <v>17930</v>
      </c>
      <c r="N38" s="1">
        <f>ROUND((163789-21180)/$J$36*J38,-1)</f>
        <v>17930</v>
      </c>
      <c r="O38" s="1"/>
      <c r="P38" s="1">
        <v>3051</v>
      </c>
      <c r="Q38" s="1"/>
      <c r="R38" s="1">
        <f>J38*$R$36/$J$36</f>
        <v>0</v>
      </c>
      <c r="S38" s="1">
        <f>J38*$S$36/$J$36</f>
        <v>0</v>
      </c>
      <c r="T38" s="1"/>
      <c r="U38" s="1"/>
      <c r="V38" s="55"/>
    </row>
    <row r="39" spans="1:22" ht="27.6">
      <c r="A39" s="4">
        <v>3</v>
      </c>
      <c r="B39" s="5" t="s">
        <v>17</v>
      </c>
      <c r="C39" s="5"/>
      <c r="D39" s="6" t="s">
        <v>47</v>
      </c>
      <c r="E39" s="4"/>
      <c r="F39" s="49"/>
      <c r="G39" s="42">
        <v>18677</v>
      </c>
      <c r="H39" s="1">
        <f t="shared" si="21"/>
        <v>9713</v>
      </c>
      <c r="I39" s="49"/>
      <c r="J39" s="1">
        <f>2*100+1*10+2*15+(72.6+78.4)*0.3</f>
        <v>285.3</v>
      </c>
      <c r="K39" s="1"/>
      <c r="L39" s="1">
        <v>26968</v>
      </c>
      <c r="M39" s="1">
        <f t="shared" si="6"/>
        <v>28390</v>
      </c>
      <c r="N39" s="1">
        <f>ROUND((163789-21180)/$J$36*J39,-1)</f>
        <v>28390</v>
      </c>
      <c r="O39" s="1"/>
      <c r="P39" s="1">
        <v>4832</v>
      </c>
      <c r="Q39" s="1"/>
      <c r="R39" s="1">
        <f>J39*$R$36/$J$36</f>
        <v>0</v>
      </c>
      <c r="S39" s="1">
        <f>J39*$S$36/$J$36</f>
        <v>0</v>
      </c>
      <c r="T39" s="1"/>
      <c r="U39" s="1"/>
      <c r="V39" s="55"/>
    </row>
    <row r="40" spans="1:22" ht="15.6">
      <c r="A40" s="4">
        <v>4</v>
      </c>
      <c r="B40" s="5" t="s">
        <v>19</v>
      </c>
      <c r="C40" s="5"/>
      <c r="D40" s="4" t="s">
        <v>48</v>
      </c>
      <c r="E40" s="4"/>
      <c r="F40" s="49"/>
      <c r="G40" s="42">
        <v>32735</v>
      </c>
      <c r="H40" s="1">
        <f t="shared" si="21"/>
        <v>17045</v>
      </c>
      <c r="I40" s="49"/>
      <c r="J40" s="1">
        <f>4*100+4*10+(79.13+81.56+18.93+20.88)*0.3</f>
        <v>500.15</v>
      </c>
      <c r="K40" s="1"/>
      <c r="L40" s="1">
        <v>47277</v>
      </c>
      <c r="M40" s="1">
        <f t="shared" si="6"/>
        <v>49780</v>
      </c>
      <c r="N40" s="1">
        <f>ROUND((163789-21180)/$J$36*J40,-1)</f>
        <v>49780</v>
      </c>
      <c r="O40" s="1"/>
      <c r="P40" s="1">
        <v>8470</v>
      </c>
      <c r="Q40" s="1"/>
      <c r="R40" s="1">
        <f>J40*$R$36/$J$36</f>
        <v>0</v>
      </c>
      <c r="S40" s="1">
        <f>J40*$S$36/$J$36</f>
        <v>0</v>
      </c>
      <c r="T40" s="1"/>
      <c r="U40" s="1"/>
      <c r="V40" s="55"/>
    </row>
    <row r="41" spans="1:22" ht="15.6">
      <c r="A41" s="4">
        <v>5</v>
      </c>
      <c r="B41" s="5" t="s">
        <v>21</v>
      </c>
      <c r="C41" s="5"/>
      <c r="D41" s="4" t="s">
        <v>49</v>
      </c>
      <c r="E41" s="4"/>
      <c r="F41" s="49"/>
      <c r="G41" s="45">
        <v>7459</v>
      </c>
      <c r="H41" s="1">
        <f t="shared" si="21"/>
        <v>3880</v>
      </c>
      <c r="I41" s="49"/>
      <c r="J41" s="1">
        <f>1*100+ 46.5*0.3</f>
        <v>113.95</v>
      </c>
      <c r="K41" s="1"/>
      <c r="L41" s="1">
        <v>10771</v>
      </c>
      <c r="M41" s="1">
        <f t="shared" si="6"/>
        <v>11339</v>
      </c>
      <c r="N41" s="1">
        <f>ROUND((163789-21180)/$J$36*J41,-1)-1</f>
        <v>11339</v>
      </c>
      <c r="O41" s="1"/>
      <c r="P41" s="1">
        <v>1930</v>
      </c>
      <c r="Q41" s="1"/>
      <c r="R41" s="1">
        <f>J41*$R$36/$J$36</f>
        <v>0</v>
      </c>
      <c r="S41" s="1">
        <f>J41*$S$36/$J$36</f>
        <v>0</v>
      </c>
      <c r="T41" s="1"/>
      <c r="U41" s="1"/>
      <c r="V41" s="55"/>
    </row>
    <row r="42" spans="1:22" s="14" customFormat="1" ht="27.6">
      <c r="A42" s="52" t="s">
        <v>23</v>
      </c>
      <c r="B42" s="35" t="s">
        <v>50</v>
      </c>
      <c r="C42" s="35"/>
      <c r="D42" s="52"/>
      <c r="E42" s="52"/>
      <c r="F42" s="51"/>
      <c r="G42" s="13">
        <f t="shared" ref="G42:T42" si="22">SUBTOTAL(109,G43:G44)</f>
        <v>35500</v>
      </c>
      <c r="H42" s="13">
        <f t="shared" si="22"/>
        <v>0</v>
      </c>
      <c r="I42" s="13">
        <f t="shared" si="22"/>
        <v>0</v>
      </c>
      <c r="J42" s="13">
        <f t="shared" si="22"/>
        <v>0</v>
      </c>
      <c r="K42" s="13">
        <f t="shared" si="22"/>
        <v>0</v>
      </c>
      <c r="L42" s="13">
        <f t="shared" si="22"/>
        <v>35500</v>
      </c>
      <c r="M42" s="13">
        <f t="shared" si="22"/>
        <v>35500</v>
      </c>
      <c r="N42" s="13">
        <f t="shared" si="22"/>
        <v>21180</v>
      </c>
      <c r="O42" s="13">
        <f t="shared" si="22"/>
        <v>14320</v>
      </c>
      <c r="P42" s="13">
        <f t="shared" si="22"/>
        <v>5216</v>
      </c>
      <c r="Q42" s="13">
        <f t="shared" si="22"/>
        <v>0</v>
      </c>
      <c r="R42" s="13">
        <f t="shared" si="22"/>
        <v>16892</v>
      </c>
      <c r="S42" s="13">
        <f t="shared" si="22"/>
        <v>13392</v>
      </c>
      <c r="T42" s="13">
        <f t="shared" si="22"/>
        <v>14316</v>
      </c>
      <c r="U42" s="13"/>
      <c r="V42" s="51"/>
    </row>
    <row r="43" spans="1:22" ht="41.4">
      <c r="A43" s="4">
        <v>1</v>
      </c>
      <c r="B43" s="5" t="s">
        <v>51</v>
      </c>
      <c r="C43" s="5" t="s">
        <v>118</v>
      </c>
      <c r="D43" s="4" t="s">
        <v>52</v>
      </c>
      <c r="E43" s="4"/>
      <c r="F43" s="49" t="s">
        <v>53</v>
      </c>
      <c r="G43" s="42">
        <v>5500</v>
      </c>
      <c r="H43" s="49"/>
      <c r="I43" s="49"/>
      <c r="J43" s="21"/>
      <c r="K43" s="1"/>
      <c r="L43" s="1">
        <v>5500</v>
      </c>
      <c r="M43" s="1">
        <f t="shared" si="6"/>
        <v>5500</v>
      </c>
      <c r="N43" s="1">
        <v>4400</v>
      </c>
      <c r="O43" s="1">
        <v>1100</v>
      </c>
      <c r="P43" s="1">
        <v>2000</v>
      </c>
      <c r="Q43" s="1"/>
      <c r="R43" s="1">
        <f>L43-(P43+Q43)</f>
        <v>3500</v>
      </c>
      <c r="S43" s="1"/>
      <c r="T43" s="1">
        <v>1100</v>
      </c>
      <c r="U43" s="1"/>
      <c r="V43" s="49" t="s">
        <v>18</v>
      </c>
    </row>
    <row r="44" spans="1:22" ht="41.4">
      <c r="A44" s="38">
        <v>2</v>
      </c>
      <c r="B44" s="39" t="s">
        <v>54</v>
      </c>
      <c r="C44" s="39" t="s">
        <v>119</v>
      </c>
      <c r="D44" s="4" t="s">
        <v>103</v>
      </c>
      <c r="E44" s="19"/>
      <c r="F44" s="49" t="s">
        <v>53</v>
      </c>
      <c r="G44" s="46">
        <v>30000</v>
      </c>
      <c r="H44" s="49"/>
      <c r="I44" s="49"/>
      <c r="J44" s="21"/>
      <c r="K44" s="1"/>
      <c r="L44" s="1">
        <v>30000</v>
      </c>
      <c r="M44" s="1">
        <f t="shared" si="6"/>
        <v>30000</v>
      </c>
      <c r="N44" s="1">
        <v>16780</v>
      </c>
      <c r="O44" s="1">
        <v>13220</v>
      </c>
      <c r="P44" s="1">
        <v>3216</v>
      </c>
      <c r="Q44" s="1"/>
      <c r="R44" s="1">
        <f>(L44-P44-Q44)/2</f>
        <v>13392</v>
      </c>
      <c r="S44" s="1">
        <f>R44</f>
        <v>13392</v>
      </c>
      <c r="T44" s="1">
        <v>13216</v>
      </c>
      <c r="U44" s="1"/>
      <c r="V44" s="41" t="s">
        <v>13</v>
      </c>
    </row>
    <row r="45" spans="1:22" s="14" customFormat="1" ht="27.6">
      <c r="A45" s="52" t="s">
        <v>57</v>
      </c>
      <c r="B45" s="11" t="s">
        <v>58</v>
      </c>
      <c r="C45" s="11"/>
      <c r="D45" s="50"/>
      <c r="E45" s="12"/>
      <c r="F45" s="51"/>
      <c r="G45" s="13">
        <f t="shared" ref="G45:T45" si="23">SUBTOTAL(109,G46:G52)</f>
        <v>47000</v>
      </c>
      <c r="H45" s="13">
        <f t="shared" si="23"/>
        <v>7737</v>
      </c>
      <c r="I45" s="13">
        <f t="shared" si="23"/>
        <v>0</v>
      </c>
      <c r="J45" s="13">
        <f t="shared" si="23"/>
        <v>664.41199999999992</v>
      </c>
      <c r="K45" s="13">
        <f t="shared" si="23"/>
        <v>0</v>
      </c>
      <c r="L45" s="13">
        <f t="shared" si="23"/>
        <v>54737</v>
      </c>
      <c r="M45" s="13">
        <f t="shared" si="23"/>
        <v>54737</v>
      </c>
      <c r="N45" s="13">
        <f t="shared" si="23"/>
        <v>54737</v>
      </c>
      <c r="O45" s="13">
        <f t="shared" si="23"/>
        <v>0</v>
      </c>
      <c r="P45" s="13">
        <f t="shared" si="23"/>
        <v>9853</v>
      </c>
      <c r="Q45" s="13">
        <f t="shared" si="23"/>
        <v>0</v>
      </c>
      <c r="R45" s="13">
        <f t="shared" si="23"/>
        <v>37514</v>
      </c>
      <c r="S45" s="13">
        <f t="shared" si="23"/>
        <v>7370</v>
      </c>
      <c r="T45" s="13">
        <f t="shared" si="23"/>
        <v>0</v>
      </c>
      <c r="U45" s="13"/>
      <c r="V45" s="13"/>
    </row>
    <row r="46" spans="1:22" s="14" customFormat="1" ht="69">
      <c r="A46" s="52"/>
      <c r="B46" s="11" t="s">
        <v>59</v>
      </c>
      <c r="C46" s="11"/>
      <c r="D46" s="50"/>
      <c r="E46" s="12"/>
      <c r="F46" s="51"/>
      <c r="G46" s="13">
        <f t="shared" ref="G46:T46" si="24">SUBTOTAL(109,G47:G52)</f>
        <v>47000</v>
      </c>
      <c r="H46" s="13">
        <f t="shared" si="24"/>
        <v>7737</v>
      </c>
      <c r="I46" s="13">
        <f t="shared" si="24"/>
        <v>0</v>
      </c>
      <c r="J46" s="13">
        <f t="shared" si="24"/>
        <v>664.41199999999992</v>
      </c>
      <c r="K46" s="13">
        <f t="shared" si="24"/>
        <v>0</v>
      </c>
      <c r="L46" s="13">
        <f t="shared" si="24"/>
        <v>54737</v>
      </c>
      <c r="M46" s="13">
        <f t="shared" si="24"/>
        <v>54737</v>
      </c>
      <c r="N46" s="13">
        <f t="shared" si="24"/>
        <v>54737</v>
      </c>
      <c r="O46" s="13">
        <f t="shared" si="24"/>
        <v>0</v>
      </c>
      <c r="P46" s="13">
        <f t="shared" si="24"/>
        <v>9853</v>
      </c>
      <c r="Q46" s="13">
        <f t="shared" si="24"/>
        <v>0</v>
      </c>
      <c r="R46" s="13">
        <f t="shared" si="24"/>
        <v>37514</v>
      </c>
      <c r="S46" s="13">
        <f t="shared" si="24"/>
        <v>7370</v>
      </c>
      <c r="T46" s="13">
        <f t="shared" si="24"/>
        <v>0</v>
      </c>
      <c r="U46" s="13"/>
      <c r="V46" s="13"/>
    </row>
    <row r="47" spans="1:22" s="14" customFormat="1" ht="41.4">
      <c r="A47" s="4">
        <v>1</v>
      </c>
      <c r="B47" s="16" t="s">
        <v>89</v>
      </c>
      <c r="C47" s="16" t="s">
        <v>120</v>
      </c>
      <c r="D47" s="6"/>
      <c r="E47" s="12"/>
      <c r="F47" s="49" t="s">
        <v>53</v>
      </c>
      <c r="G47" s="44">
        <v>7000</v>
      </c>
      <c r="H47" s="1">
        <f>M47-G47</f>
        <v>0</v>
      </c>
      <c r="I47" s="49"/>
      <c r="J47" s="1">
        <v>85</v>
      </c>
      <c r="K47" s="1"/>
      <c r="L47" s="1">
        <f t="shared" ref="L47:L52" si="25">N47+T47</f>
        <v>7000</v>
      </c>
      <c r="M47" s="1">
        <f t="shared" si="6"/>
        <v>7000</v>
      </c>
      <c r="N47" s="1">
        <v>7000</v>
      </c>
      <c r="O47" s="1"/>
      <c r="P47" s="1">
        <v>1921</v>
      </c>
      <c r="Q47" s="1"/>
      <c r="R47" s="1">
        <f>(N47-P47-Q47)</f>
        <v>5079</v>
      </c>
      <c r="S47" s="1"/>
      <c r="T47" s="1"/>
      <c r="U47" s="1"/>
      <c r="V47" s="49" t="s">
        <v>16</v>
      </c>
    </row>
    <row r="48" spans="1:22" s="14" customFormat="1" ht="41.4">
      <c r="A48" s="4">
        <v>2</v>
      </c>
      <c r="B48" s="16" t="s">
        <v>90</v>
      </c>
      <c r="C48" s="16" t="s">
        <v>118</v>
      </c>
      <c r="D48" s="6"/>
      <c r="E48" s="12"/>
      <c r="F48" s="49" t="s">
        <v>53</v>
      </c>
      <c r="G48" s="44">
        <v>7000</v>
      </c>
      <c r="H48" s="1">
        <f t="shared" ref="H48:H52" si="26">M48-G48</f>
        <v>0</v>
      </c>
      <c r="I48" s="49"/>
      <c r="J48" s="1">
        <v>85</v>
      </c>
      <c r="K48" s="1"/>
      <c r="L48" s="1">
        <f t="shared" si="25"/>
        <v>7000</v>
      </c>
      <c r="M48" s="1">
        <f t="shared" si="6"/>
        <v>7000</v>
      </c>
      <c r="N48" s="1">
        <v>7000</v>
      </c>
      <c r="O48" s="1"/>
      <c r="P48" s="1">
        <v>1921</v>
      </c>
      <c r="Q48" s="1"/>
      <c r="R48" s="1">
        <f t="shared" ref="R48:R51" si="27">(N48-P48-Q48)</f>
        <v>5079</v>
      </c>
      <c r="S48" s="1"/>
      <c r="T48" s="1"/>
      <c r="U48" s="1"/>
      <c r="V48" s="49" t="s">
        <v>104</v>
      </c>
    </row>
    <row r="49" spans="1:22" s="14" customFormat="1" ht="27.6">
      <c r="A49" s="4">
        <v>3</v>
      </c>
      <c r="B49" s="16" t="s">
        <v>91</v>
      </c>
      <c r="C49" s="16" t="s">
        <v>121</v>
      </c>
      <c r="D49" s="6"/>
      <c r="E49" s="12"/>
      <c r="F49" s="49" t="s">
        <v>53</v>
      </c>
      <c r="G49" s="44">
        <v>7000</v>
      </c>
      <c r="H49" s="1">
        <f t="shared" si="26"/>
        <v>0</v>
      </c>
      <c r="I49" s="49"/>
      <c r="J49" s="1">
        <v>85</v>
      </c>
      <c r="K49" s="1"/>
      <c r="L49" s="1">
        <f t="shared" si="25"/>
        <v>7000</v>
      </c>
      <c r="M49" s="1">
        <f t="shared" si="6"/>
        <v>7000</v>
      </c>
      <c r="N49" s="1">
        <v>7000</v>
      </c>
      <c r="O49" s="1"/>
      <c r="P49" s="1">
        <v>1921</v>
      </c>
      <c r="Q49" s="1"/>
      <c r="R49" s="1">
        <f t="shared" si="27"/>
        <v>5079</v>
      </c>
      <c r="S49" s="1"/>
      <c r="T49" s="1"/>
      <c r="U49" s="1"/>
      <c r="V49" s="49" t="s">
        <v>20</v>
      </c>
    </row>
    <row r="50" spans="1:22" s="14" customFormat="1" ht="41.4">
      <c r="A50" s="4">
        <v>4</v>
      </c>
      <c r="B50" s="16" t="s">
        <v>92</v>
      </c>
      <c r="C50" s="16" t="s">
        <v>117</v>
      </c>
      <c r="D50" s="6"/>
      <c r="E50" s="12"/>
      <c r="F50" s="49" t="s">
        <v>53</v>
      </c>
      <c r="G50" s="44">
        <v>7000</v>
      </c>
      <c r="H50" s="1">
        <f t="shared" si="26"/>
        <v>0</v>
      </c>
      <c r="I50" s="49"/>
      <c r="J50" s="1">
        <v>85.063999999999993</v>
      </c>
      <c r="K50" s="1"/>
      <c r="L50" s="1">
        <f t="shared" si="25"/>
        <v>7000</v>
      </c>
      <c r="M50" s="1">
        <f t="shared" si="6"/>
        <v>7000</v>
      </c>
      <c r="N50" s="1">
        <v>7000</v>
      </c>
      <c r="O50" s="1"/>
      <c r="P50" s="1">
        <v>1920</v>
      </c>
      <c r="Q50" s="1"/>
      <c r="R50" s="1">
        <f t="shared" si="27"/>
        <v>5080</v>
      </c>
      <c r="S50" s="1"/>
      <c r="T50" s="1"/>
      <c r="U50" s="1"/>
      <c r="V50" s="49" t="s">
        <v>22</v>
      </c>
    </row>
    <row r="51" spans="1:22" s="14" customFormat="1" ht="41.4">
      <c r="A51" s="4">
        <v>5</v>
      </c>
      <c r="B51" s="16" t="s">
        <v>93</v>
      </c>
      <c r="C51" s="16" t="s">
        <v>122</v>
      </c>
      <c r="D51" s="6"/>
      <c r="E51" s="12"/>
      <c r="F51" s="49" t="s">
        <v>53</v>
      </c>
      <c r="G51" s="44">
        <v>7000</v>
      </c>
      <c r="H51" s="1">
        <f t="shared" si="26"/>
        <v>4747</v>
      </c>
      <c r="I51" s="49"/>
      <c r="J51" s="1">
        <v>144</v>
      </c>
      <c r="K51" s="1"/>
      <c r="L51" s="1">
        <f t="shared" si="25"/>
        <v>11747</v>
      </c>
      <c r="M51" s="1">
        <f t="shared" si="6"/>
        <v>11747</v>
      </c>
      <c r="N51" s="1">
        <f>7000+4747</f>
        <v>11747</v>
      </c>
      <c r="O51" s="1"/>
      <c r="P51" s="1">
        <v>1920</v>
      </c>
      <c r="Q51" s="1"/>
      <c r="R51" s="1">
        <f t="shared" si="27"/>
        <v>9827</v>
      </c>
      <c r="S51" s="1"/>
      <c r="T51" s="1"/>
      <c r="U51" s="1"/>
      <c r="V51" s="49" t="s">
        <v>61</v>
      </c>
    </row>
    <row r="52" spans="1:22" s="14" customFormat="1" ht="27.6">
      <c r="A52" s="4">
        <v>6</v>
      </c>
      <c r="B52" s="18" t="s">
        <v>62</v>
      </c>
      <c r="C52" s="18" t="s">
        <v>123</v>
      </c>
      <c r="D52" s="6"/>
      <c r="E52" s="19"/>
      <c r="F52" s="49" t="s">
        <v>55</v>
      </c>
      <c r="G52" s="44">
        <v>12000</v>
      </c>
      <c r="H52" s="1">
        <f t="shared" si="26"/>
        <v>2990</v>
      </c>
      <c r="I52" s="49"/>
      <c r="J52" s="1">
        <v>180.34799999999998</v>
      </c>
      <c r="K52" s="1"/>
      <c r="L52" s="1">
        <f t="shared" si="25"/>
        <v>14990</v>
      </c>
      <c r="M52" s="1">
        <f t="shared" si="6"/>
        <v>14990</v>
      </c>
      <c r="N52" s="1">
        <f>12000+2990</f>
        <v>14990</v>
      </c>
      <c r="O52" s="1"/>
      <c r="P52" s="1">
        <v>250</v>
      </c>
      <c r="Q52" s="1"/>
      <c r="R52" s="1">
        <f>(N52-P52-Q52)/2</f>
        <v>7370</v>
      </c>
      <c r="S52" s="1">
        <f>R52</f>
        <v>7370</v>
      </c>
      <c r="T52" s="1"/>
      <c r="U52" s="1"/>
      <c r="V52" s="49" t="s">
        <v>63</v>
      </c>
    </row>
    <row r="53" spans="1:22" s="14" customFormat="1" ht="41.4">
      <c r="A53" s="52" t="s">
        <v>64</v>
      </c>
      <c r="B53" s="11" t="s">
        <v>65</v>
      </c>
      <c r="C53" s="11"/>
      <c r="D53" s="50"/>
      <c r="E53" s="12"/>
      <c r="F53" s="49"/>
      <c r="G53" s="13"/>
      <c r="H53" s="13">
        <f>M53</f>
        <v>43683</v>
      </c>
      <c r="I53" s="13"/>
      <c r="J53" s="36">
        <f>J54+J55+J61+J62</f>
        <v>412</v>
      </c>
      <c r="K53" s="15">
        <f>N53/J53</f>
        <v>104.08980582524272</v>
      </c>
      <c r="L53" s="13">
        <f>SUBTOTAL(109,L54:L62)</f>
        <v>43683</v>
      </c>
      <c r="M53" s="13">
        <f t="shared" ref="M53:U53" si="28">SUBTOTAL(109,M54:M64)</f>
        <v>43683</v>
      </c>
      <c r="N53" s="13">
        <f t="shared" si="28"/>
        <v>42885</v>
      </c>
      <c r="O53" s="13">
        <f t="shared" si="28"/>
        <v>798</v>
      </c>
      <c r="P53" s="13">
        <f t="shared" si="28"/>
        <v>7739</v>
      </c>
      <c r="Q53" s="13">
        <f t="shared" si="28"/>
        <v>10449.173913043478</v>
      </c>
      <c r="R53" s="13">
        <f t="shared" si="28"/>
        <v>6535</v>
      </c>
      <c r="S53" s="13">
        <f t="shared" si="28"/>
        <v>6535</v>
      </c>
      <c r="T53" s="13">
        <f t="shared" si="28"/>
        <v>798</v>
      </c>
      <c r="U53" s="13">
        <f t="shared" si="28"/>
        <v>0</v>
      </c>
      <c r="V53" s="51"/>
    </row>
    <row r="54" spans="1:22" ht="55.2">
      <c r="A54" s="4" t="s">
        <v>10</v>
      </c>
      <c r="B54" s="18" t="s">
        <v>66</v>
      </c>
      <c r="C54" s="18"/>
      <c r="D54" s="6" t="s">
        <v>67</v>
      </c>
      <c r="E54" s="19"/>
      <c r="F54" s="49"/>
      <c r="G54" s="49"/>
      <c r="H54" s="49"/>
      <c r="I54" s="49"/>
      <c r="J54" s="21">
        <f>2*7</f>
        <v>14</v>
      </c>
      <c r="K54" s="1"/>
      <c r="L54" s="1">
        <v>2258</v>
      </c>
      <c r="M54" s="1">
        <f t="shared" ref="M54:M80" si="29">N54+O54</f>
        <v>2258</v>
      </c>
      <c r="N54" s="1">
        <f>ROUND((42885)/$J$53*J54,-1)</f>
        <v>1460</v>
      </c>
      <c r="O54" s="1">
        <v>798</v>
      </c>
      <c r="P54" s="1">
        <v>2258</v>
      </c>
      <c r="Q54" s="1">
        <v>0</v>
      </c>
      <c r="R54" s="9"/>
      <c r="S54" s="9"/>
      <c r="T54" s="9">
        <f>L54-N54</f>
        <v>798</v>
      </c>
      <c r="U54" s="9"/>
      <c r="V54" s="49" t="s">
        <v>13</v>
      </c>
    </row>
    <row r="55" spans="1:22" ht="41.4">
      <c r="A55" s="4" t="s">
        <v>146</v>
      </c>
      <c r="B55" s="18" t="s">
        <v>68</v>
      </c>
      <c r="C55" s="18"/>
      <c r="D55" s="6" t="s">
        <v>88</v>
      </c>
      <c r="E55" s="19"/>
      <c r="F55" s="49"/>
      <c r="G55" s="49"/>
      <c r="H55" s="49"/>
      <c r="I55" s="49"/>
      <c r="J55" s="1">
        <f t="shared" ref="J55:K55" si="30">SUBTOTAL(109,J56:J60)</f>
        <v>158</v>
      </c>
      <c r="K55" s="1">
        <f t="shared" si="30"/>
        <v>0</v>
      </c>
      <c r="L55" s="1">
        <f>SUBTOTAL(109,L56:L60)</f>
        <v>16435</v>
      </c>
      <c r="M55" s="1">
        <f>SUBTOTAL(109,M56:M60)</f>
        <v>16435</v>
      </c>
      <c r="N55" s="1">
        <f>SUBTOTAL(109,N56:N60)</f>
        <v>16435</v>
      </c>
      <c r="O55" s="1">
        <f>SUBTOTAL(109,O56:O60)</f>
        <v>0</v>
      </c>
      <c r="P55" s="1">
        <f t="shared" ref="P55:T55" si="31">SUBTOTAL(109,P56:P60)</f>
        <v>5481</v>
      </c>
      <c r="Q55" s="1">
        <f t="shared" si="31"/>
        <v>5938.7391304347821</v>
      </c>
      <c r="R55" s="1">
        <f t="shared" si="31"/>
        <v>2545.217391304348</v>
      </c>
      <c r="S55" s="1">
        <f t="shared" si="31"/>
        <v>2545.217391304348</v>
      </c>
      <c r="T55" s="1">
        <f t="shared" si="31"/>
        <v>0</v>
      </c>
      <c r="U55" s="1"/>
      <c r="V55" s="49"/>
    </row>
    <row r="56" spans="1:22" ht="15" customHeight="1">
      <c r="A56" s="4">
        <v>1</v>
      </c>
      <c r="B56" s="18" t="s">
        <v>60</v>
      </c>
      <c r="C56" s="18"/>
      <c r="D56" s="6">
        <v>21</v>
      </c>
      <c r="E56" s="19"/>
      <c r="F56" s="49"/>
      <c r="G56" s="49"/>
      <c r="H56" s="49"/>
      <c r="I56" s="49"/>
      <c r="J56" s="17">
        <f>D56*2</f>
        <v>42</v>
      </c>
      <c r="K56" s="1"/>
      <c r="L56" s="1">
        <f t="shared" ref="L56:L62" si="32">N56+T56</f>
        <v>4370</v>
      </c>
      <c r="M56" s="1">
        <f t="shared" si="29"/>
        <v>4370</v>
      </c>
      <c r="N56" s="1">
        <f>ROUND((42885)/$J$53*J56,-1)</f>
        <v>4370</v>
      </c>
      <c r="O56" s="1"/>
      <c r="P56" s="1">
        <v>1128</v>
      </c>
      <c r="Q56" s="1">
        <f>10374/(156+120)*J56</f>
        <v>1578.6521739130435</v>
      </c>
      <c r="R56" s="9">
        <f t="shared" ref="R56:R61" si="33">(N56-P56-Q56)/2</f>
        <v>831.67391304347825</v>
      </c>
      <c r="S56" s="9">
        <f t="shared" ref="S56:S61" si="34">R56</f>
        <v>831.67391304347825</v>
      </c>
      <c r="T56" s="9"/>
      <c r="U56" s="9"/>
      <c r="V56" s="64" t="s">
        <v>40</v>
      </c>
    </row>
    <row r="57" spans="1:22">
      <c r="A57" s="4">
        <v>2</v>
      </c>
      <c r="B57" s="18" t="s">
        <v>15</v>
      </c>
      <c r="C57" s="18"/>
      <c r="D57" s="6">
        <v>19</v>
      </c>
      <c r="E57" s="19"/>
      <c r="F57" s="49"/>
      <c r="G57" s="49"/>
      <c r="H57" s="49"/>
      <c r="I57" s="49"/>
      <c r="J57" s="17">
        <f>D57*2</f>
        <v>38</v>
      </c>
      <c r="K57" s="1"/>
      <c r="L57" s="1">
        <f t="shared" si="32"/>
        <v>3960</v>
      </c>
      <c r="M57" s="1">
        <f t="shared" si="29"/>
        <v>3960</v>
      </c>
      <c r="N57" s="1">
        <f>ROUND((42885)/$J$53*J57,-1)</f>
        <v>3960</v>
      </c>
      <c r="O57" s="1"/>
      <c r="P57" s="1">
        <v>1021</v>
      </c>
      <c r="Q57" s="1">
        <f t="shared" ref="Q57:Q61" si="35">10374/(156+120)*J57</f>
        <v>1428.304347826087</v>
      </c>
      <c r="R57" s="9">
        <f t="shared" si="33"/>
        <v>755.3478260869565</v>
      </c>
      <c r="S57" s="9">
        <f t="shared" si="34"/>
        <v>755.3478260869565</v>
      </c>
      <c r="T57" s="9"/>
      <c r="U57" s="9"/>
      <c r="V57" s="65"/>
    </row>
    <row r="58" spans="1:22">
      <c r="A58" s="4">
        <v>3</v>
      </c>
      <c r="B58" s="18" t="s">
        <v>69</v>
      </c>
      <c r="C58" s="18"/>
      <c r="D58" s="6">
        <v>21</v>
      </c>
      <c r="E58" s="19"/>
      <c r="F58" s="49"/>
      <c r="G58" s="49"/>
      <c r="H58" s="49"/>
      <c r="I58" s="49"/>
      <c r="J58" s="17">
        <f>D58*2</f>
        <v>42</v>
      </c>
      <c r="K58" s="1"/>
      <c r="L58" s="1">
        <f t="shared" si="32"/>
        <v>4370</v>
      </c>
      <c r="M58" s="1">
        <f t="shared" si="29"/>
        <v>4370</v>
      </c>
      <c r="N58" s="1">
        <f>ROUND((42885)/$J$53*J58,-1)</f>
        <v>4370</v>
      </c>
      <c r="O58" s="1"/>
      <c r="P58" s="1">
        <v>1182</v>
      </c>
      <c r="Q58" s="1">
        <f t="shared" si="35"/>
        <v>1578.6521739130435</v>
      </c>
      <c r="R58" s="9">
        <f t="shared" si="33"/>
        <v>804.67391304347825</v>
      </c>
      <c r="S58" s="9">
        <f t="shared" si="34"/>
        <v>804.67391304347825</v>
      </c>
      <c r="T58" s="9"/>
      <c r="U58" s="9"/>
      <c r="V58" s="65"/>
    </row>
    <row r="59" spans="1:22">
      <c r="A59" s="4">
        <v>4</v>
      </c>
      <c r="B59" s="18" t="s">
        <v>19</v>
      </c>
      <c r="C59" s="18"/>
      <c r="D59" s="6">
        <v>17</v>
      </c>
      <c r="E59" s="19"/>
      <c r="F59" s="49"/>
      <c r="G59" s="49"/>
      <c r="H59" s="49"/>
      <c r="I59" s="49"/>
      <c r="J59" s="17">
        <f>D59*2</f>
        <v>34</v>
      </c>
      <c r="K59" s="1"/>
      <c r="L59" s="1">
        <f t="shared" si="32"/>
        <v>3519</v>
      </c>
      <c r="M59" s="1">
        <f t="shared" si="29"/>
        <v>3519</v>
      </c>
      <c r="N59" s="1">
        <f>ROUND((42885)/$J$53*J59,-1)-21</f>
        <v>3519</v>
      </c>
      <c r="O59" s="1"/>
      <c r="P59" s="1">
        <v>1934</v>
      </c>
      <c r="Q59" s="1">
        <f t="shared" si="35"/>
        <v>1277.9565217391305</v>
      </c>
      <c r="R59" s="9">
        <f t="shared" si="33"/>
        <v>153.52173913043475</v>
      </c>
      <c r="S59" s="9">
        <f t="shared" si="34"/>
        <v>153.52173913043475</v>
      </c>
      <c r="T59" s="9"/>
      <c r="U59" s="9"/>
      <c r="V59" s="65"/>
    </row>
    <row r="60" spans="1:22">
      <c r="A60" s="4">
        <v>5</v>
      </c>
      <c r="B60" s="18" t="s">
        <v>21</v>
      </c>
      <c r="C60" s="18"/>
      <c r="D60" s="54">
        <v>1</v>
      </c>
      <c r="E60" s="19"/>
      <c r="F60" s="49"/>
      <c r="G60" s="49"/>
      <c r="H60" s="49"/>
      <c r="I60" s="49"/>
      <c r="J60" s="17">
        <f>D60*2</f>
        <v>2</v>
      </c>
      <c r="K60" s="1"/>
      <c r="L60" s="1">
        <f t="shared" si="32"/>
        <v>216</v>
      </c>
      <c r="M60" s="1">
        <f t="shared" si="29"/>
        <v>216</v>
      </c>
      <c r="N60" s="1">
        <f>ROUND((42885)/$J$53*J60,-1)+6</f>
        <v>216</v>
      </c>
      <c r="O60" s="1"/>
      <c r="P60" s="1">
        <v>216</v>
      </c>
      <c r="Q60" s="1">
        <f t="shared" si="35"/>
        <v>75.173913043478265</v>
      </c>
      <c r="R60" s="9"/>
      <c r="S60" s="9"/>
      <c r="T60" s="9"/>
      <c r="U60" s="9"/>
      <c r="V60" s="66"/>
    </row>
    <row r="61" spans="1:22" ht="55.2">
      <c r="A61" s="4" t="s">
        <v>147</v>
      </c>
      <c r="B61" s="18" t="s">
        <v>70</v>
      </c>
      <c r="C61" s="18"/>
      <c r="D61" s="6" t="s">
        <v>71</v>
      </c>
      <c r="E61" s="19"/>
      <c r="F61" s="49"/>
      <c r="G61" s="49"/>
      <c r="H61" s="49"/>
      <c r="I61" s="49"/>
      <c r="J61" s="17">
        <f>2*60</f>
        <v>120</v>
      </c>
      <c r="K61" s="1"/>
      <c r="L61" s="1">
        <f t="shared" si="32"/>
        <v>12490</v>
      </c>
      <c r="M61" s="1">
        <f t="shared" si="29"/>
        <v>12490</v>
      </c>
      <c r="N61" s="1">
        <f>ROUND((42885)/$J$53*J61,-1)</f>
        <v>12490</v>
      </c>
      <c r="O61" s="1"/>
      <c r="P61" s="1"/>
      <c r="Q61" s="1">
        <f t="shared" si="35"/>
        <v>4510.434782608696</v>
      </c>
      <c r="R61" s="9">
        <f t="shared" si="33"/>
        <v>3989.782608695652</v>
      </c>
      <c r="S61" s="9">
        <f t="shared" si="34"/>
        <v>3989.782608695652</v>
      </c>
      <c r="T61" s="9"/>
      <c r="U61" s="9"/>
      <c r="V61" s="49" t="s">
        <v>145</v>
      </c>
    </row>
    <row r="62" spans="1:22" ht="41.4">
      <c r="A62" s="4" t="s">
        <v>148</v>
      </c>
      <c r="B62" s="18" t="s">
        <v>150</v>
      </c>
      <c r="C62" s="18"/>
      <c r="D62" s="6" t="s">
        <v>102</v>
      </c>
      <c r="E62" s="19"/>
      <c r="F62" s="49"/>
      <c r="G62" s="49"/>
      <c r="H62" s="49"/>
      <c r="I62" s="49"/>
      <c r="J62" s="17">
        <f>2*60</f>
        <v>120</v>
      </c>
      <c r="K62" s="1"/>
      <c r="L62" s="1">
        <f t="shared" si="32"/>
        <v>12500</v>
      </c>
      <c r="M62" s="1">
        <f>SUBTOTAL(109,M63:M64)</f>
        <v>12500</v>
      </c>
      <c r="N62" s="1">
        <f>SUBTOTAL(109,N63:N64)</f>
        <v>12500</v>
      </c>
      <c r="O62" s="1"/>
      <c r="P62" s="1"/>
      <c r="Q62" s="1"/>
      <c r="R62" s="9"/>
      <c r="S62" s="9"/>
      <c r="T62" s="9"/>
      <c r="U62" s="9"/>
      <c r="V62" s="49"/>
    </row>
    <row r="63" spans="1:22" ht="27.6">
      <c r="A63" s="4">
        <v>1</v>
      </c>
      <c r="B63" s="18" t="s">
        <v>153</v>
      </c>
      <c r="C63" s="6" t="s">
        <v>121</v>
      </c>
      <c r="D63" s="6"/>
      <c r="E63" s="19"/>
      <c r="F63" s="49" t="s">
        <v>149</v>
      </c>
      <c r="G63" s="49"/>
      <c r="H63" s="49"/>
      <c r="I63" s="49"/>
      <c r="J63" s="17">
        <v>60</v>
      </c>
      <c r="K63" s="1"/>
      <c r="L63" s="1">
        <f>M63</f>
        <v>6250</v>
      </c>
      <c r="M63" s="1">
        <f t="shared" si="29"/>
        <v>6250</v>
      </c>
      <c r="N63" s="1">
        <f>ROUND((42885)/$J$53*J63,-1)</f>
        <v>6250</v>
      </c>
      <c r="O63" s="1"/>
      <c r="P63" s="1"/>
      <c r="Q63" s="1"/>
      <c r="R63" s="9"/>
      <c r="S63" s="9"/>
      <c r="T63" s="9"/>
      <c r="U63" s="9"/>
      <c r="V63" s="49"/>
    </row>
    <row r="64" spans="1:22" ht="41.4">
      <c r="A64" s="4">
        <v>2</v>
      </c>
      <c r="B64" s="18" t="s">
        <v>151</v>
      </c>
      <c r="C64" s="6" t="s">
        <v>152</v>
      </c>
      <c r="D64" s="6"/>
      <c r="E64" s="19"/>
      <c r="F64" s="49" t="s">
        <v>149</v>
      </c>
      <c r="G64" s="49"/>
      <c r="H64" s="49"/>
      <c r="I64" s="49"/>
      <c r="J64" s="17">
        <v>60</v>
      </c>
      <c r="K64" s="1"/>
      <c r="L64" s="1">
        <f t="shared" ref="L64" si="36">M64</f>
        <v>6250</v>
      </c>
      <c r="M64" s="1">
        <f t="shared" si="29"/>
        <v>6250</v>
      </c>
      <c r="N64" s="1">
        <f>ROUND((42885)/$J$53*J64,-1)</f>
        <v>6250</v>
      </c>
      <c r="O64" s="1"/>
      <c r="P64" s="1"/>
      <c r="Q64" s="1"/>
      <c r="R64" s="9"/>
      <c r="S64" s="9"/>
      <c r="T64" s="9"/>
      <c r="U64" s="9"/>
      <c r="V64" s="49"/>
    </row>
    <row r="65" spans="1:22" s="14" customFormat="1" ht="27.6">
      <c r="A65" s="52" t="s">
        <v>127</v>
      </c>
      <c r="B65" s="11" t="s">
        <v>72</v>
      </c>
      <c r="C65" s="11"/>
      <c r="D65" s="50"/>
      <c r="E65" s="50"/>
      <c r="F65" s="51"/>
      <c r="G65" s="13">
        <f>SUBTOTAL(109,G66:G73)</f>
        <v>173186</v>
      </c>
      <c r="H65" s="13">
        <f>SUBTOTAL(109,H66:H73)</f>
        <v>45000</v>
      </c>
      <c r="I65" s="13">
        <f>SUBTOTAL(109,I66:I73)</f>
        <v>0</v>
      </c>
      <c r="J65" s="13"/>
      <c r="K65" s="13">
        <f t="shared" ref="K65:T65" si="37">SUBTOTAL(109,K66:K73)</f>
        <v>0</v>
      </c>
      <c r="L65" s="13">
        <f t="shared" si="37"/>
        <v>218186</v>
      </c>
      <c r="M65" s="13">
        <f t="shared" si="37"/>
        <v>218186</v>
      </c>
      <c r="N65" s="13">
        <f t="shared" si="37"/>
        <v>218186</v>
      </c>
      <c r="O65" s="13">
        <f t="shared" si="37"/>
        <v>0</v>
      </c>
      <c r="P65" s="13">
        <f t="shared" si="37"/>
        <v>39273</v>
      </c>
      <c r="Q65" s="13">
        <f t="shared" si="37"/>
        <v>0</v>
      </c>
      <c r="R65" s="13">
        <f t="shared" si="37"/>
        <v>97591</v>
      </c>
      <c r="S65" s="13">
        <f t="shared" si="37"/>
        <v>66864</v>
      </c>
      <c r="T65" s="13">
        <f t="shared" si="37"/>
        <v>0</v>
      </c>
      <c r="U65" s="13"/>
      <c r="V65" s="51"/>
    </row>
    <row r="66" spans="1:22" ht="41.4">
      <c r="A66" s="52"/>
      <c r="B66" s="11" t="s">
        <v>73</v>
      </c>
      <c r="C66" s="11"/>
      <c r="D66" s="50" t="s">
        <v>74</v>
      </c>
      <c r="E66" s="50"/>
      <c r="F66" s="49"/>
      <c r="G66" s="13">
        <f>SUBTOTAL(109,G67:G73)</f>
        <v>173186</v>
      </c>
      <c r="H66" s="13">
        <f>SUBTOTAL(109,H67:H73)</f>
        <v>45000</v>
      </c>
      <c r="I66" s="13">
        <f>SUBTOTAL(109,I67:I73)</f>
        <v>0</v>
      </c>
      <c r="J66" s="13">
        <f>SUBTOTAL(109,J67:J69)</f>
        <v>1804</v>
      </c>
      <c r="K66" s="36"/>
      <c r="L66" s="13">
        <f t="shared" ref="L66:T66" si="38">SUBTOTAL(109,L67:L73)</f>
        <v>218186</v>
      </c>
      <c r="M66" s="13">
        <f t="shared" si="38"/>
        <v>218186</v>
      </c>
      <c r="N66" s="13">
        <f t="shared" si="38"/>
        <v>218186</v>
      </c>
      <c r="O66" s="13">
        <f t="shared" si="38"/>
        <v>0</v>
      </c>
      <c r="P66" s="13">
        <f t="shared" si="38"/>
        <v>39273</v>
      </c>
      <c r="Q66" s="13">
        <f t="shared" si="38"/>
        <v>0</v>
      </c>
      <c r="R66" s="13">
        <f t="shared" si="38"/>
        <v>97591</v>
      </c>
      <c r="S66" s="13">
        <f t="shared" si="38"/>
        <v>66864</v>
      </c>
      <c r="T66" s="13">
        <f t="shared" si="38"/>
        <v>0</v>
      </c>
      <c r="U66" s="13"/>
      <c r="V66" s="51"/>
    </row>
    <row r="67" spans="1:22" ht="15" customHeight="1">
      <c r="A67" s="4" t="s">
        <v>10</v>
      </c>
      <c r="B67" s="5" t="s">
        <v>17</v>
      </c>
      <c r="C67" s="5"/>
      <c r="D67" s="4" t="s">
        <v>75</v>
      </c>
      <c r="E67" s="4">
        <v>1</v>
      </c>
      <c r="F67" s="49"/>
      <c r="G67" s="1">
        <v>6409</v>
      </c>
      <c r="H67" s="1">
        <f>M67-G67</f>
        <v>3511</v>
      </c>
      <c r="I67" s="49"/>
      <c r="J67" s="1">
        <f>1*82</f>
        <v>82</v>
      </c>
      <c r="K67" s="1"/>
      <c r="L67" s="1">
        <f>N67</f>
        <v>9920</v>
      </c>
      <c r="M67" s="1">
        <f t="shared" si="29"/>
        <v>9920</v>
      </c>
      <c r="N67" s="1">
        <f>ROUND(218186/1804*J67,-1)</f>
        <v>9920</v>
      </c>
      <c r="O67" s="1"/>
      <c r="P67" s="1">
        <v>1136</v>
      </c>
      <c r="Q67" s="1"/>
      <c r="R67" s="1">
        <f>(N67-P67-Q67)/2</f>
        <v>4392</v>
      </c>
      <c r="S67" s="1">
        <f>R67</f>
        <v>4392</v>
      </c>
      <c r="T67" s="1"/>
      <c r="U67" s="1"/>
      <c r="V67" s="64" t="s">
        <v>40</v>
      </c>
    </row>
    <row r="68" spans="1:22">
      <c r="A68" s="4" t="s">
        <v>146</v>
      </c>
      <c r="B68" s="5" t="s">
        <v>21</v>
      </c>
      <c r="C68" s="5"/>
      <c r="D68" s="4" t="s">
        <v>76</v>
      </c>
      <c r="E68" s="4">
        <v>4</v>
      </c>
      <c r="F68" s="49"/>
      <c r="G68" s="1">
        <v>25637</v>
      </c>
      <c r="H68" s="1">
        <f t="shared" ref="H68" si="39">M68-G68</f>
        <v>14033</v>
      </c>
      <c r="I68" s="49"/>
      <c r="J68" s="1">
        <f>4*82</f>
        <v>328</v>
      </c>
      <c r="K68" s="1"/>
      <c r="L68" s="1">
        <f>N68</f>
        <v>39670</v>
      </c>
      <c r="M68" s="1">
        <f t="shared" si="29"/>
        <v>39670</v>
      </c>
      <c r="N68" s="1">
        <f>ROUND(218186/1804*J68,-1)</f>
        <v>39670</v>
      </c>
      <c r="O68" s="1"/>
      <c r="P68" s="1">
        <v>4546</v>
      </c>
      <c r="Q68" s="1"/>
      <c r="R68" s="1">
        <f>(N68-P68-Q68)/2</f>
        <v>17562</v>
      </c>
      <c r="S68" s="1">
        <f t="shared" ref="S68" si="40">R68</f>
        <v>17562</v>
      </c>
      <c r="T68" s="1"/>
      <c r="U68" s="1"/>
      <c r="V68" s="65"/>
    </row>
    <row r="69" spans="1:22">
      <c r="A69" s="4" t="s">
        <v>147</v>
      </c>
      <c r="B69" s="5" t="s">
        <v>77</v>
      </c>
      <c r="C69" s="5"/>
      <c r="D69" s="4" t="s">
        <v>78</v>
      </c>
      <c r="E69" s="4">
        <v>17</v>
      </c>
      <c r="F69" s="49"/>
      <c r="G69" s="1">
        <f>SUBTOTAL(109,G70:G73)</f>
        <v>141140</v>
      </c>
      <c r="H69" s="1">
        <f>SUBTOTAL(109,H70:H73)</f>
        <v>27456</v>
      </c>
      <c r="I69" s="49"/>
      <c r="J69" s="1">
        <f>17*82</f>
        <v>1394</v>
      </c>
      <c r="K69" s="21"/>
      <c r="L69" s="1">
        <f>SUBTOTAL(109,L70:L73)</f>
        <v>168596</v>
      </c>
      <c r="M69" s="1">
        <f>SUBTOTAL(109,M70:M73)</f>
        <v>168596</v>
      </c>
      <c r="N69" s="1">
        <f>SUBTOTAL(109,N70:N73)</f>
        <v>168596</v>
      </c>
      <c r="O69" s="1"/>
      <c r="P69" s="1">
        <f>SUBTOTAL(109,P70:P73)</f>
        <v>33591</v>
      </c>
      <c r="Q69" s="1"/>
      <c r="R69" s="1">
        <f>SUBTOTAL(109,R70:R73)</f>
        <v>75637</v>
      </c>
      <c r="S69" s="1">
        <f>SUBTOTAL(109,S70:S73)</f>
        <v>44910</v>
      </c>
      <c r="T69" s="1"/>
      <c r="U69" s="1"/>
      <c r="V69" s="65"/>
    </row>
    <row r="70" spans="1:22" ht="27.6">
      <c r="A70" s="4" t="s">
        <v>160</v>
      </c>
      <c r="B70" s="5" t="s">
        <v>162</v>
      </c>
      <c r="C70" s="5"/>
      <c r="D70" s="4" t="s">
        <v>78</v>
      </c>
      <c r="E70" s="4">
        <v>17</v>
      </c>
      <c r="F70" s="49"/>
      <c r="G70" s="1">
        <v>96140</v>
      </c>
      <c r="H70" s="1">
        <f>M70-G70</f>
        <v>27456</v>
      </c>
      <c r="I70" s="49"/>
      <c r="J70" s="1"/>
      <c r="K70" s="21"/>
      <c r="L70" s="1">
        <f>N70</f>
        <v>123596</v>
      </c>
      <c r="M70" s="1">
        <f t="shared" si="29"/>
        <v>123596</v>
      </c>
      <c r="N70" s="1">
        <f>123598-2</f>
        <v>123596</v>
      </c>
      <c r="O70" s="1"/>
      <c r="P70" s="1">
        <v>19318</v>
      </c>
      <c r="Q70" s="1"/>
      <c r="R70" s="1">
        <v>29547</v>
      </c>
      <c r="S70" s="1">
        <v>44910</v>
      </c>
      <c r="T70" s="1">
        <f>T69-T71</f>
        <v>0</v>
      </c>
      <c r="U70" s="1"/>
      <c r="V70" s="66"/>
    </row>
    <row r="71" spans="1:22" s="14" customFormat="1" ht="27.6">
      <c r="A71" s="4" t="s">
        <v>161</v>
      </c>
      <c r="B71" s="5" t="s">
        <v>163</v>
      </c>
      <c r="C71" s="5"/>
      <c r="D71" s="4"/>
      <c r="E71" s="4"/>
      <c r="F71" s="49"/>
      <c r="G71" s="1"/>
      <c r="H71" s="49"/>
      <c r="I71" s="49"/>
      <c r="J71" s="1"/>
      <c r="K71" s="1"/>
      <c r="L71" s="1">
        <f>SUBTOTAL(109,L72:L73)</f>
        <v>45000</v>
      </c>
      <c r="M71" s="1">
        <f>SUBTOTAL(109,M72:M73)</f>
        <v>45000</v>
      </c>
      <c r="N71" s="1">
        <f t="shared" ref="N71:T71" si="41">SUBTOTAL(109,N72:N73)</f>
        <v>45000</v>
      </c>
      <c r="O71" s="1">
        <f t="shared" si="41"/>
        <v>0</v>
      </c>
      <c r="P71" s="1">
        <f t="shared" si="41"/>
        <v>14273</v>
      </c>
      <c r="Q71" s="1">
        <f t="shared" si="41"/>
        <v>0</v>
      </c>
      <c r="R71" s="1">
        <v>15363</v>
      </c>
      <c r="S71" s="1">
        <v>0</v>
      </c>
      <c r="T71" s="1">
        <f t="shared" si="41"/>
        <v>0</v>
      </c>
      <c r="U71" s="1"/>
      <c r="V71" s="51"/>
    </row>
    <row r="72" spans="1:22" ht="41.4">
      <c r="A72" s="53" t="s">
        <v>125</v>
      </c>
      <c r="B72" s="16" t="s">
        <v>79</v>
      </c>
      <c r="C72" s="16" t="s">
        <v>124</v>
      </c>
      <c r="D72" s="6"/>
      <c r="E72" s="12"/>
      <c r="F72" s="49" t="s">
        <v>53</v>
      </c>
      <c r="G72" s="1">
        <v>30000</v>
      </c>
      <c r="H72" s="49"/>
      <c r="I72" s="49"/>
      <c r="J72" s="1"/>
      <c r="K72" s="1"/>
      <c r="L72" s="1">
        <f>N72+T72</f>
        <v>30000</v>
      </c>
      <c r="M72" s="1">
        <f t="shared" si="29"/>
        <v>30000</v>
      </c>
      <c r="N72" s="1">
        <v>30000</v>
      </c>
      <c r="O72" s="1"/>
      <c r="P72" s="1">
        <v>9500</v>
      </c>
      <c r="Q72" s="1"/>
      <c r="R72" s="22">
        <f>N72-P72-Q72</f>
        <v>20500</v>
      </c>
      <c r="S72" s="22">
        <v>0</v>
      </c>
      <c r="T72" s="22"/>
      <c r="U72" s="22"/>
      <c r="V72" s="49" t="s">
        <v>80</v>
      </c>
    </row>
    <row r="73" spans="1:22" ht="41.4">
      <c r="A73" s="53" t="s">
        <v>125</v>
      </c>
      <c r="B73" s="16" t="s">
        <v>81</v>
      </c>
      <c r="C73" s="16" t="s">
        <v>121</v>
      </c>
      <c r="D73" s="6"/>
      <c r="E73" s="4"/>
      <c r="F73" s="49" t="s">
        <v>53</v>
      </c>
      <c r="G73" s="1">
        <v>15000</v>
      </c>
      <c r="H73" s="49"/>
      <c r="I73" s="49"/>
      <c r="J73" s="1"/>
      <c r="K73" s="1"/>
      <c r="L73" s="1">
        <f>N73+T73</f>
        <v>15000</v>
      </c>
      <c r="M73" s="1">
        <f t="shared" si="29"/>
        <v>15000</v>
      </c>
      <c r="N73" s="1">
        <v>15000</v>
      </c>
      <c r="O73" s="1"/>
      <c r="P73" s="1">
        <f>14273-9500</f>
        <v>4773</v>
      </c>
      <c r="Q73" s="1"/>
      <c r="R73" s="22">
        <f>N73-P73-Q73</f>
        <v>10227</v>
      </c>
      <c r="S73" s="22">
        <v>0</v>
      </c>
      <c r="T73" s="22"/>
      <c r="U73" s="22"/>
      <c r="V73" s="49" t="s">
        <v>80</v>
      </c>
    </row>
    <row r="74" spans="1:22" s="14" customFormat="1" ht="55.2">
      <c r="A74" s="52" t="s">
        <v>82</v>
      </c>
      <c r="B74" s="11" t="s">
        <v>83</v>
      </c>
      <c r="C74" s="11"/>
      <c r="D74" s="50"/>
      <c r="E74" s="50"/>
      <c r="F74" s="51"/>
      <c r="G74" s="13">
        <f>SUBTOTAL(109,G75:G80)</f>
        <v>6872</v>
      </c>
      <c r="H74" s="51"/>
      <c r="I74" s="51"/>
      <c r="J74" s="13">
        <f>SUBTOTAL(109,J75:J80)</f>
        <v>333</v>
      </c>
      <c r="K74" s="13">
        <f t="shared" ref="K74:T74" si="42">SUBTOTAL(109,K75:K80)</f>
        <v>0</v>
      </c>
      <c r="L74" s="13">
        <f t="shared" si="42"/>
        <v>6872</v>
      </c>
      <c r="M74" s="13">
        <f t="shared" si="42"/>
        <v>6872</v>
      </c>
      <c r="N74" s="13">
        <f t="shared" si="42"/>
        <v>6872</v>
      </c>
      <c r="O74" s="13">
        <f t="shared" si="42"/>
        <v>0</v>
      </c>
      <c r="P74" s="13">
        <f t="shared" si="42"/>
        <v>932</v>
      </c>
      <c r="Q74" s="13">
        <f t="shared" si="42"/>
        <v>0</v>
      </c>
      <c r="R74" s="13">
        <f t="shared" si="42"/>
        <v>2970</v>
      </c>
      <c r="S74" s="13">
        <f t="shared" si="42"/>
        <v>2970</v>
      </c>
      <c r="T74" s="13">
        <f t="shared" si="42"/>
        <v>0</v>
      </c>
      <c r="U74" s="13"/>
      <c r="V74" s="51"/>
    </row>
    <row r="75" spans="1:22" ht="55.2">
      <c r="A75" s="40"/>
      <c r="B75" s="11" t="s">
        <v>84</v>
      </c>
      <c r="C75" s="11"/>
      <c r="D75" s="50"/>
      <c r="E75" s="50"/>
      <c r="F75" s="51"/>
      <c r="G75" s="13">
        <f>SUBTOTAL(109,G76:G80)</f>
        <v>6872</v>
      </c>
      <c r="H75" s="51"/>
      <c r="I75" s="51"/>
      <c r="J75" s="13">
        <f>SUBTOTAL(109,J76:J80)</f>
        <v>333</v>
      </c>
      <c r="K75" s="13">
        <f t="shared" ref="K75:T75" si="43">SUBTOTAL(109,K76:K80)</f>
        <v>0</v>
      </c>
      <c r="L75" s="13">
        <f t="shared" si="43"/>
        <v>6872</v>
      </c>
      <c r="M75" s="13">
        <f t="shared" si="43"/>
        <v>6872</v>
      </c>
      <c r="N75" s="13">
        <f t="shared" si="43"/>
        <v>6872</v>
      </c>
      <c r="O75" s="13">
        <f t="shared" si="43"/>
        <v>0</v>
      </c>
      <c r="P75" s="13">
        <f t="shared" si="43"/>
        <v>932</v>
      </c>
      <c r="Q75" s="13">
        <f t="shared" si="43"/>
        <v>0</v>
      </c>
      <c r="R75" s="13">
        <f t="shared" si="43"/>
        <v>2970</v>
      </c>
      <c r="S75" s="13">
        <f t="shared" si="43"/>
        <v>2970</v>
      </c>
      <c r="T75" s="13">
        <f t="shared" si="43"/>
        <v>0</v>
      </c>
      <c r="U75" s="13"/>
      <c r="V75" s="51"/>
    </row>
    <row r="76" spans="1:22" ht="20.25" customHeight="1">
      <c r="A76" s="4">
        <v>1</v>
      </c>
      <c r="B76" s="5" t="s">
        <v>12</v>
      </c>
      <c r="C76" s="5"/>
      <c r="D76" s="4"/>
      <c r="E76" s="6" t="s">
        <v>14</v>
      </c>
      <c r="F76" s="49"/>
      <c r="G76" s="1">
        <f>457+1400</f>
        <v>1857</v>
      </c>
      <c r="H76" s="49"/>
      <c r="I76" s="49"/>
      <c r="J76" s="1">
        <f>3*30</f>
        <v>90</v>
      </c>
      <c r="K76" s="1"/>
      <c r="L76" s="1">
        <f t="shared" ref="L76:L80" si="44">N76+T76</f>
        <v>1857</v>
      </c>
      <c r="M76" s="1">
        <f t="shared" si="29"/>
        <v>1857</v>
      </c>
      <c r="N76" s="1">
        <f>G76</f>
        <v>1857</v>
      </c>
      <c r="O76" s="1"/>
      <c r="P76" s="1">
        <v>254</v>
      </c>
      <c r="Q76" s="1"/>
      <c r="R76" s="1">
        <f t="shared" ref="R76:R80" si="45">(N76-P76-Q76)/2</f>
        <v>801.5</v>
      </c>
      <c r="S76" s="1">
        <f>N76-(P76+Q76+R76)</f>
        <v>801.5</v>
      </c>
      <c r="T76" s="1"/>
      <c r="U76" s="1"/>
      <c r="V76" s="55" t="s">
        <v>126</v>
      </c>
    </row>
    <row r="77" spans="1:22" ht="20.25" customHeight="1">
      <c r="A77" s="4">
        <v>2</v>
      </c>
      <c r="B77" s="5" t="s">
        <v>15</v>
      </c>
      <c r="C77" s="5"/>
      <c r="D77" s="4"/>
      <c r="E77" s="6" t="s">
        <v>49</v>
      </c>
      <c r="F77" s="49"/>
      <c r="G77" s="1">
        <f>163+498</f>
        <v>661</v>
      </c>
      <c r="H77" s="49"/>
      <c r="I77" s="49"/>
      <c r="J77" s="1">
        <f>1*30+4*0.5</f>
        <v>32</v>
      </c>
      <c r="K77" s="1"/>
      <c r="L77" s="1">
        <f t="shared" si="44"/>
        <v>661</v>
      </c>
      <c r="M77" s="1">
        <f t="shared" si="29"/>
        <v>661</v>
      </c>
      <c r="N77" s="1">
        <f t="shared" ref="N77:N80" si="46">G77</f>
        <v>661</v>
      </c>
      <c r="O77" s="1"/>
      <c r="P77" s="1">
        <v>85</v>
      </c>
      <c r="Q77" s="1"/>
      <c r="R77" s="1">
        <f t="shared" si="45"/>
        <v>288</v>
      </c>
      <c r="S77" s="1">
        <f>N77-(P77+Q77+R77)</f>
        <v>288</v>
      </c>
      <c r="T77" s="1"/>
      <c r="U77" s="1"/>
      <c r="V77" s="55"/>
    </row>
    <row r="78" spans="1:22" ht="20.25" customHeight="1">
      <c r="A78" s="4">
        <v>3</v>
      </c>
      <c r="B78" s="5" t="s">
        <v>17</v>
      </c>
      <c r="C78" s="5"/>
      <c r="D78" s="4"/>
      <c r="E78" s="6" t="s">
        <v>85</v>
      </c>
      <c r="F78" s="49"/>
      <c r="G78" s="1">
        <f>310+949</f>
        <v>1259</v>
      </c>
      <c r="H78" s="49"/>
      <c r="I78" s="49"/>
      <c r="J78" s="1">
        <f>2*30+2*0.5</f>
        <v>61</v>
      </c>
      <c r="K78" s="1"/>
      <c r="L78" s="1">
        <f t="shared" si="44"/>
        <v>1259</v>
      </c>
      <c r="M78" s="1">
        <f t="shared" si="29"/>
        <v>1259</v>
      </c>
      <c r="N78" s="1">
        <f t="shared" si="46"/>
        <v>1259</v>
      </c>
      <c r="O78" s="1"/>
      <c r="P78" s="1">
        <v>169</v>
      </c>
      <c r="Q78" s="1"/>
      <c r="R78" s="1">
        <f t="shared" si="45"/>
        <v>545</v>
      </c>
      <c r="S78" s="1">
        <f>N78-(P78+Q78+R78)</f>
        <v>545</v>
      </c>
      <c r="T78" s="1"/>
      <c r="U78" s="1"/>
      <c r="V78" s="55"/>
    </row>
    <row r="79" spans="1:22" ht="20.25" customHeight="1">
      <c r="A79" s="4">
        <v>4</v>
      </c>
      <c r="B79" s="5" t="s">
        <v>19</v>
      </c>
      <c r="C79" s="5"/>
      <c r="D79" s="4"/>
      <c r="E79" s="6" t="s">
        <v>48</v>
      </c>
      <c r="F79" s="49"/>
      <c r="G79" s="1">
        <f>610+1867</f>
        <v>2477</v>
      </c>
      <c r="H79" s="49"/>
      <c r="I79" s="49"/>
      <c r="J79" s="1">
        <f>4*30</f>
        <v>120</v>
      </c>
      <c r="K79" s="1"/>
      <c r="L79" s="1">
        <f t="shared" si="44"/>
        <v>2477</v>
      </c>
      <c r="M79" s="1">
        <f t="shared" si="29"/>
        <v>2477</v>
      </c>
      <c r="N79" s="1">
        <f t="shared" si="46"/>
        <v>2477</v>
      </c>
      <c r="O79" s="1"/>
      <c r="P79" s="1">
        <v>339</v>
      </c>
      <c r="Q79" s="1"/>
      <c r="R79" s="1">
        <f t="shared" si="45"/>
        <v>1069</v>
      </c>
      <c r="S79" s="1">
        <f>N79-(P79+Q79+R79)</f>
        <v>1069</v>
      </c>
      <c r="T79" s="1"/>
      <c r="U79" s="1"/>
      <c r="V79" s="55"/>
    </row>
    <row r="80" spans="1:22" ht="21" customHeight="1">
      <c r="A80" s="4">
        <v>5</v>
      </c>
      <c r="B80" s="5" t="s">
        <v>21</v>
      </c>
      <c r="C80" s="5"/>
      <c r="D80" s="4"/>
      <c r="E80" s="6" t="s">
        <v>49</v>
      </c>
      <c r="F80" s="49"/>
      <c r="G80" s="1">
        <f>152+466</f>
        <v>618</v>
      </c>
      <c r="H80" s="49"/>
      <c r="I80" s="49"/>
      <c r="J80" s="1">
        <f>1*30</f>
        <v>30</v>
      </c>
      <c r="K80" s="1"/>
      <c r="L80" s="1">
        <f t="shared" si="44"/>
        <v>618</v>
      </c>
      <c r="M80" s="1">
        <f t="shared" si="29"/>
        <v>618</v>
      </c>
      <c r="N80" s="1">
        <f t="shared" si="46"/>
        <v>618</v>
      </c>
      <c r="O80" s="1"/>
      <c r="P80" s="1">
        <v>85</v>
      </c>
      <c r="Q80" s="1"/>
      <c r="R80" s="1">
        <f t="shared" si="45"/>
        <v>266.5</v>
      </c>
      <c r="S80" s="1">
        <f>N80-(P80+Q80+R80)</f>
        <v>266.5</v>
      </c>
      <c r="T80" s="1"/>
      <c r="U80" s="1"/>
      <c r="V80" s="55"/>
    </row>
    <row r="81" spans="1:22">
      <c r="A81" s="52" t="s">
        <v>144</v>
      </c>
      <c r="B81" s="27" t="s">
        <v>128</v>
      </c>
      <c r="C81" s="27"/>
      <c r="D81" s="28"/>
      <c r="E81" s="52"/>
      <c r="F81" s="51"/>
      <c r="G81" s="13"/>
      <c r="H81" s="13">
        <v>28112</v>
      </c>
      <c r="I81" s="13"/>
      <c r="J81" s="51"/>
      <c r="K81" s="51"/>
      <c r="L81" s="13"/>
      <c r="M81" s="13">
        <f>SUBTOTAL(109,M82:M86)</f>
        <v>28112</v>
      </c>
      <c r="N81" s="13">
        <f t="shared" ref="N81:T81" si="47">SUBTOTAL(109,N82:N86)</f>
        <v>0</v>
      </c>
      <c r="O81" s="13">
        <f t="shared" si="47"/>
        <v>28112</v>
      </c>
      <c r="P81" s="13">
        <f t="shared" si="47"/>
        <v>0</v>
      </c>
      <c r="Q81" s="13">
        <f t="shared" si="47"/>
        <v>0</v>
      </c>
      <c r="R81" s="13">
        <f t="shared" si="47"/>
        <v>0</v>
      </c>
      <c r="S81" s="13">
        <f t="shared" si="47"/>
        <v>0</v>
      </c>
      <c r="T81" s="13">
        <f t="shared" si="47"/>
        <v>0</v>
      </c>
      <c r="U81" s="13"/>
      <c r="V81" s="51"/>
    </row>
    <row r="82" spans="1:22" ht="15" customHeight="1">
      <c r="A82" s="4">
        <v>1</v>
      </c>
      <c r="B82" s="5" t="s">
        <v>19</v>
      </c>
      <c r="C82" s="5"/>
      <c r="D82" s="4"/>
      <c r="E82" s="6"/>
      <c r="F82" s="49"/>
      <c r="G82" s="49"/>
      <c r="H82" s="49"/>
      <c r="I82" s="49"/>
      <c r="J82" s="1"/>
      <c r="K82" s="1"/>
      <c r="L82" s="1"/>
      <c r="M82" s="1">
        <f>O82</f>
        <v>9920</v>
      </c>
      <c r="N82" s="1"/>
      <c r="O82" s="1">
        <f>ROUND((50000-21090-798)/102*36,-1)</f>
        <v>9920</v>
      </c>
      <c r="P82" s="1"/>
      <c r="Q82" s="1"/>
      <c r="R82" s="1"/>
      <c r="S82" s="1"/>
      <c r="T82" s="1"/>
      <c r="U82" s="1"/>
      <c r="V82" s="55" t="s">
        <v>40</v>
      </c>
    </row>
    <row r="83" spans="1:22">
      <c r="A83" s="4">
        <v>2</v>
      </c>
      <c r="B83" s="5" t="s">
        <v>21</v>
      </c>
      <c r="C83" s="5"/>
      <c r="D83" s="4"/>
      <c r="E83" s="6"/>
      <c r="F83" s="49"/>
      <c r="G83" s="49"/>
      <c r="H83" s="49"/>
      <c r="I83" s="49"/>
      <c r="J83" s="1"/>
      <c r="K83" s="1"/>
      <c r="L83" s="1"/>
      <c r="M83" s="1">
        <f t="shared" ref="M83:M86" si="48">O83</f>
        <v>1100</v>
      </c>
      <c r="N83" s="1"/>
      <c r="O83" s="1">
        <f>ROUND((50000-21090-798)/102*4,-1)</f>
        <v>1100</v>
      </c>
      <c r="P83" s="1"/>
      <c r="Q83" s="1"/>
      <c r="R83" s="1"/>
      <c r="S83" s="1"/>
      <c r="T83" s="1"/>
      <c r="U83" s="1"/>
      <c r="V83" s="55"/>
    </row>
    <row r="84" spans="1:22">
      <c r="A84" s="4">
        <v>3</v>
      </c>
      <c r="B84" s="5" t="s">
        <v>12</v>
      </c>
      <c r="C84" s="5"/>
      <c r="D84" s="4"/>
      <c r="E84" s="6"/>
      <c r="F84" s="49"/>
      <c r="G84" s="49"/>
      <c r="H84" s="49"/>
      <c r="I84" s="49"/>
      <c r="J84" s="1"/>
      <c r="K84" s="1"/>
      <c r="L84" s="1"/>
      <c r="M84" s="1">
        <f t="shared" si="48"/>
        <v>5790</v>
      </c>
      <c r="N84" s="1"/>
      <c r="O84" s="1">
        <f>ROUND((50000-21090-798)/102*21,-1)</f>
        <v>5790</v>
      </c>
      <c r="P84" s="1"/>
      <c r="Q84" s="1"/>
      <c r="R84" s="1"/>
      <c r="S84" s="1"/>
      <c r="T84" s="1"/>
      <c r="U84" s="1"/>
      <c r="V84" s="55"/>
    </row>
    <row r="85" spans="1:22">
      <c r="A85" s="4">
        <v>4</v>
      </c>
      <c r="B85" s="5" t="s">
        <v>15</v>
      </c>
      <c r="C85" s="5"/>
      <c r="D85" s="4"/>
      <c r="E85" s="6"/>
      <c r="F85" s="49"/>
      <c r="G85" s="49"/>
      <c r="H85" s="49"/>
      <c r="I85" s="49"/>
      <c r="J85" s="1"/>
      <c r="K85" s="1"/>
      <c r="L85" s="1"/>
      <c r="M85" s="1">
        <f t="shared" si="48"/>
        <v>5240</v>
      </c>
      <c r="N85" s="1"/>
      <c r="O85" s="1">
        <f>ROUND((50000-21090-798)/102*19,-1)</f>
        <v>5240</v>
      </c>
      <c r="P85" s="1"/>
      <c r="Q85" s="1"/>
      <c r="R85" s="1"/>
      <c r="S85" s="1"/>
      <c r="T85" s="1"/>
      <c r="U85" s="1"/>
      <c r="V85" s="55"/>
    </row>
    <row r="86" spans="1:22">
      <c r="A86" s="4">
        <v>5</v>
      </c>
      <c r="B86" s="5" t="s">
        <v>17</v>
      </c>
      <c r="C86" s="5"/>
      <c r="D86" s="4"/>
      <c r="E86" s="6"/>
      <c r="F86" s="49"/>
      <c r="G86" s="49"/>
      <c r="H86" s="49"/>
      <c r="I86" s="49"/>
      <c r="J86" s="1"/>
      <c r="K86" s="1"/>
      <c r="L86" s="1"/>
      <c r="M86" s="1">
        <f t="shared" si="48"/>
        <v>6062</v>
      </c>
      <c r="N86" s="1"/>
      <c r="O86" s="1">
        <f>ROUND((50000-21090-798)/102*22,-1)+2</f>
        <v>6062</v>
      </c>
      <c r="P86" s="1"/>
      <c r="Q86" s="1"/>
      <c r="R86" s="1"/>
      <c r="S86" s="1"/>
      <c r="T86" s="1"/>
      <c r="U86" s="1"/>
      <c r="V86" s="55"/>
    </row>
    <row r="90" spans="1:22" s="24" customFormat="1">
      <c r="A90" s="20"/>
      <c r="B90" s="20"/>
      <c r="C90" s="20"/>
      <c r="D90" s="25"/>
      <c r="F90" s="25"/>
      <c r="G90" s="25"/>
      <c r="H90" s="25"/>
      <c r="I90" s="25"/>
      <c r="J90" s="20"/>
      <c r="K90" s="20"/>
      <c r="L90" s="20"/>
      <c r="M90" s="20"/>
      <c r="N90" s="20"/>
      <c r="O90" s="20"/>
      <c r="P90" s="20"/>
      <c r="Q90" s="20"/>
      <c r="R90" s="20"/>
      <c r="S90" s="20"/>
      <c r="T90" s="20"/>
      <c r="U90" s="20"/>
      <c r="V90" s="25"/>
    </row>
    <row r="91" spans="1:22" s="24" customFormat="1">
      <c r="A91" s="20"/>
      <c r="B91" s="20"/>
      <c r="C91" s="20"/>
      <c r="D91" s="25"/>
      <c r="F91" s="25"/>
      <c r="G91" s="25"/>
      <c r="H91" s="25"/>
      <c r="I91" s="25"/>
      <c r="J91" s="20"/>
      <c r="K91" s="20"/>
      <c r="L91" s="20"/>
      <c r="M91" s="20"/>
      <c r="N91" s="20"/>
      <c r="O91" s="20"/>
      <c r="P91" s="20"/>
      <c r="Q91" s="20"/>
      <c r="R91" s="20"/>
      <c r="S91" s="20"/>
      <c r="T91" s="20"/>
      <c r="U91" s="20"/>
      <c r="V91" s="25"/>
    </row>
    <row r="92" spans="1:22" s="24" customFormat="1">
      <c r="A92" s="20"/>
      <c r="B92" s="20"/>
      <c r="C92" s="20"/>
      <c r="D92" s="25"/>
      <c r="F92" s="25"/>
      <c r="G92" s="25"/>
      <c r="H92" s="25"/>
      <c r="I92" s="25"/>
      <c r="J92" s="20"/>
      <c r="K92" s="20"/>
      <c r="L92" s="20"/>
      <c r="M92" s="20"/>
      <c r="N92" s="20"/>
      <c r="O92" s="20"/>
      <c r="P92" s="20"/>
      <c r="Q92" s="20"/>
      <c r="R92" s="20"/>
      <c r="S92" s="20"/>
      <c r="T92" s="20"/>
      <c r="U92" s="20"/>
      <c r="V92" s="25"/>
    </row>
  </sheetData>
  <mergeCells count="27">
    <mergeCell ref="A6:A7"/>
    <mergeCell ref="B6:B7"/>
    <mergeCell ref="C6:C7"/>
    <mergeCell ref="D6:D7"/>
    <mergeCell ref="E6:E7"/>
    <mergeCell ref="A2:V2"/>
    <mergeCell ref="A3:V3"/>
    <mergeCell ref="A4:V4"/>
    <mergeCell ref="D5:J5"/>
    <mergeCell ref="Q5:V5"/>
    <mergeCell ref="V29:V33"/>
    <mergeCell ref="F6:F7"/>
    <mergeCell ref="G6:G7"/>
    <mergeCell ref="H6:I6"/>
    <mergeCell ref="J6:J7"/>
    <mergeCell ref="K6:K7"/>
    <mergeCell ref="L6:L7"/>
    <mergeCell ref="M6:O6"/>
    <mergeCell ref="P6:P7"/>
    <mergeCell ref="Q6:U6"/>
    <mergeCell ref="V6:V7"/>
    <mergeCell ref="V23:V27"/>
    <mergeCell ref="V37:V41"/>
    <mergeCell ref="V56:V60"/>
    <mergeCell ref="V67:V70"/>
    <mergeCell ref="V76:V80"/>
    <mergeCell ref="V82:V86"/>
  </mergeCells>
  <pageMargins left="0.45" right="0.2" top="1" bottom="0.75" header="0.3" footer="0.3"/>
  <pageSetup paperSize="9" scale="90" orientation="landscape" verticalDpi="1200" r:id="rId1"/>
  <headerFooter>
    <oddHeader>&amp;C&amp;P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3"/>
  <sheetViews>
    <sheetView view="pageLayout" zoomScaleNormal="100" workbookViewId="0">
      <selection activeCell="A4" sqref="A4:Z4"/>
    </sheetView>
  </sheetViews>
  <sheetFormatPr defaultColWidth="9" defaultRowHeight="13.8"/>
  <cols>
    <col min="1" max="1" width="5" style="20" customWidth="1"/>
    <col min="2" max="2" width="49" style="20" customWidth="1"/>
    <col min="3" max="3" width="8.69921875" style="20" hidden="1" customWidth="1"/>
    <col min="4" max="4" width="11.69921875" style="25" hidden="1" customWidth="1"/>
    <col min="5" max="5" width="0.8984375" style="24" hidden="1" customWidth="1"/>
    <col min="6" max="6" width="7.59765625" style="25" hidden="1" customWidth="1"/>
    <col min="7" max="7" width="14.3984375" style="25" hidden="1" customWidth="1"/>
    <col min="8" max="8" width="8.19921875" style="25" hidden="1" customWidth="1"/>
    <col min="9" max="9" width="8.5" style="25" hidden="1" customWidth="1"/>
    <col min="10" max="10" width="6.5" style="20" hidden="1" customWidth="1"/>
    <col min="11" max="11" width="7.09765625" style="20" hidden="1" customWidth="1"/>
    <col min="12" max="12" width="9.59765625" style="20" hidden="1" customWidth="1"/>
    <col min="13" max="13" width="8.59765625" style="20" hidden="1" customWidth="1"/>
    <col min="14" max="14" width="7.19921875" style="20" hidden="1" customWidth="1"/>
    <col min="15" max="15" width="8.3984375" style="20" hidden="1" customWidth="1"/>
    <col min="16" max="16" width="7.8984375" style="20" hidden="1" customWidth="1"/>
    <col min="17" max="17" width="13.69921875" style="20" hidden="1" customWidth="1"/>
    <col min="18" max="18" width="11.09765625" style="20" customWidth="1"/>
    <col min="19" max="19" width="9.19921875" style="20" customWidth="1"/>
    <col min="20" max="20" width="7.5" style="20" hidden="1" customWidth="1"/>
    <col min="21" max="21" width="7.8984375" style="20" hidden="1" customWidth="1"/>
    <col min="22" max="22" width="7.3984375" style="20" hidden="1" customWidth="1"/>
    <col min="23" max="23" width="6.5" style="20" hidden="1" customWidth="1"/>
    <col min="24" max="24" width="9.19921875" style="20" customWidth="1"/>
    <col min="25" max="25" width="17" style="20" customWidth="1"/>
    <col min="26" max="26" width="24.5" style="25" customWidth="1"/>
    <col min="27" max="16384" width="9" style="20"/>
  </cols>
  <sheetData>
    <row r="1" spans="1:26" ht="14.4">
      <c r="B1" s="26"/>
      <c r="C1" s="26"/>
    </row>
    <row r="2" spans="1:26">
      <c r="A2" s="59" t="s">
        <v>143</v>
      </c>
      <c r="B2" s="59"/>
      <c r="C2" s="59"/>
      <c r="D2" s="59"/>
      <c r="E2" s="59"/>
      <c r="F2" s="59"/>
      <c r="G2" s="59"/>
      <c r="H2" s="59"/>
      <c r="I2" s="59"/>
      <c r="J2" s="59"/>
      <c r="K2" s="59"/>
      <c r="L2" s="59"/>
      <c r="M2" s="59"/>
      <c r="N2" s="59"/>
      <c r="O2" s="59"/>
      <c r="P2" s="59"/>
      <c r="Q2" s="59"/>
      <c r="R2" s="59"/>
      <c r="S2" s="59"/>
      <c r="T2" s="59"/>
      <c r="U2" s="59"/>
      <c r="V2" s="59"/>
      <c r="W2" s="59"/>
      <c r="X2" s="59"/>
      <c r="Y2" s="59"/>
      <c r="Z2" s="59"/>
    </row>
    <row r="3" spans="1:26" ht="32.25" customHeight="1">
      <c r="A3" s="60" t="s">
        <v>138</v>
      </c>
      <c r="B3" s="60"/>
      <c r="C3" s="60"/>
      <c r="D3" s="60"/>
      <c r="E3" s="60"/>
      <c r="F3" s="60"/>
      <c r="G3" s="60"/>
      <c r="H3" s="60"/>
      <c r="I3" s="60"/>
      <c r="J3" s="60"/>
      <c r="K3" s="60"/>
      <c r="L3" s="60"/>
      <c r="M3" s="60"/>
      <c r="N3" s="60"/>
      <c r="O3" s="60"/>
      <c r="P3" s="60"/>
      <c r="Q3" s="60"/>
      <c r="R3" s="60"/>
      <c r="S3" s="60"/>
      <c r="T3" s="60"/>
      <c r="U3" s="60"/>
      <c r="V3" s="60"/>
      <c r="W3" s="60"/>
      <c r="X3" s="60"/>
      <c r="Y3" s="60"/>
      <c r="Z3" s="60"/>
    </row>
    <row r="4" spans="1:26" ht="15" customHeight="1">
      <c r="A4" s="61" t="s">
        <v>165</v>
      </c>
      <c r="B4" s="61"/>
      <c r="C4" s="61"/>
      <c r="D4" s="61"/>
      <c r="E4" s="61"/>
      <c r="F4" s="61"/>
      <c r="G4" s="61"/>
      <c r="H4" s="61"/>
      <c r="I4" s="61"/>
      <c r="J4" s="61"/>
      <c r="K4" s="61"/>
      <c r="L4" s="61"/>
      <c r="M4" s="61"/>
      <c r="N4" s="61"/>
      <c r="O4" s="61"/>
      <c r="P4" s="61"/>
      <c r="Q4" s="61"/>
      <c r="R4" s="61"/>
      <c r="S4" s="61"/>
      <c r="T4" s="61"/>
      <c r="U4" s="61"/>
      <c r="V4" s="61"/>
      <c r="W4" s="61"/>
      <c r="X4" s="61"/>
      <c r="Y4" s="61"/>
      <c r="Z4" s="61"/>
    </row>
    <row r="5" spans="1:26" ht="15" customHeight="1">
      <c r="A5" s="23"/>
      <c r="B5" s="23"/>
      <c r="C5" s="23"/>
      <c r="D5" s="62"/>
      <c r="E5" s="62"/>
      <c r="F5" s="62"/>
      <c r="G5" s="62"/>
      <c r="H5" s="62"/>
      <c r="I5" s="62"/>
      <c r="J5" s="62"/>
      <c r="K5" s="23"/>
      <c r="L5" s="23"/>
      <c r="M5" s="23"/>
      <c r="N5" s="23"/>
      <c r="O5" s="23"/>
      <c r="P5" s="23"/>
      <c r="Q5" s="23"/>
      <c r="R5" s="23"/>
      <c r="S5" s="63" t="s">
        <v>0</v>
      </c>
      <c r="T5" s="63"/>
      <c r="U5" s="63"/>
      <c r="V5" s="63"/>
      <c r="W5" s="63"/>
      <c r="X5" s="63"/>
      <c r="Y5" s="63"/>
      <c r="Z5" s="63"/>
    </row>
    <row r="6" spans="1:26" ht="15" customHeight="1">
      <c r="A6" s="58" t="s">
        <v>1</v>
      </c>
      <c r="B6" s="58" t="s">
        <v>2</v>
      </c>
      <c r="C6" s="57" t="s">
        <v>112</v>
      </c>
      <c r="D6" s="56" t="s">
        <v>3</v>
      </c>
      <c r="E6" s="56" t="s">
        <v>4</v>
      </c>
      <c r="F6" s="57" t="s">
        <v>5</v>
      </c>
      <c r="G6" s="57" t="s">
        <v>134</v>
      </c>
      <c r="H6" s="57" t="s">
        <v>130</v>
      </c>
      <c r="I6" s="57"/>
      <c r="J6" s="57" t="s">
        <v>6</v>
      </c>
      <c r="K6" s="57" t="s">
        <v>110</v>
      </c>
      <c r="L6" s="57" t="s">
        <v>94</v>
      </c>
      <c r="M6" s="57" t="s">
        <v>133</v>
      </c>
      <c r="N6" s="57"/>
      <c r="O6" s="57"/>
      <c r="P6" s="56" t="s">
        <v>7</v>
      </c>
      <c r="Q6" s="11"/>
      <c r="R6" s="56" t="s">
        <v>137</v>
      </c>
      <c r="S6" s="56" t="s">
        <v>130</v>
      </c>
      <c r="T6" s="56"/>
      <c r="U6" s="56"/>
      <c r="V6" s="56"/>
      <c r="W6" s="56"/>
      <c r="X6" s="56"/>
      <c r="Y6" s="56" t="s">
        <v>141</v>
      </c>
      <c r="Z6" s="57" t="s">
        <v>109</v>
      </c>
    </row>
    <row r="7" spans="1:26" ht="27.6">
      <c r="A7" s="58"/>
      <c r="B7" s="58"/>
      <c r="C7" s="57"/>
      <c r="D7" s="56"/>
      <c r="E7" s="56"/>
      <c r="F7" s="57"/>
      <c r="G7" s="57"/>
      <c r="H7" s="51" t="s">
        <v>131</v>
      </c>
      <c r="I7" s="51" t="s">
        <v>132</v>
      </c>
      <c r="J7" s="57"/>
      <c r="K7" s="57"/>
      <c r="L7" s="57"/>
      <c r="M7" s="51" t="s">
        <v>108</v>
      </c>
      <c r="N7" s="51" t="s">
        <v>106</v>
      </c>
      <c r="O7" s="51" t="s">
        <v>107</v>
      </c>
      <c r="P7" s="56"/>
      <c r="Q7" s="50" t="s">
        <v>136</v>
      </c>
      <c r="R7" s="56"/>
      <c r="S7" s="50" t="s">
        <v>131</v>
      </c>
      <c r="T7" s="51" t="s">
        <v>107</v>
      </c>
      <c r="U7" s="50"/>
      <c r="V7" s="50"/>
      <c r="W7" s="50" t="s">
        <v>107</v>
      </c>
      <c r="X7" s="50" t="s">
        <v>132</v>
      </c>
      <c r="Y7" s="56"/>
      <c r="Z7" s="57"/>
    </row>
    <row r="8" spans="1:26">
      <c r="A8" s="52"/>
      <c r="B8" s="27" t="s">
        <v>129</v>
      </c>
      <c r="C8" s="27"/>
      <c r="D8" s="28"/>
      <c r="E8" s="52"/>
      <c r="F8" s="51"/>
      <c r="G8" s="13">
        <f t="shared" ref="G8:Y8" si="0">SUBTOTAL(109,G9:G28)</f>
        <v>93885</v>
      </c>
      <c r="H8" s="13" t="e">
        <f t="shared" si="0"/>
        <v>#REF!</v>
      </c>
      <c r="I8" s="13">
        <f t="shared" si="0"/>
        <v>5468.9804134474834</v>
      </c>
      <c r="J8" s="13" t="e">
        <f t="shared" si="0"/>
        <v>#REF!</v>
      </c>
      <c r="K8" s="13" t="e">
        <f t="shared" si="0"/>
        <v>#REF!</v>
      </c>
      <c r="L8" s="13" t="e">
        <f t="shared" si="0"/>
        <v>#REF!</v>
      </c>
      <c r="M8" s="13" t="e">
        <f t="shared" si="0"/>
        <v>#REF!</v>
      </c>
      <c r="N8" s="13" t="e">
        <f t="shared" si="0"/>
        <v>#REF!</v>
      </c>
      <c r="O8" s="13">
        <f t="shared" si="0"/>
        <v>6770.2</v>
      </c>
      <c r="P8" s="13">
        <f t="shared" si="0"/>
        <v>10765</v>
      </c>
      <c r="Q8" s="13">
        <f t="shared" si="0"/>
        <v>30530</v>
      </c>
      <c r="R8" s="13">
        <f t="shared" si="0"/>
        <v>14500</v>
      </c>
      <c r="S8" s="13">
        <f t="shared" si="0"/>
        <v>34596</v>
      </c>
      <c r="T8" s="13" t="e">
        <f t="shared" si="0"/>
        <v>#REF!</v>
      </c>
      <c r="U8" s="13" t="e">
        <f t="shared" si="0"/>
        <v>#REF!</v>
      </c>
      <c r="V8" s="13">
        <f t="shared" si="0"/>
        <v>6770.2</v>
      </c>
      <c r="W8" s="13">
        <f t="shared" si="0"/>
        <v>0</v>
      </c>
      <c r="X8" s="13">
        <f t="shared" si="0"/>
        <v>0</v>
      </c>
      <c r="Y8" s="13">
        <f t="shared" si="0"/>
        <v>49096</v>
      </c>
      <c r="Z8" s="51"/>
    </row>
    <row r="9" spans="1:26" ht="27.6">
      <c r="A9" s="52" t="s">
        <v>8</v>
      </c>
      <c r="B9" s="30" t="s">
        <v>9</v>
      </c>
      <c r="C9" s="30"/>
      <c r="D9" s="50"/>
      <c r="E9" s="50"/>
      <c r="F9" s="51"/>
      <c r="G9" s="13">
        <f t="shared" ref="G9:Y9" si="1">SUBTOTAL(109,G10:G16)</f>
        <v>51000</v>
      </c>
      <c r="H9" s="13">
        <f t="shared" si="1"/>
        <v>28941.180413447481</v>
      </c>
      <c r="I9" s="13">
        <f t="shared" si="1"/>
        <v>5468.9804134474834</v>
      </c>
      <c r="J9" s="13">
        <f t="shared" si="1"/>
        <v>2633.95</v>
      </c>
      <c r="K9" s="13">
        <f t="shared" si="1"/>
        <v>51.407202110898076</v>
      </c>
      <c r="L9" s="13">
        <f t="shared" si="1"/>
        <v>107332.24744205471</v>
      </c>
      <c r="M9" s="13">
        <f t="shared" si="1"/>
        <v>74472.2</v>
      </c>
      <c r="N9" s="13">
        <f t="shared" si="1"/>
        <v>67702</v>
      </c>
      <c r="O9" s="13">
        <f t="shared" si="1"/>
        <v>6770.2</v>
      </c>
      <c r="P9" s="13">
        <f t="shared" si="1"/>
        <v>5500</v>
      </c>
      <c r="Q9" s="13">
        <f t="shared" si="1"/>
        <v>20000</v>
      </c>
      <c r="R9" s="13">
        <f t="shared" si="1"/>
        <v>14500</v>
      </c>
      <c r="S9" s="13">
        <f t="shared" si="1"/>
        <v>2422</v>
      </c>
      <c r="T9" s="13">
        <f t="shared" si="1"/>
        <v>29890</v>
      </c>
      <c r="U9" s="13">
        <f t="shared" si="1"/>
        <v>29890</v>
      </c>
      <c r="V9" s="13">
        <f t="shared" si="1"/>
        <v>6770.2</v>
      </c>
      <c r="W9" s="13">
        <f t="shared" si="1"/>
        <v>0</v>
      </c>
      <c r="X9" s="13">
        <f t="shared" si="1"/>
        <v>0</v>
      </c>
      <c r="Y9" s="13">
        <f t="shared" si="1"/>
        <v>16922</v>
      </c>
      <c r="Z9" s="51"/>
    </row>
    <row r="10" spans="1:26" s="14" customFormat="1" ht="29.25" customHeight="1">
      <c r="A10" s="40" t="s">
        <v>10</v>
      </c>
      <c r="B10" s="30" t="s">
        <v>11</v>
      </c>
      <c r="C10" s="30"/>
      <c r="D10" s="6" t="s">
        <v>100</v>
      </c>
      <c r="E10" s="47"/>
      <c r="F10" s="48"/>
      <c r="G10" s="13">
        <f>SUBTOTAL(109,G11:G15)</f>
        <v>51000</v>
      </c>
      <c r="H10" s="13">
        <f t="shared" ref="H10:I10" si="2">SUBTOTAL(109,H11:H15)</f>
        <v>28941.180413447481</v>
      </c>
      <c r="I10" s="13">
        <f t="shared" si="2"/>
        <v>5468.9804134474834</v>
      </c>
      <c r="J10" s="13">
        <f>SUM(J11:J15)</f>
        <v>1316.9750000000001</v>
      </c>
      <c r="K10" s="36">
        <f>N10/J10</f>
        <v>51.407202110898076</v>
      </c>
      <c r="L10" s="13">
        <f>SUBTOTAL(109,L11:L15)</f>
        <v>107332.24744205471</v>
      </c>
      <c r="M10" s="13">
        <f>SUBTOTAL(109,M11:M15)</f>
        <v>74472.2</v>
      </c>
      <c r="N10" s="13">
        <f>SUBTOTAL(109,N11:N15)</f>
        <v>67702</v>
      </c>
      <c r="O10" s="13">
        <f>SUBTOTAL(109,O11:O15)</f>
        <v>6770.2</v>
      </c>
      <c r="P10" s="13">
        <f t="shared" ref="P10:Y10" si="3">SUBTOTAL(109,P11:P15)</f>
        <v>5500</v>
      </c>
      <c r="Q10" s="13">
        <f t="shared" si="3"/>
        <v>20000</v>
      </c>
      <c r="R10" s="13">
        <f t="shared" si="3"/>
        <v>14500</v>
      </c>
      <c r="S10" s="13">
        <f t="shared" si="3"/>
        <v>2422</v>
      </c>
      <c r="T10" s="13">
        <f t="shared" si="3"/>
        <v>29890</v>
      </c>
      <c r="U10" s="13">
        <f t="shared" si="3"/>
        <v>29890</v>
      </c>
      <c r="V10" s="13">
        <f t="shared" si="3"/>
        <v>6770.2</v>
      </c>
      <c r="W10" s="13">
        <f t="shared" si="3"/>
        <v>0</v>
      </c>
      <c r="X10" s="13">
        <f t="shared" si="3"/>
        <v>0</v>
      </c>
      <c r="Y10" s="13">
        <f t="shared" si="3"/>
        <v>16922</v>
      </c>
      <c r="Z10" s="31"/>
    </row>
    <row r="11" spans="1:26" ht="24" customHeight="1">
      <c r="A11" s="4">
        <v>1</v>
      </c>
      <c r="B11" s="5" t="s">
        <v>12</v>
      </c>
      <c r="C11" s="5"/>
      <c r="D11" s="6" t="s">
        <v>95</v>
      </c>
      <c r="E11" s="32"/>
      <c r="F11" s="34"/>
      <c r="G11" s="42">
        <f>500*21</f>
        <v>10500</v>
      </c>
      <c r="H11" s="1">
        <f>M11-G11</f>
        <v>21209.247442054708</v>
      </c>
      <c r="I11" s="34"/>
      <c r="J11" s="1">
        <f>(206+801)*0.4+702*0.225</f>
        <v>560.75</v>
      </c>
      <c r="K11" s="21"/>
      <c r="L11" s="1">
        <f>N11+V11</f>
        <v>31709.247442054708</v>
      </c>
      <c r="M11" s="1">
        <f t="shared" ref="M11:M15" si="4">N11+O11</f>
        <v>31709.247442054708</v>
      </c>
      <c r="N11" s="1">
        <f>(118702-51000)/$J$10*J11</f>
        <v>28826.588583686098</v>
      </c>
      <c r="O11" s="1">
        <f>N11*0.1</f>
        <v>2882.6588583686098</v>
      </c>
      <c r="P11" s="1">
        <v>1500</v>
      </c>
      <c r="Q11" s="42">
        <f>P11+R11</f>
        <v>4500</v>
      </c>
      <c r="R11" s="42">
        <v>3000</v>
      </c>
      <c r="S11" s="1">
        <f>ROUND(2422*J11/J10,-1)</f>
        <v>1030</v>
      </c>
      <c r="T11" s="1">
        <f>(N11-P11-S11)/2</f>
        <v>13148.294291843049</v>
      </c>
      <c r="U11" s="1">
        <f t="shared" ref="U11:U15" si="5">T11</f>
        <v>13148.294291843049</v>
      </c>
      <c r="V11" s="1">
        <f>N11*0.1</f>
        <v>2882.6588583686098</v>
      </c>
      <c r="W11" s="1"/>
      <c r="X11" s="1"/>
      <c r="Y11" s="1">
        <f>R11+S11</f>
        <v>4030</v>
      </c>
      <c r="Z11" s="49" t="s">
        <v>13</v>
      </c>
    </row>
    <row r="12" spans="1:26" ht="26.25" customHeight="1">
      <c r="A12" s="4">
        <v>2</v>
      </c>
      <c r="B12" s="5" t="s">
        <v>15</v>
      </c>
      <c r="C12" s="5"/>
      <c r="D12" s="6" t="s">
        <v>96</v>
      </c>
      <c r="E12" s="32"/>
      <c r="F12" s="34"/>
      <c r="G12" s="42">
        <f>500*19</f>
        <v>9500</v>
      </c>
      <c r="H12" s="1">
        <f t="shared" ref="H12:H15" si="6">M12-G12</f>
        <v>4344.3450824806823</v>
      </c>
      <c r="I12" s="34"/>
      <c r="J12" s="1">
        <f>(204+376)*0.4+57*0.225</f>
        <v>244.82499999999999</v>
      </c>
      <c r="K12" s="21"/>
      <c r="L12" s="1">
        <v>24483</v>
      </c>
      <c r="M12" s="1">
        <f t="shared" si="4"/>
        <v>13844.345082480682</v>
      </c>
      <c r="N12" s="1">
        <f t="shared" ref="N12:N15" si="7">(118702-51000)/$J$10*J12</f>
        <v>12585.76825680062</v>
      </c>
      <c r="O12" s="1">
        <f t="shared" ref="O12:O15" si="8">N12*0.1</f>
        <v>1258.576825680062</v>
      </c>
      <c r="P12" s="1">
        <v>500</v>
      </c>
      <c r="Q12" s="42">
        <f t="shared" ref="Q12:Q15" si="9">P12+R12</f>
        <v>3500</v>
      </c>
      <c r="R12" s="42">
        <v>3000</v>
      </c>
      <c r="S12" s="1">
        <f>ROUND(2422*J12/J10,-1)</f>
        <v>450</v>
      </c>
      <c r="T12" s="1">
        <f>(N12-P12-S12)/2</f>
        <v>5817.8841284003101</v>
      </c>
      <c r="U12" s="1">
        <f t="shared" si="5"/>
        <v>5817.8841284003101</v>
      </c>
      <c r="V12" s="1">
        <f>N12*0.1</f>
        <v>1258.576825680062</v>
      </c>
      <c r="W12" s="1"/>
      <c r="X12" s="1"/>
      <c r="Y12" s="1">
        <f t="shared" ref="Y12:Y15" si="10">R12+S12</f>
        <v>3450</v>
      </c>
      <c r="Z12" s="49" t="s">
        <v>16</v>
      </c>
    </row>
    <row r="13" spans="1:26" ht="27" customHeight="1">
      <c r="A13" s="4">
        <v>3</v>
      </c>
      <c r="B13" s="5" t="s">
        <v>17</v>
      </c>
      <c r="C13" s="5"/>
      <c r="D13" s="6" t="s">
        <v>97</v>
      </c>
      <c r="E13" s="32"/>
      <c r="F13" s="34"/>
      <c r="G13" s="42">
        <f>500*22</f>
        <v>11000</v>
      </c>
      <c r="H13" s="1">
        <f t="shared" si="6"/>
        <v>1361.3758195865521</v>
      </c>
      <c r="I13" s="34"/>
      <c r="J13" s="1">
        <f>(149+276)*0.4+216*0.225</f>
        <v>218.6</v>
      </c>
      <c r="K13" s="21"/>
      <c r="L13" s="1">
        <f>149*40+276*40+216*22.5</f>
        <v>21860</v>
      </c>
      <c r="M13" s="1">
        <f t="shared" si="4"/>
        <v>12361.375819586552</v>
      </c>
      <c r="N13" s="1">
        <f t="shared" si="7"/>
        <v>11237.614381442319</v>
      </c>
      <c r="O13" s="1">
        <f t="shared" si="8"/>
        <v>1123.761438144232</v>
      </c>
      <c r="P13" s="1">
        <v>1000</v>
      </c>
      <c r="Q13" s="42">
        <f t="shared" si="9"/>
        <v>4000</v>
      </c>
      <c r="R13" s="42">
        <v>3000</v>
      </c>
      <c r="S13" s="1">
        <f>ROUND(2422*J13/J10,-1)</f>
        <v>400</v>
      </c>
      <c r="T13" s="1">
        <f>(N13-P13-S13)/2</f>
        <v>4918.8071907211597</v>
      </c>
      <c r="U13" s="1">
        <f t="shared" si="5"/>
        <v>4918.8071907211597</v>
      </c>
      <c r="V13" s="1">
        <f>N13*0.1</f>
        <v>1123.761438144232</v>
      </c>
      <c r="W13" s="1"/>
      <c r="X13" s="1"/>
      <c r="Y13" s="1">
        <f t="shared" si="10"/>
        <v>3400</v>
      </c>
      <c r="Z13" s="49" t="s">
        <v>18</v>
      </c>
    </row>
    <row r="14" spans="1:26" ht="24.75" customHeight="1">
      <c r="A14" s="4">
        <v>4</v>
      </c>
      <c r="B14" s="5" t="s">
        <v>19</v>
      </c>
      <c r="C14" s="5"/>
      <c r="D14" s="6" t="s">
        <v>98</v>
      </c>
      <c r="E14" s="33" t="s">
        <v>56</v>
      </c>
      <c r="F14" s="34"/>
      <c r="G14" s="42">
        <f>500*36</f>
        <v>18000</v>
      </c>
      <c r="H14" s="1"/>
      <c r="I14" s="1">
        <f>G14-M14</f>
        <v>5468.9804134474834</v>
      </c>
      <c r="J14" s="1">
        <f>(271+283)*0.4</f>
        <v>221.60000000000002</v>
      </c>
      <c r="K14" s="21"/>
      <c r="L14" s="1">
        <f>271*40+283*40</f>
        <v>22160</v>
      </c>
      <c r="M14" s="1">
        <f t="shared" si="4"/>
        <v>12531.019586552517</v>
      </c>
      <c r="N14" s="1">
        <f t="shared" si="7"/>
        <v>11391.835987775015</v>
      </c>
      <c r="O14" s="1">
        <f t="shared" si="8"/>
        <v>1139.1835987775016</v>
      </c>
      <c r="P14" s="1">
        <v>2000</v>
      </c>
      <c r="Q14" s="42">
        <f t="shared" si="9"/>
        <v>7000</v>
      </c>
      <c r="R14" s="42">
        <v>5000</v>
      </c>
      <c r="S14" s="1">
        <f>ROUND(2422*J14/J10,-1)</f>
        <v>410</v>
      </c>
      <c r="T14" s="1">
        <f>(N14-P14-S14)/2</f>
        <v>4490.9179938875077</v>
      </c>
      <c r="U14" s="1">
        <f t="shared" si="5"/>
        <v>4490.9179938875077</v>
      </c>
      <c r="V14" s="1">
        <f>N14*0.1</f>
        <v>1139.1835987775016</v>
      </c>
      <c r="W14" s="1"/>
      <c r="X14" s="1"/>
      <c r="Y14" s="1">
        <f t="shared" si="10"/>
        <v>5410</v>
      </c>
      <c r="Z14" s="49" t="s">
        <v>20</v>
      </c>
    </row>
    <row r="15" spans="1:26" ht="22.5" customHeight="1">
      <c r="A15" s="4">
        <v>5</v>
      </c>
      <c r="B15" s="5" t="s">
        <v>21</v>
      </c>
      <c r="C15" s="5"/>
      <c r="D15" s="6" t="s">
        <v>99</v>
      </c>
      <c r="E15" s="32"/>
      <c r="F15" s="34"/>
      <c r="G15" s="42">
        <f>500*4</f>
        <v>2000</v>
      </c>
      <c r="H15" s="1">
        <f t="shared" si="6"/>
        <v>2026.2120693255374</v>
      </c>
      <c r="I15" s="34"/>
      <c r="J15" s="1">
        <f>(69+109)*0.4</f>
        <v>71.2</v>
      </c>
      <c r="K15" s="21"/>
      <c r="L15" s="1">
        <f>69*40+109*40+0*22.5</f>
        <v>7120</v>
      </c>
      <c r="M15" s="1">
        <f t="shared" si="4"/>
        <v>4026.2120693255374</v>
      </c>
      <c r="N15" s="1">
        <f t="shared" si="7"/>
        <v>3660.1927902959433</v>
      </c>
      <c r="O15" s="1">
        <f t="shared" si="8"/>
        <v>366.01927902959437</v>
      </c>
      <c r="P15" s="1">
        <v>500</v>
      </c>
      <c r="Q15" s="42">
        <f t="shared" si="9"/>
        <v>1000</v>
      </c>
      <c r="R15" s="42">
        <v>500</v>
      </c>
      <c r="S15" s="1">
        <f>ROUND(2422*J15/J10,-1)+2</f>
        <v>132</v>
      </c>
      <c r="T15" s="1">
        <f>(N15-P15-S15)/2</f>
        <v>1514.0963951479716</v>
      </c>
      <c r="U15" s="1">
        <f t="shared" si="5"/>
        <v>1514.0963951479716</v>
      </c>
      <c r="V15" s="1">
        <f>N15*0.1</f>
        <v>366.01927902959437</v>
      </c>
      <c r="W15" s="1"/>
      <c r="X15" s="1"/>
      <c r="Y15" s="1">
        <f t="shared" si="10"/>
        <v>632</v>
      </c>
      <c r="Z15" s="49" t="s">
        <v>22</v>
      </c>
    </row>
    <row r="16" spans="1:26">
      <c r="A16" s="52" t="s">
        <v>146</v>
      </c>
      <c r="B16" s="30" t="s">
        <v>24</v>
      </c>
      <c r="C16" s="30"/>
      <c r="D16" s="50" t="s">
        <v>101</v>
      </c>
      <c r="E16" s="50"/>
      <c r="F16" s="51"/>
      <c r="G16" s="13" t="e">
        <f>SUBTOTAL(109,#REF!)</f>
        <v>#REF!</v>
      </c>
      <c r="H16" s="13" t="e">
        <f>SUBTOTAL(109,#REF!)</f>
        <v>#REF!</v>
      </c>
      <c r="I16" s="13" t="e">
        <f>SUBTOTAL(109,#REF!)</f>
        <v>#REF!</v>
      </c>
      <c r="J16" s="13" t="e">
        <f>SUBTOTAL(109,#REF!)</f>
        <v>#REF!</v>
      </c>
      <c r="K16" s="13" t="e">
        <f>SUBTOTAL(109,#REF!)</f>
        <v>#REF!</v>
      </c>
      <c r="L16" s="13" t="e">
        <f>SUBTOTAL(109,#REF!)</f>
        <v>#REF!</v>
      </c>
      <c r="M16" s="13" t="e">
        <f>SUBTOTAL(109,#REF!)</f>
        <v>#REF!</v>
      </c>
      <c r="N16" s="13" t="e">
        <f>SUBTOTAL(109,#REF!)</f>
        <v>#REF!</v>
      </c>
      <c r="O16" s="13" t="e">
        <f>SUBTOTAL(109,#REF!)</f>
        <v>#REF!</v>
      </c>
      <c r="P16" s="13" t="e">
        <f>SUBTOTAL(109,#REF!)</f>
        <v>#REF!</v>
      </c>
      <c r="Q16" s="13"/>
      <c r="R16" s="13"/>
      <c r="S16" s="13">
        <f t="shared" ref="S16:X16" si="11">SUBTOTAL(109,S17:S21)</f>
        <v>21800</v>
      </c>
      <c r="T16" s="13">
        <f t="shared" si="11"/>
        <v>0</v>
      </c>
      <c r="U16" s="13">
        <f t="shared" si="11"/>
        <v>0</v>
      </c>
      <c r="V16" s="13">
        <f t="shared" si="11"/>
        <v>0</v>
      </c>
      <c r="W16" s="13">
        <f t="shared" si="11"/>
        <v>0</v>
      </c>
      <c r="X16" s="13">
        <f t="shared" si="11"/>
        <v>0</v>
      </c>
      <c r="Y16" s="13">
        <f>SUBTOTAL(109,Y17:Y21)</f>
        <v>21800</v>
      </c>
      <c r="Z16" s="49"/>
    </row>
    <row r="17" spans="1:29" s="3" customFormat="1" ht="14.4">
      <c r="A17" s="53">
        <v>1</v>
      </c>
      <c r="B17" s="5" t="s">
        <v>12</v>
      </c>
      <c r="C17" s="5"/>
      <c r="D17" s="4"/>
      <c r="E17" s="6"/>
      <c r="F17" s="49"/>
      <c r="G17" s="49"/>
      <c r="H17" s="49"/>
      <c r="I17" s="49"/>
      <c r="J17" s="1"/>
      <c r="K17" s="1"/>
      <c r="L17" s="1"/>
      <c r="M17" s="1">
        <f>N17</f>
        <v>4488.2352941176468</v>
      </c>
      <c r="N17" s="1">
        <f>(51000-29200)/102*21</f>
        <v>4488.2352941176468</v>
      </c>
      <c r="O17" s="1"/>
      <c r="P17" s="1"/>
      <c r="Q17" s="1"/>
      <c r="R17" s="1"/>
      <c r="S17" s="1">
        <f>ROUND(N17,-1)</f>
        <v>4490</v>
      </c>
      <c r="T17" s="2"/>
      <c r="U17" s="2"/>
      <c r="V17" s="2"/>
      <c r="W17" s="2"/>
      <c r="X17" s="2"/>
      <c r="Y17" s="1">
        <f>S17</f>
        <v>4490</v>
      </c>
      <c r="Z17" s="55" t="s">
        <v>40</v>
      </c>
    </row>
    <row r="18" spans="1:29" s="3" customFormat="1" ht="14.4">
      <c r="A18" s="53">
        <v>2</v>
      </c>
      <c r="B18" s="5" t="s">
        <v>15</v>
      </c>
      <c r="C18" s="5"/>
      <c r="D18" s="4"/>
      <c r="E18" s="6"/>
      <c r="F18" s="49"/>
      <c r="G18" s="49"/>
      <c r="H18" s="49"/>
      <c r="I18" s="49"/>
      <c r="J18" s="1"/>
      <c r="K18" s="1"/>
      <c r="L18" s="1"/>
      <c r="M18" s="1">
        <f t="shared" ref="M18:M21" si="12">N18</f>
        <v>4060.7843137254899</v>
      </c>
      <c r="N18" s="1">
        <f>(51000-29200)/102*19</f>
        <v>4060.7843137254899</v>
      </c>
      <c r="O18" s="1"/>
      <c r="P18" s="1"/>
      <c r="Q18" s="1"/>
      <c r="R18" s="1"/>
      <c r="S18" s="1">
        <f>ROUND(N18,-1)</f>
        <v>4060</v>
      </c>
      <c r="T18" s="2"/>
      <c r="U18" s="2"/>
      <c r="V18" s="2"/>
      <c r="W18" s="2"/>
      <c r="X18" s="2"/>
      <c r="Y18" s="1">
        <f t="shared" ref="Y18:Y21" si="13">S18</f>
        <v>4060</v>
      </c>
      <c r="Z18" s="55"/>
    </row>
    <row r="19" spans="1:29" s="3" customFormat="1" ht="14.4">
      <c r="A19" s="53">
        <v>3</v>
      </c>
      <c r="B19" s="5" t="s">
        <v>17</v>
      </c>
      <c r="C19" s="5"/>
      <c r="D19" s="4"/>
      <c r="E19" s="6"/>
      <c r="F19" s="49"/>
      <c r="G19" s="49"/>
      <c r="H19" s="49"/>
      <c r="I19" s="49"/>
      <c r="J19" s="1"/>
      <c r="K19" s="1"/>
      <c r="L19" s="1"/>
      <c r="M19" s="1">
        <f t="shared" si="12"/>
        <v>4701.9607843137255</v>
      </c>
      <c r="N19" s="1">
        <f>(51000-29200)/102*22</f>
        <v>4701.9607843137255</v>
      </c>
      <c r="O19" s="1"/>
      <c r="P19" s="1"/>
      <c r="Q19" s="1"/>
      <c r="R19" s="1"/>
      <c r="S19" s="1">
        <f>ROUND(N19,-1)</f>
        <v>4700</v>
      </c>
      <c r="T19" s="2"/>
      <c r="U19" s="2"/>
      <c r="V19" s="2"/>
      <c r="W19" s="2"/>
      <c r="X19" s="2"/>
      <c r="Y19" s="1">
        <f t="shared" si="13"/>
        <v>4700</v>
      </c>
      <c r="Z19" s="55"/>
    </row>
    <row r="20" spans="1:29" s="3" customFormat="1" ht="14.4">
      <c r="A20" s="53">
        <v>4</v>
      </c>
      <c r="B20" s="5" t="s">
        <v>19</v>
      </c>
      <c r="C20" s="5"/>
      <c r="D20" s="4"/>
      <c r="E20" s="6"/>
      <c r="F20" s="49"/>
      <c r="G20" s="49"/>
      <c r="H20" s="49"/>
      <c r="I20" s="49"/>
      <c r="J20" s="1"/>
      <c r="K20" s="1"/>
      <c r="L20" s="1"/>
      <c r="M20" s="1">
        <f t="shared" si="12"/>
        <v>7694.1176470588234</v>
      </c>
      <c r="N20" s="1">
        <f>(51000-29200)/102*36</f>
        <v>7694.1176470588234</v>
      </c>
      <c r="O20" s="1"/>
      <c r="P20" s="1"/>
      <c r="Q20" s="1"/>
      <c r="R20" s="1"/>
      <c r="S20" s="1">
        <f>ROUND(N20,-1)</f>
        <v>7690</v>
      </c>
      <c r="T20" s="2"/>
      <c r="U20" s="2"/>
      <c r="V20" s="2"/>
      <c r="W20" s="2"/>
      <c r="X20" s="2"/>
      <c r="Y20" s="1">
        <f t="shared" si="13"/>
        <v>7690</v>
      </c>
      <c r="Z20" s="55"/>
    </row>
    <row r="21" spans="1:29" s="3" customFormat="1" ht="14.4">
      <c r="A21" s="53">
        <v>5</v>
      </c>
      <c r="B21" s="5" t="s">
        <v>21</v>
      </c>
      <c r="C21" s="5"/>
      <c r="D21" s="4"/>
      <c r="E21" s="6"/>
      <c r="F21" s="49"/>
      <c r="G21" s="49"/>
      <c r="H21" s="49"/>
      <c r="I21" s="49"/>
      <c r="J21" s="1"/>
      <c r="K21" s="1"/>
      <c r="L21" s="1"/>
      <c r="M21" s="1">
        <f t="shared" si="12"/>
        <v>854.9019607843137</v>
      </c>
      <c r="N21" s="1">
        <f>(51000-29200)/102*4</f>
        <v>854.9019607843137</v>
      </c>
      <c r="O21" s="1"/>
      <c r="P21" s="1"/>
      <c r="Q21" s="1"/>
      <c r="R21" s="1"/>
      <c r="S21" s="1">
        <f>ROUND(N21,-1)+10</f>
        <v>860</v>
      </c>
      <c r="T21" s="2"/>
      <c r="U21" s="2"/>
      <c r="V21" s="2"/>
      <c r="W21" s="2"/>
      <c r="X21" s="2"/>
      <c r="Y21" s="1">
        <f t="shared" si="13"/>
        <v>860</v>
      </c>
      <c r="Z21" s="55"/>
    </row>
    <row r="22" spans="1:29" s="14" customFormat="1" ht="27.6">
      <c r="A22" s="52" t="s">
        <v>37</v>
      </c>
      <c r="B22" s="11" t="s">
        <v>65</v>
      </c>
      <c r="C22" s="11"/>
      <c r="D22" s="50"/>
      <c r="E22" s="12"/>
      <c r="F22" s="49"/>
      <c r="G22" s="13">
        <v>42885</v>
      </c>
      <c r="H22" s="13" t="e">
        <f>M22-G22</f>
        <v>#REF!</v>
      </c>
      <c r="I22" s="49"/>
      <c r="J22" s="36" t="e">
        <f>#REF!+J23+J28+#REF!</f>
        <v>#REF!</v>
      </c>
      <c r="K22" s="15" t="e">
        <f>N22/J22</f>
        <v>#REF!</v>
      </c>
      <c r="L22" s="13" t="e">
        <f>SUBTOTAL(109,L23:L28)</f>
        <v>#REF!</v>
      </c>
      <c r="M22" s="13" t="e">
        <f>SUBTOTAL(109,M23:M28)</f>
        <v>#REF!</v>
      </c>
      <c r="N22" s="13" t="e">
        <f>SUBTOTAL(109,N23:N28)</f>
        <v>#REF!</v>
      </c>
      <c r="O22" s="13">
        <f>SUBTOTAL(109,O23:O28)</f>
        <v>0</v>
      </c>
      <c r="P22" s="13">
        <f>SUBTOTAL(109,P23:P28)</f>
        <v>5265</v>
      </c>
      <c r="Q22" s="13"/>
      <c r="R22" s="13"/>
      <c r="S22" s="13">
        <f>SUBTOTAL(109,S23:S28)</f>
        <v>10374</v>
      </c>
      <c r="T22" s="13" t="e">
        <f t="shared" ref="T22:Y22" si="14">SUBTOTAL(109,T23:T28)</f>
        <v>#REF!</v>
      </c>
      <c r="U22" s="13" t="e">
        <f t="shared" si="14"/>
        <v>#REF!</v>
      </c>
      <c r="V22" s="13">
        <f t="shared" si="14"/>
        <v>0</v>
      </c>
      <c r="W22" s="13">
        <f t="shared" si="14"/>
        <v>0</v>
      </c>
      <c r="X22" s="13">
        <f t="shared" si="14"/>
        <v>0</v>
      </c>
      <c r="Y22" s="13">
        <f t="shared" si="14"/>
        <v>10374</v>
      </c>
      <c r="Z22" s="51"/>
    </row>
    <row r="23" spans="1:29" ht="27.6">
      <c r="A23" s="4" t="s">
        <v>10</v>
      </c>
      <c r="B23" s="18" t="s">
        <v>68</v>
      </c>
      <c r="C23" s="18"/>
      <c r="D23" s="6" t="s">
        <v>88</v>
      </c>
      <c r="E23" s="19"/>
      <c r="F23" s="49"/>
      <c r="G23" s="49"/>
      <c r="H23" s="49"/>
      <c r="I23" s="49"/>
      <c r="J23" s="1">
        <f t="shared" ref="J23:P23" si="15">SUBTOTAL(109,J24:J27)</f>
        <v>156</v>
      </c>
      <c r="K23" s="1">
        <f t="shared" si="15"/>
        <v>0</v>
      </c>
      <c r="L23" s="1" t="e">
        <f t="shared" si="15"/>
        <v>#REF!</v>
      </c>
      <c r="M23" s="1" t="e">
        <f t="shared" si="15"/>
        <v>#REF!</v>
      </c>
      <c r="N23" s="1" t="e">
        <f t="shared" si="15"/>
        <v>#REF!</v>
      </c>
      <c r="O23" s="1">
        <f t="shared" si="15"/>
        <v>0</v>
      </c>
      <c r="P23" s="1">
        <f t="shared" si="15"/>
        <v>5265</v>
      </c>
      <c r="Q23" s="1">
        <f t="shared" ref="Q23:Q27" si="16">P23+R23</f>
        <v>5265</v>
      </c>
      <c r="R23" s="1">
        <f>SUBTOTAL(109,R24:R27)</f>
        <v>0</v>
      </c>
      <c r="S23" s="1">
        <f>SUBTOTAL(109,S24:S27)</f>
        <v>5864</v>
      </c>
      <c r="T23" s="1" t="e">
        <f t="shared" ref="T23:Y23" si="17">SUBTOTAL(109,T24:T27)</f>
        <v>#REF!</v>
      </c>
      <c r="U23" s="1" t="e">
        <f t="shared" si="17"/>
        <v>#REF!</v>
      </c>
      <c r="V23" s="1">
        <f t="shared" si="17"/>
        <v>0</v>
      </c>
      <c r="W23" s="1">
        <f t="shared" si="17"/>
        <v>0</v>
      </c>
      <c r="X23" s="1">
        <f t="shared" si="17"/>
        <v>0</v>
      </c>
      <c r="Y23" s="1">
        <f t="shared" si="17"/>
        <v>5864</v>
      </c>
      <c r="Z23" s="49"/>
      <c r="AC23" s="29"/>
    </row>
    <row r="24" spans="1:29">
      <c r="A24" s="53">
        <v>1</v>
      </c>
      <c r="B24" s="18" t="s">
        <v>60</v>
      </c>
      <c r="C24" s="18"/>
      <c r="D24" s="6">
        <v>21</v>
      </c>
      <c r="E24" s="19"/>
      <c r="F24" s="49"/>
      <c r="G24" s="49"/>
      <c r="H24" s="49"/>
      <c r="I24" s="49"/>
      <c r="J24" s="17">
        <f>D24*2</f>
        <v>42</v>
      </c>
      <c r="K24" s="1"/>
      <c r="L24" s="1" t="e">
        <f>N24+V24</f>
        <v>#REF!</v>
      </c>
      <c r="M24" s="1" t="e">
        <f t="shared" ref="M24:M28" si="18">N24+O24</f>
        <v>#REF!</v>
      </c>
      <c r="N24" s="1" t="e">
        <f>42885/$J$22*J24</f>
        <v>#REF!</v>
      </c>
      <c r="O24" s="1"/>
      <c r="P24" s="1">
        <v>1128</v>
      </c>
      <c r="Q24" s="1">
        <f t="shared" si="16"/>
        <v>1128</v>
      </c>
      <c r="R24" s="1"/>
      <c r="S24" s="1">
        <f>ROUND(10374/(156+120)*J24,-1)</f>
        <v>1580</v>
      </c>
      <c r="T24" s="9" t="e">
        <f>(N24-P24-S24)/2</f>
        <v>#REF!</v>
      </c>
      <c r="U24" s="9" t="e">
        <f t="shared" ref="U24:U28" si="19">T24</f>
        <v>#REF!</v>
      </c>
      <c r="V24" s="9"/>
      <c r="W24" s="9"/>
      <c r="X24" s="9"/>
      <c r="Y24" s="1">
        <f>S24</f>
        <v>1580</v>
      </c>
      <c r="Z24" s="55" t="s">
        <v>40</v>
      </c>
    </row>
    <row r="25" spans="1:29">
      <c r="A25" s="53">
        <v>2</v>
      </c>
      <c r="B25" s="18" t="s">
        <v>15</v>
      </c>
      <c r="C25" s="18"/>
      <c r="D25" s="6">
        <v>19</v>
      </c>
      <c r="E25" s="19"/>
      <c r="F25" s="49"/>
      <c r="G25" s="49"/>
      <c r="H25" s="49"/>
      <c r="I25" s="49"/>
      <c r="J25" s="17">
        <f>D25*2</f>
        <v>38</v>
      </c>
      <c r="K25" s="1"/>
      <c r="L25" s="1" t="e">
        <f>N25+V25</f>
        <v>#REF!</v>
      </c>
      <c r="M25" s="1" t="e">
        <f t="shared" si="18"/>
        <v>#REF!</v>
      </c>
      <c r="N25" s="1" t="e">
        <f>42885/$J$22*J25</f>
        <v>#REF!</v>
      </c>
      <c r="O25" s="1"/>
      <c r="P25" s="1">
        <v>1021</v>
      </c>
      <c r="Q25" s="1">
        <f t="shared" si="16"/>
        <v>1021</v>
      </c>
      <c r="R25" s="1"/>
      <c r="S25" s="1">
        <f>ROUND(10374/(156+120)*J25,-1)</f>
        <v>1430</v>
      </c>
      <c r="T25" s="9" t="e">
        <f>(N25-P25-S25)/2</f>
        <v>#REF!</v>
      </c>
      <c r="U25" s="9" t="e">
        <f t="shared" si="19"/>
        <v>#REF!</v>
      </c>
      <c r="V25" s="9"/>
      <c r="W25" s="9"/>
      <c r="X25" s="9"/>
      <c r="Y25" s="1">
        <f t="shared" ref="Y25:Y28" si="20">S25</f>
        <v>1430</v>
      </c>
      <c r="Z25" s="55"/>
    </row>
    <row r="26" spans="1:29">
      <c r="A26" s="53">
        <v>3</v>
      </c>
      <c r="B26" s="18" t="s">
        <v>69</v>
      </c>
      <c r="C26" s="18"/>
      <c r="D26" s="6">
        <v>21</v>
      </c>
      <c r="E26" s="19"/>
      <c r="F26" s="49"/>
      <c r="G26" s="49"/>
      <c r="H26" s="49"/>
      <c r="I26" s="49"/>
      <c r="J26" s="17">
        <f>D26*2</f>
        <v>42</v>
      </c>
      <c r="K26" s="1"/>
      <c r="L26" s="1" t="e">
        <f>N26+V26</f>
        <v>#REF!</v>
      </c>
      <c r="M26" s="1" t="e">
        <f t="shared" si="18"/>
        <v>#REF!</v>
      </c>
      <c r="N26" s="1" t="e">
        <f>42885/$J$22*J26</f>
        <v>#REF!</v>
      </c>
      <c r="O26" s="1"/>
      <c r="P26" s="1">
        <v>1182</v>
      </c>
      <c r="Q26" s="1">
        <f t="shared" si="16"/>
        <v>1182</v>
      </c>
      <c r="R26" s="1"/>
      <c r="S26" s="1">
        <f>ROUND(10374/(156+120)*J26,-1)</f>
        <v>1580</v>
      </c>
      <c r="T26" s="9" t="e">
        <f>(N26-P26-S26)/2</f>
        <v>#REF!</v>
      </c>
      <c r="U26" s="9" t="e">
        <f t="shared" si="19"/>
        <v>#REF!</v>
      </c>
      <c r="V26" s="9"/>
      <c r="W26" s="9"/>
      <c r="X26" s="9"/>
      <c r="Y26" s="1">
        <f t="shared" si="20"/>
        <v>1580</v>
      </c>
      <c r="Z26" s="55"/>
    </row>
    <row r="27" spans="1:29">
      <c r="A27" s="53">
        <v>4</v>
      </c>
      <c r="B27" s="18" t="s">
        <v>19</v>
      </c>
      <c r="C27" s="18"/>
      <c r="D27" s="6">
        <v>17</v>
      </c>
      <c r="E27" s="19"/>
      <c r="F27" s="49"/>
      <c r="G27" s="49"/>
      <c r="H27" s="49"/>
      <c r="I27" s="49"/>
      <c r="J27" s="17">
        <f>D27*2</f>
        <v>34</v>
      </c>
      <c r="K27" s="1"/>
      <c r="L27" s="1" t="e">
        <f>N27+V27</f>
        <v>#REF!</v>
      </c>
      <c r="M27" s="1" t="e">
        <f t="shared" si="18"/>
        <v>#REF!</v>
      </c>
      <c r="N27" s="1" t="e">
        <f>42885/$J$22*J27</f>
        <v>#REF!</v>
      </c>
      <c r="O27" s="1"/>
      <c r="P27" s="1">
        <v>1934</v>
      </c>
      <c r="Q27" s="1">
        <f t="shared" si="16"/>
        <v>1934</v>
      </c>
      <c r="R27" s="1"/>
      <c r="S27" s="1">
        <f>ROUND(10374/(156+120)*J27,-1)-6</f>
        <v>1274</v>
      </c>
      <c r="T27" s="9" t="e">
        <f>(N27-P27-S27)/2</f>
        <v>#REF!</v>
      </c>
      <c r="U27" s="9" t="e">
        <f t="shared" si="19"/>
        <v>#REF!</v>
      </c>
      <c r="V27" s="9"/>
      <c r="W27" s="9"/>
      <c r="X27" s="9"/>
      <c r="Y27" s="1">
        <f t="shared" si="20"/>
        <v>1274</v>
      </c>
      <c r="Z27" s="55"/>
    </row>
    <row r="28" spans="1:29" ht="41.4">
      <c r="A28" s="4" t="s">
        <v>146</v>
      </c>
      <c r="B28" s="18" t="s">
        <v>70</v>
      </c>
      <c r="C28" s="18"/>
      <c r="D28" s="6" t="s">
        <v>71</v>
      </c>
      <c r="E28" s="19"/>
      <c r="F28" s="49"/>
      <c r="G28" s="49"/>
      <c r="H28" s="49"/>
      <c r="I28" s="49"/>
      <c r="J28" s="17">
        <f>2*60</f>
        <v>120</v>
      </c>
      <c r="K28" s="1"/>
      <c r="L28" s="1" t="e">
        <f>N28+V28</f>
        <v>#REF!</v>
      </c>
      <c r="M28" s="1" t="e">
        <f t="shared" si="18"/>
        <v>#REF!</v>
      </c>
      <c r="N28" s="1" t="e">
        <f>42885/$J$22*J28</f>
        <v>#REF!</v>
      </c>
      <c r="O28" s="1"/>
      <c r="P28" s="1"/>
      <c r="Q28" s="1"/>
      <c r="R28" s="1"/>
      <c r="S28" s="1">
        <f>ROUND(10374/(156+120)*J28,-1)</f>
        <v>4510</v>
      </c>
      <c r="T28" s="9" t="e">
        <f>(N28-P28-S28)/2</f>
        <v>#REF!</v>
      </c>
      <c r="U28" s="9" t="e">
        <f t="shared" si="19"/>
        <v>#REF!</v>
      </c>
      <c r="V28" s="9"/>
      <c r="W28" s="9"/>
      <c r="X28" s="9"/>
      <c r="Y28" s="1">
        <f t="shared" si="20"/>
        <v>4510</v>
      </c>
      <c r="Z28" s="49" t="s">
        <v>145</v>
      </c>
    </row>
    <row r="31" spans="1:29" s="24" customFormat="1">
      <c r="A31" s="20"/>
      <c r="B31" s="20"/>
      <c r="C31" s="20"/>
      <c r="D31" s="25"/>
      <c r="F31" s="25"/>
      <c r="G31" s="25"/>
      <c r="H31" s="25"/>
      <c r="I31" s="25"/>
      <c r="J31" s="20"/>
      <c r="K31" s="20"/>
      <c r="L31" s="20"/>
      <c r="M31" s="20"/>
      <c r="N31" s="20"/>
      <c r="O31" s="20"/>
      <c r="P31" s="20"/>
      <c r="Q31" s="20"/>
      <c r="R31" s="20"/>
      <c r="S31" s="20"/>
      <c r="T31" s="20"/>
      <c r="U31" s="20"/>
      <c r="V31" s="20"/>
      <c r="W31" s="20"/>
      <c r="X31" s="20"/>
      <c r="Y31" s="20"/>
      <c r="Z31" s="25"/>
    </row>
    <row r="32" spans="1:29" s="24" customFormat="1">
      <c r="A32" s="20"/>
      <c r="B32" s="20"/>
      <c r="C32" s="20"/>
      <c r="D32" s="25"/>
      <c r="F32" s="25"/>
      <c r="G32" s="25"/>
      <c r="H32" s="25"/>
      <c r="I32" s="25"/>
      <c r="J32" s="20"/>
      <c r="K32" s="20"/>
      <c r="L32" s="20"/>
      <c r="M32" s="20"/>
      <c r="N32" s="20"/>
      <c r="O32" s="20"/>
      <c r="P32" s="20"/>
      <c r="Q32" s="20"/>
      <c r="R32" s="20"/>
      <c r="S32" s="20"/>
      <c r="T32" s="20"/>
      <c r="U32" s="20"/>
      <c r="V32" s="20"/>
      <c r="W32" s="20"/>
      <c r="X32" s="20"/>
      <c r="Y32" s="20"/>
      <c r="Z32" s="25"/>
    </row>
    <row r="33" spans="1:26" s="24" customFormat="1">
      <c r="A33" s="20"/>
      <c r="B33" s="20"/>
      <c r="C33" s="20"/>
      <c r="D33" s="25"/>
      <c r="F33" s="25"/>
      <c r="G33" s="25"/>
      <c r="H33" s="25"/>
      <c r="I33" s="25"/>
      <c r="J33" s="20"/>
      <c r="K33" s="20"/>
      <c r="L33" s="20"/>
      <c r="M33" s="20"/>
      <c r="N33" s="20"/>
      <c r="O33" s="20"/>
      <c r="P33" s="20"/>
      <c r="Q33" s="20"/>
      <c r="R33" s="20"/>
      <c r="S33" s="20"/>
      <c r="T33" s="20"/>
      <c r="U33" s="20"/>
      <c r="V33" s="20"/>
      <c r="W33" s="20"/>
      <c r="X33" s="20"/>
      <c r="Y33" s="20"/>
      <c r="Z33" s="25"/>
    </row>
  </sheetData>
  <mergeCells count="24">
    <mergeCell ref="L6:L7"/>
    <mergeCell ref="A2:Z2"/>
    <mergeCell ref="A3:Z3"/>
    <mergeCell ref="A4:Z4"/>
    <mergeCell ref="D5:J5"/>
    <mergeCell ref="S5:Z5"/>
    <mergeCell ref="A6:A7"/>
    <mergeCell ref="B6:B7"/>
    <mergeCell ref="C6:C7"/>
    <mergeCell ref="D6:D7"/>
    <mergeCell ref="E6:E7"/>
    <mergeCell ref="F6:F7"/>
    <mergeCell ref="G6:G7"/>
    <mergeCell ref="H6:I6"/>
    <mergeCell ref="J6:J7"/>
    <mergeCell ref="K6:K7"/>
    <mergeCell ref="Z24:Z27"/>
    <mergeCell ref="M6:O6"/>
    <mergeCell ref="P6:P7"/>
    <mergeCell ref="R6:R7"/>
    <mergeCell ref="S6:X6"/>
    <mergeCell ref="Y6:Y7"/>
    <mergeCell ref="Z6:Z7"/>
    <mergeCell ref="Z17:Z21"/>
  </mergeCells>
  <pageMargins left="0.7" right="0.45" top="0.5" bottom="0.5" header="0.3" footer="0.3"/>
  <pageSetup paperSize="9" orientation="landscape" verticalDpi="1200" r:id="rId1"/>
  <headerFooter>
    <oddHeader>&amp;C&amp;P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NQ 2021 - 2025</vt:lpstr>
      <vt:lpstr>NQ Năm 2023</vt:lpstr>
      <vt:lpstr>TTr 2021 - 2025</vt:lpstr>
      <vt:lpstr>TTr Năm 2023</vt:lpstr>
      <vt:lpstr>'NQ 2021 - 2025'!Print_Titles</vt:lpstr>
      <vt:lpstr>'NQ Năm 2023'!Print_Titles</vt:lpstr>
      <vt:lpstr>'TTr 2021 - 2025'!Print_Titles</vt:lpstr>
      <vt:lpstr>'TTr Năm 2023'!Print_Titles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cp:lastModifiedBy>
  <cp:lastPrinted>2023-09-29T07:24:06Z</cp:lastPrinted>
  <dcterms:created xsi:type="dcterms:W3CDTF">2023-07-06T01:33:48Z</dcterms:created>
  <dcterms:modified xsi:type="dcterms:W3CDTF">2023-09-29T08:48:07Z</dcterms:modified>
</cp:coreProperties>
</file>