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Users\Windows\Desktop\"/>
    </mc:Choice>
  </mc:AlternateContent>
  <xr:revisionPtr revIDLastSave="0" documentId="8_{861FD69A-F4BD-4497-A9DC-E3EF3AB9925F}" xr6:coauthVersionLast="47" xr6:coauthVersionMax="47" xr10:uidLastSave="{00000000-0000-0000-0000-000000000000}"/>
  <bookViews>
    <workbookView xWindow="-108" yWindow="-108" windowWidth="23256" windowHeight="12456" tabRatio="802" xr2:uid="{00000000-000D-0000-FFFF-FFFF00000000}"/>
  </bookViews>
  <sheets>
    <sheet name="Tờ trình" sheetId="11" r:id="rId1"/>
    <sheet name="NQ" sheetId="12" r:id="rId2"/>
  </sheets>
  <externalReferences>
    <externalReference r:id="rId3"/>
  </externalReferences>
  <definedNames>
    <definedName name="_xlnm.Print_Titles" localSheetId="1">NQ!$5:$6</definedName>
    <definedName name="_xlnm.Print_Titles" localSheetId="0">'Tờ trình'!$5:$6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8" i="12" l="1"/>
  <c r="F25" i="12" s="1"/>
  <c r="F23" i="11"/>
  <c r="F28" i="11"/>
  <c r="F26" i="11" s="1"/>
  <c r="F24" i="11" l="1"/>
  <c r="F25" i="11"/>
  <c r="F27" i="11"/>
  <c r="F26" i="12"/>
  <c r="F23" i="12"/>
  <c r="F27" i="12"/>
  <c r="F24" i="12"/>
  <c r="G67" i="12" l="1"/>
  <c r="F67" i="12"/>
  <c r="I66" i="12"/>
  <c r="G66" i="12" s="1"/>
  <c r="F66" i="12"/>
  <c r="I65" i="12"/>
  <c r="G65" i="12" s="1"/>
  <c r="F65" i="12"/>
  <c r="I64" i="12"/>
  <c r="G64" i="12" s="1"/>
  <c r="F64" i="12"/>
  <c r="I63" i="12"/>
  <c r="G63" i="12" s="1"/>
  <c r="F63" i="12"/>
  <c r="H62" i="12"/>
  <c r="H61" i="12" s="1"/>
  <c r="F61" i="12"/>
  <c r="I59" i="12"/>
  <c r="G59" i="12" s="1"/>
  <c r="H59" i="12"/>
  <c r="H57" i="12" s="1"/>
  <c r="I58" i="12"/>
  <c r="G58" i="12" s="1"/>
  <c r="F57" i="12"/>
  <c r="F53" i="12" s="1"/>
  <c r="I56" i="12"/>
  <c r="G56" i="12" s="1"/>
  <c r="F56" i="12"/>
  <c r="I55" i="12"/>
  <c r="G55" i="12" s="1"/>
  <c r="F55" i="12"/>
  <c r="I54" i="12"/>
  <c r="G54" i="12" s="1"/>
  <c r="F54" i="12"/>
  <c r="H53" i="12"/>
  <c r="P52" i="12"/>
  <c r="I51" i="12"/>
  <c r="F51" i="12"/>
  <c r="K50" i="12"/>
  <c r="L50" i="12" s="1"/>
  <c r="F49" i="12"/>
  <c r="O48" i="12"/>
  <c r="O47" i="12"/>
  <c r="I47" i="12"/>
  <c r="G47" i="12" s="1"/>
  <c r="O46" i="12"/>
  <c r="I46" i="12"/>
  <c r="G46" i="12" s="1"/>
  <c r="O45" i="12"/>
  <c r="I45" i="12"/>
  <c r="G45" i="12" s="1"/>
  <c r="O44" i="12"/>
  <c r="I44" i="12"/>
  <c r="G44" i="12" s="1"/>
  <c r="O43" i="12"/>
  <c r="I43" i="12"/>
  <c r="G43" i="12" s="1"/>
  <c r="K42" i="12"/>
  <c r="L42" i="12" s="1"/>
  <c r="L41" i="12" s="1"/>
  <c r="G42" i="12"/>
  <c r="G41" i="12" s="1"/>
  <c r="I41" i="12"/>
  <c r="H41" i="12"/>
  <c r="F41" i="12"/>
  <c r="F40" i="12"/>
  <c r="I39" i="12"/>
  <c r="G39" i="12" s="1"/>
  <c r="I38" i="12"/>
  <c r="G38" i="12" s="1"/>
  <c r="H37" i="12"/>
  <c r="I36" i="12"/>
  <c r="G36" i="12" s="1"/>
  <c r="F36" i="12"/>
  <c r="I35" i="12"/>
  <c r="G35" i="12" s="1"/>
  <c r="F35" i="12"/>
  <c r="I34" i="12"/>
  <c r="G34" i="12" s="1"/>
  <c r="F34" i="12"/>
  <c r="I33" i="12"/>
  <c r="G33" i="12" s="1"/>
  <c r="F33" i="12"/>
  <c r="I32" i="12"/>
  <c r="G32" i="12" s="1"/>
  <c r="F32" i="12"/>
  <c r="H31" i="12"/>
  <c r="F31" i="12"/>
  <c r="K30" i="12"/>
  <c r="L30" i="12" s="1"/>
  <c r="I29" i="12"/>
  <c r="H29" i="12"/>
  <c r="F29" i="12"/>
  <c r="I27" i="12"/>
  <c r="G27" i="12" s="1"/>
  <c r="I26" i="12"/>
  <c r="G26" i="12" s="1"/>
  <c r="I25" i="12"/>
  <c r="G25" i="12" s="1"/>
  <c r="I24" i="12"/>
  <c r="G24" i="12" s="1"/>
  <c r="I23" i="12"/>
  <c r="G23" i="12" s="1"/>
  <c r="H22" i="12"/>
  <c r="K22" i="12" s="1"/>
  <c r="L22" i="12" s="1"/>
  <c r="I15" i="12"/>
  <c r="I21" i="12" s="1"/>
  <c r="G15" i="12"/>
  <c r="G8" i="12" s="1"/>
  <c r="G14" i="12"/>
  <c r="F14" i="12"/>
  <c r="G13" i="12"/>
  <c r="F13" i="12"/>
  <c r="G12" i="12"/>
  <c r="F12" i="12"/>
  <c r="G11" i="12"/>
  <c r="F11" i="12"/>
  <c r="G10" i="12"/>
  <c r="F10" i="12"/>
  <c r="K9" i="12"/>
  <c r="L9" i="12" s="1"/>
  <c r="H9" i="12"/>
  <c r="H8" i="12" s="1"/>
  <c r="F7" i="12" l="1"/>
  <c r="K41" i="12"/>
  <c r="H52" i="12"/>
  <c r="K52" i="12" s="1"/>
  <c r="L52" i="12" s="1"/>
  <c r="F9" i="12"/>
  <c r="F15" i="12" s="1"/>
  <c r="F21" i="12" s="1"/>
  <c r="G22" i="12"/>
  <c r="O42" i="12"/>
  <c r="G9" i="12"/>
  <c r="J9" i="12" s="1"/>
  <c r="I57" i="12"/>
  <c r="I53" i="12" s="1"/>
  <c r="K53" i="12" s="1"/>
  <c r="L53" i="12" s="1"/>
  <c r="G57" i="12"/>
  <c r="G52" i="12" s="1"/>
  <c r="G51" i="12" s="1"/>
  <c r="G30" i="12"/>
  <c r="G29" i="12" s="1"/>
  <c r="K8" i="12"/>
  <c r="L8" i="12" s="1"/>
  <c r="G62" i="12"/>
  <c r="G61" i="12" s="1"/>
  <c r="G50" i="12"/>
  <c r="I37" i="12"/>
  <c r="I62" i="12"/>
  <c r="K15" i="12" l="1"/>
  <c r="L15" i="12" s="1"/>
  <c r="H51" i="12"/>
  <c r="H7" i="12" s="1"/>
  <c r="G7" i="12"/>
  <c r="I31" i="12"/>
  <c r="K31" i="12" s="1"/>
  <c r="L31" i="12" s="1"/>
  <c r="K37" i="12"/>
  <c r="L37" i="12" s="1"/>
  <c r="I61" i="12"/>
  <c r="I7" i="12" s="1"/>
  <c r="K62" i="12"/>
  <c r="K61" i="12" l="1"/>
  <c r="L62" i="12"/>
  <c r="L61" i="12" s="1"/>
  <c r="G67" i="11" l="1"/>
  <c r="F67" i="11"/>
  <c r="I66" i="11"/>
  <c r="G66" i="11" s="1"/>
  <c r="F66" i="11"/>
  <c r="I65" i="11"/>
  <c r="G65" i="11" s="1"/>
  <c r="F65" i="11"/>
  <c r="I64" i="11"/>
  <c r="G64" i="11" s="1"/>
  <c r="F64" i="11"/>
  <c r="I63" i="11"/>
  <c r="G63" i="11" s="1"/>
  <c r="F63" i="11"/>
  <c r="H62" i="11"/>
  <c r="H61" i="11" s="1"/>
  <c r="F61" i="11"/>
  <c r="I59" i="11"/>
  <c r="G59" i="11" s="1"/>
  <c r="H59" i="11"/>
  <c r="H57" i="11" s="1"/>
  <c r="I58" i="11"/>
  <c r="G58" i="11" s="1"/>
  <c r="F57" i="11"/>
  <c r="F53" i="11" s="1"/>
  <c r="I56" i="11"/>
  <c r="G56" i="11" s="1"/>
  <c r="F56" i="11"/>
  <c r="I55" i="11"/>
  <c r="G55" i="11" s="1"/>
  <c r="F55" i="11"/>
  <c r="I54" i="11"/>
  <c r="G54" i="11" s="1"/>
  <c r="F54" i="11"/>
  <c r="H53" i="11"/>
  <c r="P52" i="11"/>
  <c r="I51" i="11"/>
  <c r="F51" i="11"/>
  <c r="K50" i="11"/>
  <c r="L50" i="11" s="1"/>
  <c r="F49" i="11"/>
  <c r="O48" i="11"/>
  <c r="O47" i="11"/>
  <c r="I47" i="11"/>
  <c r="G47" i="11" s="1"/>
  <c r="O46" i="11"/>
  <c r="I46" i="11"/>
  <c r="G46" i="11" s="1"/>
  <c r="O45" i="11"/>
  <c r="I45" i="11"/>
  <c r="G45" i="11" s="1"/>
  <c r="O44" i="11"/>
  <c r="I44" i="11"/>
  <c r="G44" i="11" s="1"/>
  <c r="O43" i="11"/>
  <c r="I43" i="11"/>
  <c r="G43" i="11" s="1"/>
  <c r="K42" i="11"/>
  <c r="L42" i="11" s="1"/>
  <c r="L41" i="11" s="1"/>
  <c r="G42" i="11"/>
  <c r="G41" i="11" s="1"/>
  <c r="I41" i="11"/>
  <c r="H41" i="11"/>
  <c r="F41" i="11"/>
  <c r="F40" i="11"/>
  <c r="I39" i="11"/>
  <c r="G39" i="11" s="1"/>
  <c r="I38" i="11"/>
  <c r="G38" i="11" s="1"/>
  <c r="H37" i="11"/>
  <c r="I36" i="11"/>
  <c r="G36" i="11" s="1"/>
  <c r="F36" i="11"/>
  <c r="I35" i="11"/>
  <c r="G35" i="11" s="1"/>
  <c r="F35" i="11"/>
  <c r="I34" i="11"/>
  <c r="G34" i="11" s="1"/>
  <c r="F34" i="11"/>
  <c r="I33" i="11"/>
  <c r="G33" i="11" s="1"/>
  <c r="F33" i="11"/>
  <c r="I32" i="11"/>
  <c r="G32" i="11" s="1"/>
  <c r="F32" i="11"/>
  <c r="H31" i="11"/>
  <c r="F31" i="11"/>
  <c r="K30" i="11"/>
  <c r="L30" i="11" s="1"/>
  <c r="I29" i="11"/>
  <c r="H29" i="11"/>
  <c r="F29" i="11"/>
  <c r="I27" i="11"/>
  <c r="G27" i="11" s="1"/>
  <c r="I26" i="11"/>
  <c r="G26" i="11" s="1"/>
  <c r="I25" i="11"/>
  <c r="G25" i="11" s="1"/>
  <c r="I24" i="11"/>
  <c r="G24" i="11" s="1"/>
  <c r="I23" i="11"/>
  <c r="G23" i="11" s="1"/>
  <c r="H22" i="11"/>
  <c r="K22" i="11" s="1"/>
  <c r="L22" i="11" s="1"/>
  <c r="G15" i="11"/>
  <c r="G8" i="11" s="1"/>
  <c r="F14" i="11"/>
  <c r="F13" i="11"/>
  <c r="F12" i="11"/>
  <c r="F11" i="11"/>
  <c r="F10" i="11"/>
  <c r="H9" i="11"/>
  <c r="H8" i="11"/>
  <c r="K8" i="11" s="1"/>
  <c r="L8" i="11" s="1"/>
  <c r="F9" i="11" l="1"/>
  <c r="F7" i="11"/>
  <c r="H52" i="11"/>
  <c r="H51" i="11" s="1"/>
  <c r="H7" i="11" s="1"/>
  <c r="K41" i="11"/>
  <c r="O42" i="11"/>
  <c r="I37" i="11"/>
  <c r="I31" i="11" s="1"/>
  <c r="K31" i="11" s="1"/>
  <c r="L31" i="11" s="1"/>
  <c r="I57" i="11"/>
  <c r="I53" i="11" s="1"/>
  <c r="K53" i="11" s="1"/>
  <c r="L53" i="11" s="1"/>
  <c r="G57" i="11"/>
  <c r="G52" i="11" s="1"/>
  <c r="G51" i="11" s="1"/>
  <c r="G62" i="11"/>
  <c r="G61" i="11" s="1"/>
  <c r="G50" i="11"/>
  <c r="G12" i="11"/>
  <c r="G10" i="11"/>
  <c r="G13" i="11"/>
  <c r="G14" i="11"/>
  <c r="K9" i="11"/>
  <c r="L9" i="11" s="1"/>
  <c r="I15" i="11"/>
  <c r="I21" i="11" s="1"/>
  <c r="G11" i="11"/>
  <c r="G22" i="11"/>
  <c r="G30" i="11"/>
  <c r="G29" i="11" s="1"/>
  <c r="K52" i="11"/>
  <c r="L52" i="11" s="1"/>
  <c r="F15" i="11"/>
  <c r="I62" i="11"/>
  <c r="K37" i="11" l="1"/>
  <c r="L37" i="11" s="1"/>
  <c r="G7" i="11"/>
  <c r="F21" i="11"/>
  <c r="K15" i="11"/>
  <c r="L15" i="11" s="1"/>
  <c r="I61" i="11"/>
  <c r="I7" i="11" s="1"/>
  <c r="K62" i="11"/>
  <c r="G9" i="11"/>
  <c r="J9" i="11" s="1"/>
  <c r="K61" i="11" l="1"/>
  <c r="L62" i="11"/>
  <c r="L61" i="11" s="1"/>
</calcChain>
</file>

<file path=xl/sharedStrings.xml><?xml version="1.0" encoding="utf-8"?>
<sst xmlns="http://schemas.openxmlformats.org/spreadsheetml/2006/main" count="364" uniqueCount="119">
  <si>
    <t>TT</t>
  </si>
  <si>
    <t xml:space="preserve">Tổng số </t>
  </si>
  <si>
    <t>Dự án 1: Giải quyết tình trạng thiếu đất ở, nhà ở, đất sản xuất, nước sinh hoạt</t>
  </si>
  <si>
    <t>Huyện Lệ Thủy</t>
  </si>
  <si>
    <t>Huyện Quảng Ninh</t>
  </si>
  <si>
    <t>Huyện Bố Trạch</t>
  </si>
  <si>
    <t>Huyện Minh Hóa</t>
  </si>
  <si>
    <t>Huyện Tuyên Hóa</t>
  </si>
  <si>
    <t>Dự án 2: Quy hoạch, sắp xếp, bố trí, ổn định dân cư ở những nơi cần thiết</t>
  </si>
  <si>
    <t>Dự án 4: Đầu tư cơ sở hạ tầng thiết yếu, phục vụ sản xuất, đời sống trong vùng đồng bào dân tộc thiểu số và miền núi và các đơn vị sự nghiệp công của lĩnh vực dân tộc</t>
  </si>
  <si>
    <t>Tiểu dự án 1. Đầu tư cơ sở hạ tầng thiết yếu, phục vụ sản xuất, đời sống trong vùng đồng bào dân tộc thiểu số và miền núi</t>
  </si>
  <si>
    <t>Dự án 5: Phát triển giáo dục đào tạo nâng cao chất lượng nguồn nhân lực</t>
  </si>
  <si>
    <t>Tiểu dự án 1: Đổi mới hoạt động, củng cố phát triển các trường phổ thông dân tộc nội trú, trường phổ thông dân tộc bán trú và xóa mù chữ cho người dân vùng đồng bào dân tộc thiểu số</t>
  </si>
  <si>
    <t>Dự án 6: Bảo tồn, phát huy giá trị văn hóa truyền thống tốt đẹp của các dân tộc thiểu số gắn với phát triển du lịch</t>
  </si>
  <si>
    <t>Dự án 10: Truyền thông, tuyên truyền, vận động trong vùng đồng bào dân tộc thiểu số và miền núi. Kiểm tra, giám sát đánh giá việc tổ chức thực hiện Chương trình</t>
  </si>
  <si>
    <t xml:space="preserve">Tiểu dự  án 2:  Ứng dụng công nghệ thông tin hỗ trợ phát triển kinh tế - xã hội và đảm bảo an ninh trật tự vùng đồng bào dân tộc thiểu số và miền núi </t>
  </si>
  <si>
    <t>I</t>
  </si>
  <si>
    <t>II</t>
  </si>
  <si>
    <t>III</t>
  </si>
  <si>
    <t>IV</t>
  </si>
  <si>
    <t>V</t>
  </si>
  <si>
    <t>VI</t>
  </si>
  <si>
    <t>a</t>
  </si>
  <si>
    <t>Nội dung/danh mục</t>
  </si>
  <si>
    <t>Quy mô</t>
  </si>
  <si>
    <t>Thời gian thực hiện</t>
  </si>
  <si>
    <t>Địa điểm đầu tư</t>
  </si>
  <si>
    <t>2022-2023</t>
  </si>
  <si>
    <t>2022-2024</t>
  </si>
  <si>
    <t>Chợ biên giới xã Thượng Trạch</t>
  </si>
  <si>
    <t>Các xã, thôn ĐBKK</t>
  </si>
  <si>
    <t>3 xã</t>
  </si>
  <si>
    <t>01 xã, 4 thôn</t>
  </si>
  <si>
    <t>02 xã, 02 thôn</t>
  </si>
  <si>
    <t>04 xã, 01 thôn</t>
  </si>
  <si>
    <t>01 xã, 01 thôn</t>
  </si>
  <si>
    <t>b.</t>
  </si>
  <si>
    <t xml:space="preserve">Đầu tư công trình nước sinh hoạt tập trung </t>
  </si>
  <si>
    <t>Xây dựng tuyến đường giao thông liên xã từ xã Kim Thủy đi xã Ngân Thủy</t>
  </si>
  <si>
    <t>UBND huyện Bố Trạch</t>
  </si>
  <si>
    <t>UBND huyện Minh Hóa</t>
  </si>
  <si>
    <t>UBND huyện Tuyên Hóa</t>
  </si>
  <si>
    <t>Ban Dân tộc</t>
  </si>
  <si>
    <t>UBND huyện Lệ Thủy</t>
  </si>
  <si>
    <t>UBND huyện Quảng Ninh</t>
  </si>
  <si>
    <t>21 thôn, bản</t>
  </si>
  <si>
    <t xml:space="preserve">19 thôn, bản </t>
  </si>
  <si>
    <t>22 thôn, bản</t>
  </si>
  <si>
    <t>36 thôn, bản</t>
  </si>
  <si>
    <t>4 thôn, bản</t>
  </si>
  <si>
    <t>1 xã</t>
  </si>
  <si>
    <t>2 xã</t>
  </si>
  <si>
    <t>4 xã</t>
  </si>
  <si>
    <t>Hỗ trợ đất ở, nhà ở, đất sản xuất</t>
  </si>
  <si>
    <t>Ghi chú</t>
  </si>
  <si>
    <t>Vốn đối ứng ngân sách tỉnh cho Chương trình năm 2022 là: 12,500 triệu đồng</t>
  </si>
  <si>
    <t>Nước sinh hoạt tập trung thôn Tiền Phong</t>
  </si>
  <si>
    <t>Nước sinh hoạt tập trung thôn Thuận Hóa và Đặng Hóa</t>
  </si>
  <si>
    <t>17 thôn, bản</t>
  </si>
  <si>
    <t>Nước sinh hoạt tập trung bản Mới, bản Xà Khía, bản Tăng Ký</t>
  </si>
  <si>
    <t>Nước sinh hoạt tập trung bản Thượng Sơn, thôn Liên Xuân, bản Đá Chát</t>
  </si>
  <si>
    <t>Công trình nước sinh hoạt tập trung Bản 39</t>
  </si>
  <si>
    <t>1 thôn, bản</t>
  </si>
  <si>
    <t>01 xã</t>
  </si>
  <si>
    <t>02 xã</t>
  </si>
  <si>
    <t>04 xã</t>
  </si>
  <si>
    <t>Nâng cấp, cải tạo, sửa chữa trường PTDTNT Huyện Quảng Ninh</t>
  </si>
  <si>
    <t xml:space="preserve">Nâng cấp, cải tạo, sửa chữa  Trường PTDTNT Huyện Bố Trạch </t>
  </si>
  <si>
    <t>Nâng cấp, cải tạo, sửa chữa Trường PTDTBT TH và THCS Dân Hóa, huyện Minh Hóa</t>
  </si>
  <si>
    <t xml:space="preserve">Nâng cấp, cải tạo, sửa chữa Trường PTDTBT TH và THCS Lâm Hóa, Huyện Tuyên Hóa </t>
  </si>
  <si>
    <t>Nâng cấp, cải tạo, sửa chữa Trường PTDTBT TH và THCS Lâm Thủy và Trường PTDTNT huyện Lệ Thủy</t>
  </si>
  <si>
    <t>Xã Lâm Thủy, Mai Thủy, huyện Lệ Thủy</t>
  </si>
  <si>
    <t>Xã Lâm Hóa, huyện Tuyên Hóa</t>
  </si>
  <si>
    <t>Xã Dân Hóa, huyện Minh Hóa</t>
  </si>
  <si>
    <t>Xã Thượng Trạch, huyện Bố Trạch</t>
  </si>
  <si>
    <t>Xã Hiền Ninh, huyện Quảng Ninh</t>
  </si>
  <si>
    <t>Nên cho đối ứng vào luôn</t>
  </si>
  <si>
    <t>Đơn vị thực hiện</t>
  </si>
  <si>
    <t>Giao UBND huyện tổng hợp danh mục trình HĐND huyện thông qua</t>
  </si>
  <si>
    <t>Hạ tầng giao thông kết hợp điện lưới vào khu dân cư các bản (Lòm - K.Chăm, Dộ - Tà Vờng) dân tộc Chứt xã Trọng Hóa, huyện Minh Hóa</t>
  </si>
  <si>
    <t>Xã Trọng Hóa, huyện Minh Hóa</t>
  </si>
  <si>
    <t>Hạ tầng giao thông kết hợp kè chống sạt lở khu dân cư các bản (Ba Loóc, Bãi Dinh, K-Ai) dân tộc Chứt xã Dân Hóa, huyện Minh Hóa</t>
  </si>
  <si>
    <t>Vốn ĐTPT NSTW năm 2022</t>
  </si>
  <si>
    <t xml:space="preserve">Xã Thượng Trạch, huyện Bố Trạch </t>
  </si>
  <si>
    <t>Xã Kim Thủy, Ngân Thủy, huyện Lệ Thủy</t>
  </si>
  <si>
    <t>Xã Lâm Thủy, huyện Lệ Thủy</t>
  </si>
  <si>
    <t>Xã Trường Sơn, huyện Quảng Ninh</t>
  </si>
  <si>
    <t>Xã Tân Trạch, huyện Bố Trạch</t>
  </si>
  <si>
    <t xml:space="preserve">Xã Hóa Sơn, huyện Minh Hóa </t>
  </si>
  <si>
    <t>Phường Bắc Lý, TP Đồng Hới</t>
  </si>
  <si>
    <t>VII</t>
  </si>
  <si>
    <t>Đầu tư nâng cấp, cải tạo trường PTDTNT tỉnh</t>
  </si>
  <si>
    <t>2023-2025</t>
  </si>
  <si>
    <t>Đơn vị tính: Triệu đồng</t>
  </si>
  <si>
    <t>Phụ lục I</t>
  </si>
  <si>
    <t>Sở Giáo dục và Đào tạo</t>
  </si>
  <si>
    <t>Đầu tư các công trình có tác động lớn đến phát triển KT-XH địa phương</t>
  </si>
  <si>
    <t>Phân bổ cho các huyện</t>
  </si>
  <si>
    <t>Đầu tư cơ sở hạ tầng thiết yếu</t>
  </si>
  <si>
    <t>Kế hoạch giai đoạn 2021 - 2025</t>
  </si>
  <si>
    <t>Số vốn bố trí năm 2024</t>
  </si>
  <si>
    <t>Số vốn bố trí năm 2025</t>
  </si>
  <si>
    <t>Số vốn đã phân bổ năm 2022</t>
  </si>
  <si>
    <t>Phân bổ vốn đầu tư phát triển ngân sách trung ương giai đoạn 2021 - 2025 và năm 2023 thực hiện Chương trình mục tiêu quốc gia
phát triển kinh tế - xã hội vùng đồng bào dân tộc thiểu số và miền núi tỉnh Quảng Bình</t>
  </si>
  <si>
    <t>Kế hoạch năm 2023</t>
  </si>
  <si>
    <t>Đầu tư các công trình nước sinh hoạt tập trung cho các địa phương</t>
  </si>
  <si>
    <t>Đầu tư các công trình cho các địa phương</t>
  </si>
  <si>
    <t>Đầu tư cơ sở hạ tầng cho các địa phương</t>
  </si>
  <si>
    <t xml:space="preserve">(Kèm theo Nghị quyết số       /NQ-HĐND ngày       /   /2022 của Hội đồng nhân dân tỉnh Quảng Bình) </t>
  </si>
  <si>
    <t>Phụ lục</t>
  </si>
  <si>
    <t>Dự án 9: Đầu tư phát triển nhóm dân tộc rất ít người và nhóm dân tộc còn nhiều khó khăn</t>
  </si>
  <si>
    <t>Tiểu dự án 1. Đầu tư phát triển kinh tế - xã hội các dân tộc còn gặp nhiều khó khăn, dân tộc có khó khăn đặc thù</t>
  </si>
  <si>
    <t>Phân bổ sau</t>
  </si>
  <si>
    <t>Phân bổ chi tiết sau</t>
  </si>
  <si>
    <t xml:space="preserve">Dự án 4: Đầu tư cơ sở hạ tầng thiết yếu, phục vụ sản xuất, đời sống trong vùng đồng bào dân tộc thiểu số và miền núi và các đơn vị sự nghiệp công của lĩnh vực dân tộc
</t>
  </si>
  <si>
    <t xml:space="preserve">Tiểu dự án 1. Đầu tư cơ sở hạ tầng thiết yếu, phục vụ sản xuất, đời sống trong vùng đồng bào dân tộc thiểu số và miền núi
</t>
  </si>
  <si>
    <t>Số vốn chưa phân bổ (20% vốn trung hạn)</t>
  </si>
  <si>
    <t>Đầu tư cơ sở vật chất cho các trường DTNT, BT</t>
  </si>
  <si>
    <t xml:space="preserve">(Kèm theo Tờ trình số  2256 /TTr-UBND ngày  28 / 12 /2022 của Ủy ban nhân dân tỉnh Quảng Bình)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</si>
</sst>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00_);_(* \(#,##0.0000\);_(* &quot;-&quot;??_);_(@_)"/>
    <numFmt numFmtId="166" formatCode="_(* #,##0.00000_);_(* \(#,##0.00000\);_(* &quot;-&quot;??_);_(@_)"/>
    <numFmt numFmtId="167" formatCode="#,##0.0"/>
  </numFmts>
  <fonts count="26" x14ac:knownFonts="1">
    <font>
      <sz val="12"/>
      <color theme="1"/>
      <name val="Times New Roman"/>
      <family val="2"/>
    </font>
    <font>
      <sz val="12"/>
      <color theme="1"/>
      <name val="Times New Roman"/>
      <family val="2"/>
    </font>
    <font>
      <sz val="11"/>
      <color theme="1"/>
      <name val="Calibri"/>
      <family val="2"/>
      <scheme val="minor"/>
    </font>
    <font>
      <b/>
      <sz val="10"/>
      <color theme="1"/>
      <name val="Times New Roman"/>
      <family val="2"/>
    </font>
    <font>
      <sz val="10"/>
      <color theme="1"/>
      <name val="Times New Roman"/>
      <family val="2"/>
    </font>
    <font>
      <sz val="10"/>
      <color rgb="FFFF0000"/>
      <name val="Times New Roman"/>
      <family val="2"/>
    </font>
    <font>
      <b/>
      <sz val="10"/>
      <color theme="1"/>
      <name val="Times New Roman"/>
      <family val="1"/>
    </font>
    <font>
      <b/>
      <i/>
      <sz val="10"/>
      <color theme="1"/>
      <name val="Times New Roman"/>
      <family val="1"/>
    </font>
    <font>
      <i/>
      <sz val="10"/>
      <color theme="1"/>
      <name val="Times New Roman"/>
      <family val="1"/>
    </font>
    <font>
      <sz val="10"/>
      <color theme="1"/>
      <name val="Times New Roman"/>
      <family val="1"/>
    </font>
    <font>
      <sz val="10"/>
      <name val="Times New Roman"/>
      <family val="1"/>
    </font>
    <font>
      <b/>
      <sz val="10"/>
      <name val="Times New Roman"/>
      <family val="1"/>
    </font>
    <font>
      <b/>
      <sz val="12"/>
      <color theme="1"/>
      <name val="Times New Roman"/>
      <family val="1"/>
    </font>
    <font>
      <i/>
      <sz val="12"/>
      <color theme="1"/>
      <name val="Times New Roman"/>
      <family val="1"/>
    </font>
    <font>
      <b/>
      <sz val="12"/>
      <color theme="1"/>
      <name val="Times New Roman"/>
      <family val="2"/>
    </font>
    <font>
      <b/>
      <i/>
      <sz val="12"/>
      <color theme="1"/>
      <name val="Times New Roman"/>
      <family val="2"/>
    </font>
    <font>
      <sz val="12"/>
      <name val="Times New Roman"/>
      <family val="2"/>
    </font>
    <font>
      <sz val="12"/>
      <color theme="1"/>
      <name val="Times New Roman"/>
      <family val="1"/>
    </font>
    <font>
      <sz val="12"/>
      <name val="Times New Roman"/>
      <family val="1"/>
    </font>
    <font>
      <b/>
      <sz val="12"/>
      <name val="Times New Roman"/>
      <family val="1"/>
    </font>
    <font>
      <sz val="12"/>
      <color rgb="FFFF0000"/>
      <name val="Times New Roman"/>
      <family val="2"/>
    </font>
    <font>
      <b/>
      <sz val="12"/>
      <color rgb="FFFF0000"/>
      <name val="Times New Roman"/>
      <family val="1"/>
    </font>
    <font>
      <sz val="12"/>
      <color rgb="FFFF0000"/>
      <name val="Times New Roman"/>
      <family val="1"/>
    </font>
    <font>
      <sz val="10"/>
      <color rgb="FFFF0000"/>
      <name val="Times New Roman"/>
      <family val="1"/>
    </font>
    <font>
      <b/>
      <sz val="10"/>
      <color rgb="FFFF0000"/>
      <name val="Times New Roman"/>
      <family val="1"/>
    </font>
    <font>
      <b/>
      <i/>
      <sz val="12"/>
      <color rgb="FFFF0000"/>
      <name val="Times New Roman"/>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3" fontId="2" fillId="0" borderId="0" applyFont="0" applyFill="0" applyBorder="0" applyAlignment="0" applyProtection="0"/>
  </cellStyleXfs>
  <cellXfs count="176">
    <xf numFmtId="0" fontId="0" fillId="0" borderId="0" xfId="0"/>
    <xf numFmtId="0" fontId="4" fillId="2" borderId="0" xfId="0" applyFont="1" applyFill="1"/>
    <xf numFmtId="0" fontId="3" fillId="2" borderId="0" xfId="0" applyFont="1" applyFill="1"/>
    <xf numFmtId="0" fontId="5" fillId="2" borderId="0" xfId="0" applyFont="1" applyFill="1"/>
    <xf numFmtId="3" fontId="4" fillId="2" borderId="0" xfId="0" applyNumberFormat="1" applyFont="1" applyFill="1"/>
    <xf numFmtId="0" fontId="6" fillId="2" borderId="0" xfId="0" applyFont="1" applyFill="1"/>
    <xf numFmtId="0" fontId="8" fillId="2" borderId="0" xfId="0" applyFont="1" applyFill="1"/>
    <xf numFmtId="0" fontId="7" fillId="2" borderId="0" xfId="0" applyFont="1" applyFill="1"/>
    <xf numFmtId="3" fontId="4" fillId="2" borderId="0" xfId="0" applyNumberFormat="1" applyFont="1" applyFill="1" applyAlignment="1">
      <alignment vertical="center"/>
    </xf>
    <xf numFmtId="3" fontId="9" fillId="2" borderId="0" xfId="0" applyNumberFormat="1" applyFont="1" applyFill="1"/>
    <xf numFmtId="0" fontId="9" fillId="2" borderId="0" xfId="0" applyFont="1" applyFill="1"/>
    <xf numFmtId="164" fontId="9" fillId="2" borderId="1" xfId="2" applyNumberFormat="1"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right" vertical="center"/>
    </xf>
    <xf numFmtId="0" fontId="9" fillId="2" borderId="1" xfId="0" applyFont="1" applyFill="1" applyBorder="1" applyAlignment="1">
      <alignment horizontal="center" vertical="center"/>
    </xf>
    <xf numFmtId="0" fontId="4" fillId="2" borderId="0" xfId="0" applyFont="1" applyFill="1" applyAlignment="1">
      <alignment horizontal="center"/>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8" fillId="2" borderId="0" xfId="0" applyNumberFormat="1" applyFont="1" applyFill="1"/>
    <xf numFmtId="1" fontId="8" fillId="2" borderId="0" xfId="0" applyNumberFormat="1" applyFont="1" applyFill="1"/>
    <xf numFmtId="3" fontId="3" fillId="2" borderId="0" xfId="0" applyNumberFormat="1" applyFont="1" applyFill="1"/>
    <xf numFmtId="164" fontId="9" fillId="2" borderId="0" xfId="0" applyNumberFormat="1" applyFont="1" applyFill="1" applyAlignment="1">
      <alignment vertical="center"/>
    </xf>
    <xf numFmtId="164" fontId="9" fillId="2" borderId="0" xfId="1" applyNumberFormat="1" applyFont="1" applyFill="1"/>
    <xf numFmtId="165" fontId="3" fillId="2" borderId="0" xfId="0" applyNumberFormat="1" applyFont="1" applyFill="1"/>
    <xf numFmtId="166" fontId="6" fillId="2" borderId="0" xfId="0" applyNumberFormat="1" applyFont="1" applyFill="1"/>
    <xf numFmtId="0" fontId="10" fillId="2" borderId="1" xfId="0" applyFont="1" applyFill="1" applyBorder="1" applyAlignment="1">
      <alignment horizontal="center" vertical="center"/>
    </xf>
    <xf numFmtId="0" fontId="10" fillId="2" borderId="0" xfId="0" applyFont="1" applyFill="1"/>
    <xf numFmtId="164" fontId="10" fillId="2" borderId="1" xfId="2" applyNumberFormat="1" applyFont="1" applyFill="1" applyBorder="1" applyAlignment="1">
      <alignment horizontal="center" vertical="center" wrapText="1"/>
    </xf>
    <xf numFmtId="3" fontId="10" fillId="2" borderId="0" xfId="0" applyNumberFormat="1" applyFont="1" applyFill="1"/>
    <xf numFmtId="3" fontId="3" fillId="2" borderId="4" xfId="0" applyNumberFormat="1" applyFont="1" applyFill="1" applyBorder="1" applyAlignment="1">
      <alignment horizontal="center" vertical="center" wrapText="1"/>
    </xf>
    <xf numFmtId="3" fontId="11" fillId="2" borderId="0" xfId="0" applyNumberFormat="1" applyFont="1" applyFill="1"/>
    <xf numFmtId="0" fontId="11" fillId="2" borderId="0" xfId="0" applyFont="1" applyFill="1"/>
    <xf numFmtId="3" fontId="6" fillId="2" borderId="1" xfId="0" applyNumberFormat="1" applyFont="1" applyFill="1" applyBorder="1" applyAlignment="1">
      <alignment vertical="center" wrapText="1"/>
    </xf>
    <xf numFmtId="0" fontId="14" fillId="2" borderId="1" xfId="0" applyFont="1" applyFill="1" applyBorder="1" applyAlignment="1">
      <alignment horizontal="center" vertical="center"/>
    </xf>
    <xf numFmtId="3" fontId="14" fillId="2" borderId="1" xfId="0" applyNumberFormat="1" applyFont="1" applyFill="1" applyBorder="1" applyAlignment="1">
      <alignment horizontal="center" vertical="center" wrapText="1"/>
    </xf>
    <xf numFmtId="3" fontId="14" fillId="2" borderId="1" xfId="0" applyNumberFormat="1" applyFont="1" applyFill="1" applyBorder="1" applyAlignment="1">
      <alignment horizontal="right" vertical="center" wrapText="1"/>
    </xf>
    <xf numFmtId="0" fontId="14" fillId="2" borderId="1" xfId="0" applyFont="1" applyFill="1" applyBorder="1" applyAlignment="1">
      <alignment horizontal="left" vertical="center" wrapText="1"/>
    </xf>
    <xf numFmtId="0" fontId="15" fillId="2" borderId="1" xfId="0" quotePrefix="1" applyFont="1" applyFill="1" applyBorder="1" applyAlignment="1">
      <alignment horizontal="center" vertical="center"/>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right" vertical="center" wrapText="1"/>
    </xf>
    <xf numFmtId="3" fontId="14" fillId="2" borderId="1" xfId="0" applyNumberFormat="1"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justify" vertical="center"/>
    </xf>
    <xf numFmtId="3" fontId="0" fillId="2" borderId="1" xfId="0" applyNumberFormat="1" applyFont="1" applyFill="1" applyBorder="1" applyAlignment="1">
      <alignment horizontal="right" vertical="center" wrapText="1"/>
    </xf>
    <xf numFmtId="3" fontId="16" fillId="2" borderId="1" xfId="0" applyNumberFormat="1" applyFont="1" applyFill="1" applyBorder="1" applyAlignment="1">
      <alignment horizontal="right" vertical="center" wrapText="1"/>
    </xf>
    <xf numFmtId="3" fontId="15" fillId="0"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justify" vertical="center"/>
    </xf>
    <xf numFmtId="0" fontId="16" fillId="2" borderId="1" xfId="0"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4" fillId="2" borderId="1" xfId="0" applyFont="1" applyFill="1" applyBorder="1" applyAlignment="1">
      <alignment horizontal="justify" vertical="center"/>
    </xf>
    <xf numFmtId="0" fontId="14" fillId="2" borderId="1" xfId="0" applyFont="1" applyFill="1" applyBorder="1" applyAlignment="1">
      <alignment vertical="center" wrapText="1"/>
    </xf>
    <xf numFmtId="164" fontId="0" fillId="2" borderId="1" xfId="2" applyNumberFormat="1" applyFont="1" applyFill="1" applyBorder="1" applyAlignment="1">
      <alignment horizontal="center" vertical="center" wrapText="1"/>
    </xf>
    <xf numFmtId="164" fontId="14" fillId="2" borderId="1" xfId="2" applyNumberFormat="1" applyFont="1" applyFill="1" applyBorder="1" applyAlignment="1">
      <alignment horizontal="center" vertical="center" wrapText="1"/>
    </xf>
    <xf numFmtId="164" fontId="14" fillId="2" borderId="1" xfId="1" applyNumberFormat="1" applyFont="1" applyFill="1" applyBorder="1" applyAlignment="1">
      <alignment horizontal="right" vertical="center"/>
    </xf>
    <xf numFmtId="164" fontId="0" fillId="2" borderId="1" xfId="1" applyNumberFormat="1" applyFont="1" applyFill="1" applyBorder="1" applyAlignment="1">
      <alignment horizontal="center" vertical="center" wrapText="1"/>
    </xf>
    <xf numFmtId="164" fontId="16" fillId="2" borderId="1" xfId="2" applyNumberFormat="1" applyFont="1" applyFill="1" applyBorder="1" applyAlignment="1">
      <alignment horizontal="center" vertical="center" wrapText="1"/>
    </xf>
    <xf numFmtId="0" fontId="14" fillId="2" borderId="1" xfId="0" quotePrefix="1" applyFont="1" applyFill="1" applyBorder="1" applyAlignment="1">
      <alignment horizontal="center" vertical="center"/>
    </xf>
    <xf numFmtId="0" fontId="0" fillId="2" borderId="1" xfId="0" applyFont="1" applyFill="1" applyBorder="1" applyAlignment="1">
      <alignment horizontal="center" vertical="center" wrapText="1"/>
    </xf>
    <xf numFmtId="3" fontId="17" fillId="2" borderId="1" xfId="0" applyNumberFormat="1" applyFont="1" applyFill="1" applyBorder="1" applyAlignment="1">
      <alignment horizontal="right" vertical="center" wrapText="1"/>
    </xf>
    <xf numFmtId="0" fontId="17" fillId="2" borderId="1" xfId="0" quotePrefix="1" applyNumberFormat="1" applyFont="1" applyFill="1" applyBorder="1" applyAlignment="1">
      <alignment horizontal="center" vertical="center" wrapText="1"/>
    </xf>
    <xf numFmtId="164" fontId="17" fillId="2" borderId="1" xfId="2" applyNumberFormat="1" applyFont="1" applyFill="1" applyBorder="1" applyAlignment="1">
      <alignment horizontal="center" vertical="center" wrapText="1"/>
    </xf>
    <xf numFmtId="3" fontId="18" fillId="2" borderId="1" xfId="0" applyNumberFormat="1" applyFont="1" applyFill="1" applyBorder="1" applyAlignment="1">
      <alignment horizontal="right" vertical="center" wrapText="1"/>
    </xf>
    <xf numFmtId="0" fontId="19" fillId="2" borderId="1" xfId="0" applyFont="1" applyFill="1" applyBorder="1" applyAlignment="1">
      <alignment horizontal="center" vertical="center"/>
    </xf>
    <xf numFmtId="0" fontId="19" fillId="2" borderId="1" xfId="0" applyFont="1" applyFill="1" applyBorder="1" applyAlignment="1">
      <alignment vertical="center" wrapText="1"/>
    </xf>
    <xf numFmtId="164" fontId="19" fillId="2" borderId="1" xfId="2" applyNumberFormat="1" applyFont="1" applyFill="1" applyBorder="1" applyAlignment="1">
      <alignment horizontal="center" vertical="center" wrapText="1"/>
    </xf>
    <xf numFmtId="3" fontId="19" fillId="2" borderId="1" xfId="0" applyNumberFormat="1" applyFont="1" applyFill="1" applyBorder="1" applyAlignment="1">
      <alignment horizontal="right" vertical="center" wrapText="1"/>
    </xf>
    <xf numFmtId="164" fontId="19" fillId="3" borderId="1" xfId="1" applyNumberFormat="1" applyFont="1" applyFill="1" applyBorder="1" applyAlignment="1">
      <alignment horizontal="center" vertical="center"/>
    </xf>
    <xf numFmtId="164" fontId="18" fillId="2" borderId="1" xfId="2" applyNumberFormat="1" applyFont="1" applyFill="1" applyBorder="1" applyAlignment="1">
      <alignment horizontal="center" vertical="center" wrapText="1"/>
    </xf>
    <xf numFmtId="164" fontId="18" fillId="3" borderId="1" xfId="1" applyNumberFormat="1" applyFont="1" applyFill="1" applyBorder="1" applyAlignment="1">
      <alignment horizontal="center" vertical="center" wrapText="1"/>
    </xf>
    <xf numFmtId="0" fontId="18" fillId="2" borderId="1" xfId="0" applyFont="1" applyFill="1" applyBorder="1" applyAlignment="1">
      <alignment horizontal="center" vertical="center"/>
    </xf>
    <xf numFmtId="0" fontId="18" fillId="0" borderId="1" xfId="0" applyFont="1" applyBorder="1" applyAlignment="1">
      <alignment horizontal="left" vertical="center" wrapText="1"/>
    </xf>
    <xf numFmtId="0" fontId="17" fillId="2" borderId="0" xfId="0" applyFont="1" applyFill="1" applyAlignment="1">
      <alignment horizontal="center" vertical="center"/>
    </xf>
    <xf numFmtId="0" fontId="17" fillId="2" borderId="1" xfId="0" applyFont="1" applyFill="1" applyBorder="1"/>
    <xf numFmtId="164" fontId="17" fillId="2" borderId="1" xfId="2" applyNumberFormat="1" applyFont="1" applyFill="1" applyBorder="1" applyAlignment="1">
      <alignment horizontal="left" vertical="center" wrapText="1"/>
    </xf>
    <xf numFmtId="3" fontId="18" fillId="2" borderId="1" xfId="0" applyNumberFormat="1" applyFont="1" applyFill="1" applyBorder="1" applyAlignment="1">
      <alignment horizontal="center" vertical="center" wrapText="1"/>
    </xf>
    <xf numFmtId="0" fontId="18" fillId="2" borderId="1" xfId="0" applyFont="1" applyFill="1" applyBorder="1" applyAlignment="1">
      <alignment vertical="center" wrapText="1"/>
    </xf>
    <xf numFmtId="167" fontId="10" fillId="2" borderId="0" xfId="0" applyNumberFormat="1" applyFont="1" applyFill="1"/>
    <xf numFmtId="164" fontId="11" fillId="2" borderId="10" xfId="2" applyNumberFormat="1" applyFont="1" applyFill="1" applyBorder="1" applyAlignment="1">
      <alignment horizontal="center" vertical="center" wrapText="1"/>
    </xf>
    <xf numFmtId="164" fontId="10" fillId="2" borderId="10" xfId="2" applyNumberFormat="1" applyFont="1" applyFill="1" applyBorder="1" applyAlignment="1">
      <alignment horizontal="center" vertical="center" wrapText="1"/>
    </xf>
    <xf numFmtId="164" fontId="10" fillId="2" borderId="0" xfId="2" applyNumberFormat="1" applyFont="1" applyFill="1" applyBorder="1" applyAlignment="1">
      <alignment horizontal="center" vertical="center" wrapText="1"/>
    </xf>
    <xf numFmtId="0" fontId="20" fillId="2" borderId="1" xfId="0" applyFont="1" applyFill="1" applyBorder="1" applyAlignment="1">
      <alignment horizontal="center" vertical="center"/>
    </xf>
    <xf numFmtId="3" fontId="20" fillId="2" borderId="1" xfId="0" applyNumberFormat="1" applyFont="1" applyFill="1" applyBorder="1" applyAlignment="1">
      <alignment horizontal="right" vertical="center" wrapText="1"/>
    </xf>
    <xf numFmtId="0" fontId="14" fillId="2" borderId="6" xfId="0" applyFont="1" applyFill="1" applyBorder="1" applyAlignment="1">
      <alignment vertical="center" wrapText="1"/>
    </xf>
    <xf numFmtId="0" fontId="14" fillId="2" borderId="7" xfId="0" applyFont="1" applyFill="1" applyBorder="1" applyAlignment="1">
      <alignment vertical="center" wrapText="1"/>
    </xf>
    <xf numFmtId="0" fontId="14" fillId="2" borderId="8" xfId="0" applyFont="1" applyFill="1" applyBorder="1" applyAlignment="1">
      <alignment vertical="center" wrapText="1"/>
    </xf>
    <xf numFmtId="0" fontId="14" fillId="2" borderId="9" xfId="0" applyFont="1" applyFill="1" applyBorder="1" applyAlignment="1">
      <alignment vertical="center" wrapText="1"/>
    </xf>
    <xf numFmtId="3" fontId="21" fillId="2"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wrapText="1"/>
    </xf>
    <xf numFmtId="3" fontId="14" fillId="2" borderId="3"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164" fontId="18" fillId="3" borderId="4" xfId="1" applyNumberFormat="1" applyFont="1" applyFill="1" applyBorder="1" applyAlignment="1">
      <alignment horizontal="center" vertical="center" wrapText="1"/>
    </xf>
    <xf numFmtId="3" fontId="18" fillId="2" borderId="3" xfId="0" applyNumberFormat="1" applyFont="1" applyFill="1" applyBorder="1" applyAlignment="1">
      <alignment horizontal="center" vertical="center" wrapText="1"/>
    </xf>
    <xf numFmtId="0" fontId="12"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3" fontId="14" fillId="2" borderId="4" xfId="0" applyNumberFormat="1" applyFont="1" applyFill="1" applyBorder="1" applyAlignment="1">
      <alignment horizontal="right" vertical="center" wrapText="1"/>
    </xf>
    <xf numFmtId="3" fontId="18" fillId="2" borderId="3" xfId="0" applyNumberFormat="1" applyFont="1" applyFill="1" applyBorder="1" applyAlignment="1">
      <alignment horizontal="right" vertical="center" wrapText="1"/>
    </xf>
    <xf numFmtId="3" fontId="16" fillId="2" borderId="3" xfId="0" applyNumberFormat="1" applyFont="1" applyFill="1" applyBorder="1" applyAlignment="1">
      <alignment horizontal="right" vertical="center" wrapText="1"/>
    </xf>
    <xf numFmtId="3" fontId="16" fillId="2" borderId="2" xfId="0" applyNumberFormat="1" applyFont="1" applyFill="1" applyBorder="1" applyAlignment="1">
      <alignment horizontal="right" vertical="center" wrapText="1"/>
    </xf>
    <xf numFmtId="3" fontId="16" fillId="2" borderId="4" xfId="0" applyNumberFormat="1" applyFont="1" applyFill="1" applyBorder="1" applyAlignment="1">
      <alignment horizontal="right" vertical="center" wrapText="1"/>
    </xf>
    <xf numFmtId="0" fontId="17" fillId="2" borderId="4" xfId="0" applyFont="1" applyFill="1" applyBorder="1"/>
    <xf numFmtId="164" fontId="17" fillId="0" borderId="1" xfId="1"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justify" vertical="center"/>
    </xf>
    <xf numFmtId="3" fontId="12" fillId="2" borderId="1" xfId="0" applyNumberFormat="1" applyFont="1" applyFill="1" applyBorder="1" applyAlignment="1">
      <alignment horizontal="right" vertical="center" wrapText="1"/>
    </xf>
    <xf numFmtId="3" fontId="12"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22" fillId="2" borderId="1" xfId="0" quotePrefix="1" applyNumberFormat="1" applyFont="1" applyFill="1" applyBorder="1" applyAlignment="1">
      <alignment horizontal="center" vertical="center" wrapText="1"/>
    </xf>
    <xf numFmtId="164" fontId="22" fillId="2" borderId="1" xfId="2" applyNumberFormat="1" applyFont="1" applyFill="1" applyBorder="1" applyAlignment="1">
      <alignment horizontal="left" vertical="center" wrapText="1"/>
    </xf>
    <xf numFmtId="164" fontId="22" fillId="2" borderId="1" xfId="2" applyNumberFormat="1" applyFont="1" applyFill="1" applyBorder="1" applyAlignment="1">
      <alignment horizontal="center" vertical="center" wrapText="1"/>
    </xf>
    <xf numFmtId="3" fontId="22" fillId="2" borderId="1" xfId="0" applyNumberFormat="1" applyFont="1" applyFill="1" applyBorder="1" applyAlignment="1">
      <alignment horizontal="right" vertical="center" wrapText="1"/>
    </xf>
    <xf numFmtId="164" fontId="22" fillId="0" borderId="1" xfId="1" applyNumberFormat="1"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0" xfId="0" applyFont="1" applyFill="1"/>
    <xf numFmtId="0" fontId="22" fillId="2" borderId="1" xfId="0" applyFont="1" applyFill="1" applyBorder="1" applyAlignment="1">
      <alignment horizontal="center" vertical="center"/>
    </xf>
    <xf numFmtId="0" fontId="22" fillId="2" borderId="1" xfId="0" applyFont="1" applyFill="1" applyBorder="1" applyAlignment="1">
      <alignment vertical="center" wrapText="1"/>
    </xf>
    <xf numFmtId="3" fontId="22" fillId="2" borderId="3" xfId="0" applyNumberFormat="1" applyFont="1" applyFill="1" applyBorder="1" applyAlignment="1">
      <alignment horizontal="right" vertical="center" wrapText="1"/>
    </xf>
    <xf numFmtId="164" fontId="22" fillId="3" borderId="4" xfId="1" applyNumberFormat="1" applyFont="1" applyFill="1" applyBorder="1" applyAlignment="1">
      <alignment horizontal="center" vertical="center" wrapText="1"/>
    </xf>
    <xf numFmtId="164" fontId="23" fillId="2" borderId="0" xfId="2" applyNumberFormat="1" applyFont="1" applyFill="1" applyBorder="1" applyAlignment="1">
      <alignment horizontal="center" vertical="center" wrapText="1"/>
    </xf>
    <xf numFmtId="3" fontId="23" fillId="2" borderId="0" xfId="0" applyNumberFormat="1" applyFont="1" applyFill="1"/>
    <xf numFmtId="167" fontId="23" fillId="2" borderId="0" xfId="0" applyNumberFormat="1" applyFont="1" applyFill="1"/>
    <xf numFmtId="0" fontId="24" fillId="2" borderId="0" xfId="0" applyFont="1" applyFill="1"/>
    <xf numFmtId="3" fontId="14" fillId="2" borderId="3" xfId="0" applyNumberFormat="1" applyFont="1" applyFill="1" applyBorder="1" applyAlignment="1">
      <alignment horizontal="right" vertical="center" wrapText="1"/>
    </xf>
    <xf numFmtId="0" fontId="22" fillId="0" borderId="1" xfId="0" applyFont="1" applyBorder="1" applyAlignment="1">
      <alignment horizontal="left" vertical="center" wrapText="1"/>
    </xf>
    <xf numFmtId="0" fontId="22" fillId="2" borderId="0" xfId="0" applyFont="1" applyFill="1" applyAlignment="1">
      <alignment horizontal="center" vertical="center"/>
    </xf>
    <xf numFmtId="0" fontId="22" fillId="2" borderId="1" xfId="0" applyFont="1" applyFill="1" applyBorder="1"/>
    <xf numFmtId="0" fontId="22" fillId="2" borderId="4" xfId="0" applyFont="1" applyFill="1" applyBorder="1"/>
    <xf numFmtId="3" fontId="22" fillId="2" borderId="4"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justify" vertical="center"/>
    </xf>
    <xf numFmtId="3" fontId="21" fillId="2" borderId="2" xfId="0" applyNumberFormat="1" applyFont="1" applyFill="1" applyBorder="1" applyAlignment="1">
      <alignment horizontal="right" vertical="center" wrapText="1"/>
    </xf>
    <xf numFmtId="3" fontId="21" fillId="2" borderId="2" xfId="0" applyNumberFormat="1" applyFont="1" applyFill="1" applyBorder="1" applyAlignment="1">
      <alignment horizontal="center" vertical="center" wrapText="1"/>
    </xf>
    <xf numFmtId="0" fontId="24"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3" fontId="25" fillId="2" borderId="1" xfId="0" applyNumberFormat="1" applyFont="1" applyFill="1" applyBorder="1" applyAlignment="1">
      <alignment horizontal="right" vertical="center" wrapText="1"/>
    </xf>
    <xf numFmtId="0" fontId="12" fillId="2" borderId="0" xfId="0" applyFont="1" applyFill="1" applyAlignment="1">
      <alignment horizontal="center" vertical="center" wrapText="1"/>
    </xf>
    <xf numFmtId="3" fontId="14" fillId="2" borderId="3"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164" fontId="18" fillId="3" borderId="4" xfId="1" applyNumberFormat="1" applyFont="1" applyFill="1" applyBorder="1" applyAlignment="1">
      <alignment horizontal="center" vertical="center" wrapText="1"/>
    </xf>
    <xf numFmtId="3" fontId="18" fillId="2" borderId="3"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 fontId="9" fillId="2" borderId="0" xfId="0" applyNumberFormat="1" applyFont="1" applyFill="1"/>
    <xf numFmtId="3" fontId="18" fillId="2" borderId="3" xfId="0" applyNumberFormat="1" applyFont="1" applyFill="1" applyBorder="1" applyAlignment="1">
      <alignment horizontal="center" vertical="center" wrapText="1"/>
    </xf>
    <xf numFmtId="0" fontId="14" fillId="2" borderId="1" xfId="0" applyFont="1" applyFill="1" applyBorder="1" applyAlignment="1">
      <alignment horizontal="justify" vertical="center" wrapText="1"/>
    </xf>
    <xf numFmtId="0" fontId="20" fillId="2" borderId="1" xfId="0" applyFont="1" applyFill="1" applyBorder="1" applyAlignment="1">
      <alignment horizontal="justify" vertical="center"/>
    </xf>
    <xf numFmtId="3" fontId="20"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2" fillId="2" borderId="0" xfId="0" applyFont="1" applyFill="1" applyAlignment="1">
      <alignment horizontal="center"/>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xf numFmtId="0" fontId="13" fillId="2" borderId="5" xfId="0" applyFont="1" applyFill="1" applyBorder="1" applyAlignment="1">
      <alignment horizontal="right"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3" fontId="14" fillId="2" borderId="3"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164" fontId="18" fillId="3" borderId="2" xfId="1" applyNumberFormat="1" applyFont="1" applyFill="1" applyBorder="1" applyAlignment="1">
      <alignment horizontal="center" vertical="center" wrapText="1"/>
    </xf>
    <xf numFmtId="164" fontId="18" fillId="3" borderId="4" xfId="1" applyNumberFormat="1"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3" fontId="16" fillId="2" borderId="4" xfId="0" applyNumberFormat="1" applyFont="1" applyFill="1" applyBorder="1" applyAlignment="1">
      <alignment horizontal="center" vertical="center" wrapText="1"/>
    </xf>
    <xf numFmtId="3" fontId="18" fillId="2" borderId="3" xfId="0" applyNumberFormat="1" applyFont="1" applyFill="1" applyBorder="1" applyAlignment="1">
      <alignment horizontal="center" vertical="center" wrapText="1"/>
    </xf>
    <xf numFmtId="3" fontId="18" fillId="2" borderId="4" xfId="0" applyNumberFormat="1" applyFont="1" applyFill="1" applyBorder="1" applyAlignment="1">
      <alignment horizontal="center" vertical="center" wrapText="1"/>
    </xf>
  </cellXfs>
  <cellStyles count="3">
    <cellStyle name="Comma" xfId="1" builtinId="3"/>
    <cellStyle name="Comma 11"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10-1809/Documents/Zalo%20Received%20Files/1.%20PH&#431;&#416;NG%20&#193;N%20PH&#194;N%20B&#7892;%20V&#7888;N%20%20&#272;&#7846;U%20T&#431;%20C&#211;%20H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1 (2)"/>
      <sheetName val="DA 2"/>
      <sheetName val="DA 2 Thanh"/>
      <sheetName val="DA 4 "/>
      <sheetName val="DA 4 Thanh"/>
      <sheetName val="DA 5- TDA1"/>
      <sheetName val="DA 5 TDA1 ĐC"/>
      <sheetName val="DA 6- TDA1 (2)"/>
      <sheetName val="DA 9-TDA1 PA1"/>
      <sheetName val="DA 9 -TDA 1 PA2"/>
      <sheetName val="DA 10 - TDA 2"/>
    </sheetNames>
    <sheetDataSet>
      <sheetData sheetId="0"/>
      <sheetData sheetId="1"/>
      <sheetData sheetId="2"/>
      <sheetData sheetId="3"/>
      <sheetData sheetId="4">
        <row r="9">
          <cell r="K9">
            <v>23126.47618934634</v>
          </cell>
          <cell r="M9">
            <v>7050.7038155665286</v>
          </cell>
        </row>
        <row r="13">
          <cell r="K13">
            <v>11792.250043964574</v>
          </cell>
          <cell r="M13">
            <v>3595.1721178083035</v>
          </cell>
        </row>
        <row r="16">
          <cell r="K16">
            <v>18677.007673562355</v>
          </cell>
          <cell r="M16">
            <v>5694.1683717476681</v>
          </cell>
        </row>
        <row r="21">
          <cell r="K21">
            <v>32735.160456729092</v>
          </cell>
          <cell r="M21">
            <v>9980.1594867171152</v>
          </cell>
        </row>
        <row r="27">
          <cell r="K27">
            <v>7458.1056363976413</v>
          </cell>
          <cell r="M27">
            <v>2273.7962081603828</v>
          </cell>
        </row>
        <row r="31">
          <cell r="M31">
            <v>8928</v>
          </cell>
        </row>
        <row r="32">
          <cell r="M32">
            <v>2000</v>
          </cell>
        </row>
      </sheetData>
      <sheetData sheetId="5"/>
      <sheetData sheetId="6"/>
      <sheetData sheetId="7"/>
      <sheetData sheetId="8"/>
      <sheetData sheetId="9">
        <row r="10">
          <cell r="G10">
            <v>6409.3</v>
          </cell>
          <cell r="I10">
            <v>1988.2249999999999</v>
          </cell>
        </row>
        <row r="13">
          <cell r="G13">
            <v>96139.5</v>
          </cell>
          <cell r="I13">
            <v>29823.375</v>
          </cell>
        </row>
        <row r="36">
          <cell r="G36">
            <v>25637.200000000001</v>
          </cell>
          <cell r="I36">
            <v>7952.9</v>
          </cell>
        </row>
        <row r="44">
          <cell r="I44">
            <v>10250</v>
          </cell>
        </row>
        <row r="45">
          <cell r="I45">
            <v>5113.5</v>
          </cell>
        </row>
      </sheetData>
      <sheetData sheetId="10">
        <row r="8">
          <cell r="H8">
            <v>1400</v>
          </cell>
          <cell r="J8">
            <v>445.40540540540542</v>
          </cell>
        </row>
        <row r="12">
          <cell r="H12">
            <v>497.77777777777777</v>
          </cell>
          <cell r="J12">
            <v>158.36636636636638</v>
          </cell>
        </row>
        <row r="15">
          <cell r="H15">
            <v>948.88888888888903</v>
          </cell>
          <cell r="J15">
            <v>301.88588588588584</v>
          </cell>
        </row>
        <row r="20">
          <cell r="H20">
            <v>1866.6666666666667</v>
          </cell>
          <cell r="J20">
            <v>593.87387387387389</v>
          </cell>
        </row>
        <row r="26">
          <cell r="H26">
            <v>466.66666666666669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
  <sheetViews>
    <sheetView tabSelected="1" view="pageLayout" zoomScaleNormal="100" workbookViewId="0">
      <selection activeCell="A5" sqref="A5:A6"/>
    </sheetView>
  </sheetViews>
  <sheetFormatPr defaultColWidth="9" defaultRowHeight="13.2" x14ac:dyDescent="0.25"/>
  <cols>
    <col min="1" max="1" width="5" style="1" customWidth="1"/>
    <col min="2" max="2" width="52.59765625" style="1" customWidth="1"/>
    <col min="3" max="3" width="14.19921875" style="12" customWidth="1"/>
    <col min="4" max="4" width="9.59765625" style="12" hidden="1" customWidth="1"/>
    <col min="5" max="5" width="10.19921875" style="1" customWidth="1"/>
    <col min="6" max="6" width="8.69921875" style="1" customWidth="1"/>
    <col min="7" max="7" width="9.69921875" style="1" hidden="1" customWidth="1"/>
    <col min="8" max="8" width="9.69921875" style="1" customWidth="1"/>
    <col min="9" max="9" width="9.59765625" style="3" customWidth="1"/>
    <col min="10" max="10" width="8.19921875" style="1" hidden="1" customWidth="1"/>
    <col min="11" max="11" width="8.69921875" style="1" hidden="1" customWidth="1"/>
    <col min="12" max="12" width="9" style="1" hidden="1" customWidth="1"/>
    <col min="13" max="13" width="18.19921875" style="15" customWidth="1"/>
    <col min="14" max="14" width="29.09765625" style="1" hidden="1" customWidth="1"/>
    <col min="15" max="15" width="9" style="1"/>
    <col min="16" max="16" width="6.8984375" style="1" customWidth="1"/>
    <col min="17" max="17" width="6" style="1" customWidth="1"/>
    <col min="18" max="18" width="5.69921875" style="1" customWidth="1"/>
    <col min="19" max="19" width="5.19921875" style="1" customWidth="1"/>
    <col min="20" max="16384" width="9" style="1"/>
  </cols>
  <sheetData>
    <row r="1" spans="1:20" ht="15.6" x14ac:dyDescent="0.3">
      <c r="A1" s="157" t="s">
        <v>109</v>
      </c>
      <c r="B1" s="157"/>
      <c r="C1" s="157"/>
      <c r="D1" s="157"/>
      <c r="E1" s="157"/>
      <c r="F1" s="157"/>
      <c r="G1" s="157"/>
      <c r="H1" s="157"/>
      <c r="I1" s="157"/>
      <c r="J1" s="157"/>
      <c r="K1" s="157"/>
      <c r="L1" s="157"/>
      <c r="M1" s="157"/>
    </row>
    <row r="2" spans="1:20" ht="29.25" customHeight="1" x14ac:dyDescent="0.25">
      <c r="A2" s="158" t="s">
        <v>103</v>
      </c>
      <c r="B2" s="158"/>
      <c r="C2" s="158"/>
      <c r="D2" s="158"/>
      <c r="E2" s="158"/>
      <c r="F2" s="158"/>
      <c r="G2" s="158"/>
      <c r="H2" s="158"/>
      <c r="I2" s="158"/>
      <c r="J2" s="158"/>
      <c r="K2" s="158"/>
      <c r="L2" s="158"/>
      <c r="M2" s="158"/>
    </row>
    <row r="3" spans="1:20" ht="15.6" x14ac:dyDescent="0.25">
      <c r="A3" s="159" t="s">
        <v>118</v>
      </c>
      <c r="B3" s="159"/>
      <c r="C3" s="159"/>
      <c r="D3" s="159"/>
      <c r="E3" s="159"/>
      <c r="F3" s="159"/>
      <c r="G3" s="159"/>
      <c r="H3" s="159"/>
      <c r="I3" s="159"/>
      <c r="J3" s="159"/>
      <c r="K3" s="159"/>
      <c r="L3" s="159"/>
      <c r="M3" s="159"/>
    </row>
    <row r="4" spans="1:20" ht="15.6" x14ac:dyDescent="0.25">
      <c r="A4" s="95"/>
      <c r="B4" s="95"/>
      <c r="C4" s="95"/>
      <c r="D4" s="95"/>
      <c r="E4" s="95"/>
      <c r="F4" s="95"/>
      <c r="G4" s="95"/>
      <c r="H4" s="95"/>
      <c r="I4" s="160" t="s">
        <v>93</v>
      </c>
      <c r="J4" s="160"/>
      <c r="K4" s="160"/>
      <c r="L4" s="160"/>
      <c r="M4" s="160"/>
    </row>
    <row r="5" spans="1:20" ht="24.75" customHeight="1" x14ac:dyDescent="0.25">
      <c r="A5" s="161" t="s">
        <v>0</v>
      </c>
      <c r="B5" s="161" t="s">
        <v>23</v>
      </c>
      <c r="C5" s="163" t="s">
        <v>26</v>
      </c>
      <c r="D5" s="161" t="s">
        <v>24</v>
      </c>
      <c r="E5" s="165" t="s">
        <v>25</v>
      </c>
      <c r="F5" s="165" t="s">
        <v>99</v>
      </c>
      <c r="G5" s="85" t="s">
        <v>82</v>
      </c>
      <c r="H5" s="167" t="s">
        <v>102</v>
      </c>
      <c r="I5" s="167" t="s">
        <v>104</v>
      </c>
      <c r="J5" s="86"/>
      <c r="K5" s="167" t="s">
        <v>100</v>
      </c>
      <c r="L5" s="167" t="s">
        <v>101</v>
      </c>
      <c r="M5" s="165" t="s">
        <v>77</v>
      </c>
      <c r="N5" s="155" t="s">
        <v>54</v>
      </c>
    </row>
    <row r="6" spans="1:20" ht="44.25" customHeight="1" x14ac:dyDescent="0.25">
      <c r="A6" s="162"/>
      <c r="B6" s="162"/>
      <c r="C6" s="164"/>
      <c r="D6" s="162"/>
      <c r="E6" s="166"/>
      <c r="F6" s="166"/>
      <c r="G6" s="87"/>
      <c r="H6" s="167"/>
      <c r="I6" s="167"/>
      <c r="J6" s="88"/>
      <c r="K6" s="167"/>
      <c r="L6" s="167"/>
      <c r="M6" s="166"/>
      <c r="N6" s="156"/>
      <c r="O6" s="4"/>
      <c r="P6" s="13"/>
      <c r="Q6" s="13"/>
      <c r="R6" s="13"/>
      <c r="S6" s="13"/>
    </row>
    <row r="7" spans="1:20" ht="26.25" customHeight="1" x14ac:dyDescent="0.25">
      <c r="A7" s="34"/>
      <c r="B7" s="34" t="s">
        <v>1</v>
      </c>
      <c r="C7" s="96"/>
      <c r="D7" s="34"/>
      <c r="E7" s="35"/>
      <c r="F7" s="36">
        <f>F8+F22+F29+F41+F50+F51+F61</f>
        <v>800193</v>
      </c>
      <c r="G7" s="36" t="e">
        <f>G8+G22+G29+G41+G50+G51+G61</f>
        <v>#REF!</v>
      </c>
      <c r="H7" s="36">
        <f>H8+H22+H29+H41+H50+H51+H61</f>
        <v>156999</v>
      </c>
      <c r="I7" s="36">
        <f>I8+I22+I29+I41+I50+I51+I61</f>
        <v>206067.53153153154</v>
      </c>
      <c r="J7" s="36"/>
      <c r="K7" s="97"/>
      <c r="L7" s="97"/>
      <c r="M7" s="92"/>
      <c r="N7" s="30" t="s">
        <v>55</v>
      </c>
      <c r="O7" s="8"/>
      <c r="P7" s="13"/>
      <c r="Q7" s="13"/>
      <c r="R7" s="13"/>
      <c r="S7" s="13"/>
      <c r="T7" s="4"/>
    </row>
    <row r="8" spans="1:20" ht="35.25" customHeight="1" x14ac:dyDescent="0.25">
      <c r="A8" s="34" t="s">
        <v>16</v>
      </c>
      <c r="B8" s="37" t="s">
        <v>2</v>
      </c>
      <c r="C8" s="96"/>
      <c r="D8" s="96"/>
      <c r="E8" s="36"/>
      <c r="F8" s="36">
        <v>118702</v>
      </c>
      <c r="G8" s="36" t="e">
        <f t="shared" ref="G8:H8" si="0">SUM(G15,G9)</f>
        <v>#REF!</v>
      </c>
      <c r="H8" s="36">
        <f t="shared" si="0"/>
        <v>34311</v>
      </c>
      <c r="I8" s="36">
        <v>38722</v>
      </c>
      <c r="J8" s="36"/>
      <c r="K8" s="36">
        <f>(F8-H8-I8)/2</f>
        <v>22834.5</v>
      </c>
      <c r="L8" s="36">
        <f>K8</f>
        <v>22834.5</v>
      </c>
      <c r="M8" s="35"/>
      <c r="N8" s="16"/>
      <c r="P8" s="4"/>
    </row>
    <row r="9" spans="1:20" s="7" customFormat="1" ht="20.25" customHeight="1" x14ac:dyDescent="0.3">
      <c r="A9" s="38" t="s">
        <v>22</v>
      </c>
      <c r="B9" s="39" t="s">
        <v>53</v>
      </c>
      <c r="C9" s="40"/>
      <c r="D9" s="40"/>
      <c r="E9" s="41"/>
      <c r="F9" s="41">
        <f t="shared" ref="F9:H9" si="1">SUM(F10:F14)</f>
        <v>51000</v>
      </c>
      <c r="G9" s="41">
        <f t="shared" si="1"/>
        <v>14500</v>
      </c>
      <c r="H9" s="41">
        <f t="shared" si="1"/>
        <v>5500</v>
      </c>
      <c r="I9" s="41">
        <v>14500</v>
      </c>
      <c r="J9" s="41">
        <f t="shared" ref="J9" si="2">(G9-I9)/3</f>
        <v>0</v>
      </c>
      <c r="K9" s="41">
        <f>I9</f>
        <v>14500</v>
      </c>
      <c r="L9" s="41">
        <f>K9</f>
        <v>14500</v>
      </c>
      <c r="M9" s="42"/>
      <c r="N9" s="33" t="s">
        <v>76</v>
      </c>
    </row>
    <row r="10" spans="1:20" s="10" customFormat="1" ht="31.2" x14ac:dyDescent="0.25">
      <c r="A10" s="43">
        <v>1</v>
      </c>
      <c r="B10" s="44" t="s">
        <v>3</v>
      </c>
      <c r="C10" s="43"/>
      <c r="D10" s="43"/>
      <c r="E10" s="45"/>
      <c r="F10" s="45">
        <f>500*21</f>
        <v>10500</v>
      </c>
      <c r="G10" s="45">
        <f>I10+J10</f>
        <v>3000</v>
      </c>
      <c r="H10" s="45">
        <v>1500</v>
      </c>
      <c r="I10" s="45">
        <v>3000</v>
      </c>
      <c r="J10" s="45"/>
      <c r="K10" s="45"/>
      <c r="L10" s="45"/>
      <c r="M10" s="51" t="s">
        <v>43</v>
      </c>
      <c r="N10" s="14" t="s">
        <v>31</v>
      </c>
      <c r="P10" s="10">
        <v>3123</v>
      </c>
    </row>
    <row r="11" spans="1:20" s="10" customFormat="1" ht="31.2" x14ac:dyDescent="0.25">
      <c r="A11" s="43">
        <v>2</v>
      </c>
      <c r="B11" s="44" t="s">
        <v>4</v>
      </c>
      <c r="C11" s="43"/>
      <c r="D11" s="43"/>
      <c r="E11" s="45"/>
      <c r="F11" s="45">
        <f>500*19</f>
        <v>9500</v>
      </c>
      <c r="G11" s="45">
        <f>I11+J11</f>
        <v>3000</v>
      </c>
      <c r="H11" s="45">
        <v>500</v>
      </c>
      <c r="I11" s="45">
        <v>3000</v>
      </c>
      <c r="J11" s="45"/>
      <c r="K11" s="45"/>
      <c r="L11" s="45"/>
      <c r="M11" s="51" t="s">
        <v>44</v>
      </c>
      <c r="N11" s="14" t="s">
        <v>63</v>
      </c>
      <c r="P11" s="10">
        <v>2825</v>
      </c>
    </row>
    <row r="12" spans="1:20" s="10" customFormat="1" ht="31.2" x14ac:dyDescent="0.25">
      <c r="A12" s="43">
        <v>3</v>
      </c>
      <c r="B12" s="44" t="s">
        <v>5</v>
      </c>
      <c r="C12" s="43"/>
      <c r="D12" s="43"/>
      <c r="E12" s="45"/>
      <c r="F12" s="45">
        <f>500*22</f>
        <v>11000</v>
      </c>
      <c r="G12" s="45">
        <f>I12+J12</f>
        <v>3000</v>
      </c>
      <c r="H12" s="46">
        <v>1000</v>
      </c>
      <c r="I12" s="45">
        <v>3000</v>
      </c>
      <c r="J12" s="45"/>
      <c r="K12" s="45"/>
      <c r="L12" s="45"/>
      <c r="M12" s="51" t="s">
        <v>39</v>
      </c>
      <c r="N12" s="14" t="s">
        <v>64</v>
      </c>
      <c r="P12" s="10">
        <v>3271</v>
      </c>
    </row>
    <row r="13" spans="1:20" s="10" customFormat="1" ht="31.2" x14ac:dyDescent="0.25">
      <c r="A13" s="43">
        <v>4</v>
      </c>
      <c r="B13" s="44" t="s">
        <v>6</v>
      </c>
      <c r="C13" s="43"/>
      <c r="D13" s="43"/>
      <c r="E13" s="45"/>
      <c r="F13" s="45">
        <f>500*36</f>
        <v>18000</v>
      </c>
      <c r="G13" s="45">
        <f>I13+J13</f>
        <v>5000</v>
      </c>
      <c r="H13" s="45">
        <v>2000</v>
      </c>
      <c r="I13" s="45">
        <v>5000</v>
      </c>
      <c r="J13" s="45"/>
      <c r="K13" s="45"/>
      <c r="L13" s="45"/>
      <c r="M13" s="51" t="s">
        <v>40</v>
      </c>
      <c r="N13" s="14" t="s">
        <v>65</v>
      </c>
      <c r="P13" s="10">
        <v>5353</v>
      </c>
    </row>
    <row r="14" spans="1:20" s="10" customFormat="1" ht="31.2" x14ac:dyDescent="0.25">
      <c r="A14" s="43">
        <v>5</v>
      </c>
      <c r="B14" s="44" t="s">
        <v>7</v>
      </c>
      <c r="C14" s="43"/>
      <c r="D14" s="43"/>
      <c r="E14" s="45"/>
      <c r="F14" s="45">
        <f>500*4</f>
        <v>2000</v>
      </c>
      <c r="G14" s="45">
        <f>I14+J14</f>
        <v>500</v>
      </c>
      <c r="H14" s="45">
        <v>500</v>
      </c>
      <c r="I14" s="45">
        <v>500</v>
      </c>
      <c r="J14" s="45"/>
      <c r="K14" s="45"/>
      <c r="L14" s="45"/>
      <c r="M14" s="51" t="s">
        <v>41</v>
      </c>
      <c r="N14" s="14" t="s">
        <v>63</v>
      </c>
      <c r="P14" s="10">
        <v>595</v>
      </c>
    </row>
    <row r="15" spans="1:20" s="6" customFormat="1" ht="24" customHeight="1" x14ac:dyDescent="0.25">
      <c r="A15" s="135" t="s">
        <v>36</v>
      </c>
      <c r="B15" s="136" t="s">
        <v>37</v>
      </c>
      <c r="C15" s="137"/>
      <c r="D15" s="137"/>
      <c r="E15" s="138"/>
      <c r="F15" s="138">
        <f>F8-F9</f>
        <v>67702</v>
      </c>
      <c r="G15" s="138" t="e">
        <f>SUM(#REF!)</f>
        <v>#REF!</v>
      </c>
      <c r="H15" s="138">
        <v>28811</v>
      </c>
      <c r="I15" s="138">
        <f>I8-I9</f>
        <v>24222</v>
      </c>
      <c r="J15" s="41"/>
      <c r="K15" s="41">
        <f>(F15-H15-I15)/2</f>
        <v>7334.5</v>
      </c>
      <c r="L15" s="41">
        <f>K15</f>
        <v>7334.5</v>
      </c>
      <c r="M15" s="47"/>
      <c r="N15" s="18"/>
      <c r="O15" s="20"/>
      <c r="P15" s="19"/>
    </row>
    <row r="16" spans="1:20" s="6" customFormat="1" ht="31.2" x14ac:dyDescent="0.25">
      <c r="A16" s="48">
        <v>1</v>
      </c>
      <c r="B16" s="49" t="s">
        <v>59</v>
      </c>
      <c r="C16" s="50" t="s">
        <v>85</v>
      </c>
      <c r="D16" s="137"/>
      <c r="E16" s="46" t="s">
        <v>27</v>
      </c>
      <c r="F16" s="46">
        <v>5500</v>
      </c>
      <c r="G16" s="138"/>
      <c r="H16" s="46">
        <v>5426.7294520547948</v>
      </c>
      <c r="I16" s="138"/>
      <c r="J16" s="41"/>
      <c r="K16" s="41"/>
      <c r="L16" s="41"/>
      <c r="M16" s="51" t="s">
        <v>43</v>
      </c>
      <c r="N16" s="18"/>
      <c r="O16" s="20"/>
      <c r="P16" s="19">
        <v>5427</v>
      </c>
    </row>
    <row r="17" spans="1:16" s="6" customFormat="1" ht="46.8" x14ac:dyDescent="0.25">
      <c r="A17" s="48">
        <v>2</v>
      </c>
      <c r="B17" s="49" t="s">
        <v>60</v>
      </c>
      <c r="C17" s="50" t="s">
        <v>86</v>
      </c>
      <c r="D17" s="137"/>
      <c r="E17" s="46" t="s">
        <v>27</v>
      </c>
      <c r="F17" s="46">
        <v>5200</v>
      </c>
      <c r="G17" s="138"/>
      <c r="H17" s="46">
        <v>5130.7260273972606</v>
      </c>
      <c r="I17" s="138"/>
      <c r="J17" s="41"/>
      <c r="K17" s="41"/>
      <c r="L17" s="41"/>
      <c r="M17" s="51" t="s">
        <v>44</v>
      </c>
      <c r="N17" s="18"/>
      <c r="O17" s="20"/>
      <c r="P17" s="19">
        <v>5131</v>
      </c>
    </row>
    <row r="18" spans="1:16" s="6" customFormat="1" ht="31.2" x14ac:dyDescent="0.25">
      <c r="A18" s="48">
        <v>3</v>
      </c>
      <c r="B18" s="49" t="s">
        <v>61</v>
      </c>
      <c r="C18" s="50" t="s">
        <v>87</v>
      </c>
      <c r="D18" s="137"/>
      <c r="E18" s="46" t="s">
        <v>27</v>
      </c>
      <c r="F18" s="46">
        <v>6000</v>
      </c>
      <c r="G18" s="138"/>
      <c r="H18" s="46">
        <v>5920.0684931506848</v>
      </c>
      <c r="I18" s="138"/>
      <c r="J18" s="41"/>
      <c r="K18" s="41"/>
      <c r="L18" s="41"/>
      <c r="M18" s="51" t="s">
        <v>39</v>
      </c>
      <c r="N18" s="18"/>
      <c r="O18" s="20"/>
      <c r="P18" s="19">
        <v>5920</v>
      </c>
    </row>
    <row r="19" spans="1:16" s="6" customFormat="1" ht="31.2" x14ac:dyDescent="0.25">
      <c r="A19" s="48">
        <v>4</v>
      </c>
      <c r="B19" s="49" t="s">
        <v>57</v>
      </c>
      <c r="C19" s="50" t="s">
        <v>88</v>
      </c>
      <c r="D19" s="137"/>
      <c r="E19" s="46" t="s">
        <v>27</v>
      </c>
      <c r="F19" s="46">
        <v>6000</v>
      </c>
      <c r="G19" s="138"/>
      <c r="H19" s="46">
        <v>5920.0684931506848</v>
      </c>
      <c r="I19" s="138"/>
      <c r="J19" s="41"/>
      <c r="K19" s="41"/>
      <c r="L19" s="41"/>
      <c r="M19" s="51" t="s">
        <v>40</v>
      </c>
      <c r="N19" s="18"/>
      <c r="O19" s="20"/>
      <c r="P19" s="19">
        <v>5920</v>
      </c>
    </row>
    <row r="20" spans="1:16" s="6" customFormat="1" ht="46.8" x14ac:dyDescent="0.25">
      <c r="A20" s="48">
        <v>5</v>
      </c>
      <c r="B20" s="49" t="s">
        <v>56</v>
      </c>
      <c r="C20" s="50" t="s">
        <v>72</v>
      </c>
      <c r="D20" s="137"/>
      <c r="E20" s="46" t="s">
        <v>27</v>
      </c>
      <c r="F20" s="46">
        <v>6500</v>
      </c>
      <c r="G20" s="138"/>
      <c r="H20" s="46">
        <v>6413.4075342465758</v>
      </c>
      <c r="I20" s="138"/>
      <c r="J20" s="41"/>
      <c r="K20" s="41"/>
      <c r="L20" s="41"/>
      <c r="M20" s="51" t="s">
        <v>41</v>
      </c>
      <c r="N20" s="18"/>
      <c r="O20" s="20"/>
      <c r="P20" s="19">
        <v>6413</v>
      </c>
    </row>
    <row r="21" spans="1:16" s="10" customFormat="1" ht="31.2" x14ac:dyDescent="0.25">
      <c r="A21" s="116">
        <v>6</v>
      </c>
      <c r="B21" s="146" t="s">
        <v>105</v>
      </c>
      <c r="C21" s="147"/>
      <c r="D21" s="147"/>
      <c r="E21" s="112"/>
      <c r="F21" s="112">
        <f>F15-F16-F17-F18-F19-F20</f>
        <v>38502</v>
      </c>
      <c r="G21" s="112"/>
      <c r="H21" s="112"/>
      <c r="I21" s="112">
        <f>I15-I16-I17-I18-I19-I20</f>
        <v>24222</v>
      </c>
      <c r="J21" s="61"/>
      <c r="K21" s="61"/>
      <c r="L21" s="61"/>
      <c r="M21" s="113" t="s">
        <v>112</v>
      </c>
      <c r="N21" s="149"/>
      <c r="O21" s="150"/>
      <c r="P21" s="9"/>
    </row>
    <row r="22" spans="1:16" s="2" customFormat="1" ht="31.2" x14ac:dyDescent="0.25">
      <c r="A22" s="34" t="s">
        <v>17</v>
      </c>
      <c r="B22" s="52" t="s">
        <v>8</v>
      </c>
      <c r="C22" s="43"/>
      <c r="D22" s="34"/>
      <c r="E22" s="45"/>
      <c r="F22" s="36">
        <v>196714</v>
      </c>
      <c r="G22" s="36">
        <f t="shared" ref="G22:H22" si="3">SUM(G23:G27)</f>
        <v>47466</v>
      </c>
      <c r="H22" s="36">
        <f t="shared" si="3"/>
        <v>35409</v>
      </c>
      <c r="I22" s="36">
        <v>47466</v>
      </c>
      <c r="J22" s="36"/>
      <c r="K22" s="36">
        <f>(F22-H22-I22)/2</f>
        <v>56919.5</v>
      </c>
      <c r="L22" s="36">
        <f>K22</f>
        <v>56919.5</v>
      </c>
      <c r="M22" s="90"/>
      <c r="N22" s="14"/>
      <c r="O22" s="21"/>
    </row>
    <row r="23" spans="1:16" s="10" customFormat="1" ht="15.6" x14ac:dyDescent="0.25">
      <c r="A23" s="43">
        <v>1</v>
      </c>
      <c r="B23" s="44" t="s">
        <v>3</v>
      </c>
      <c r="C23" s="43"/>
      <c r="D23" s="43"/>
      <c r="E23" s="45"/>
      <c r="F23" s="45">
        <f>21*($F$22-$F$28)/102</f>
        <v>32399.952941176471</v>
      </c>
      <c r="G23" s="45">
        <f t="shared" ref="G23:G39" si="4">I23+J23</f>
        <v>9772.4117647058829</v>
      </c>
      <c r="H23" s="45">
        <v>7290</v>
      </c>
      <c r="I23" s="45">
        <f>21*$I$22/102</f>
        <v>9772.4117647058829</v>
      </c>
      <c r="J23" s="45"/>
      <c r="K23" s="45"/>
      <c r="L23" s="45"/>
      <c r="M23" s="168" t="s">
        <v>78</v>
      </c>
      <c r="N23" s="14" t="s">
        <v>45</v>
      </c>
      <c r="O23" s="23">
        <v>32399.952941176471</v>
      </c>
      <c r="P23" s="10">
        <v>9772</v>
      </c>
    </row>
    <row r="24" spans="1:16" s="10" customFormat="1" ht="15.6" x14ac:dyDescent="0.25">
      <c r="A24" s="43">
        <v>2</v>
      </c>
      <c r="B24" s="44" t="s">
        <v>4</v>
      </c>
      <c r="C24" s="43"/>
      <c r="D24" s="43"/>
      <c r="E24" s="45"/>
      <c r="F24" s="45">
        <f>19*($F$22-$F$28)/102</f>
        <v>29314.243137254904</v>
      </c>
      <c r="G24" s="45">
        <f t="shared" si="4"/>
        <v>8841.7058823529405</v>
      </c>
      <c r="H24" s="45">
        <v>6596</v>
      </c>
      <c r="I24" s="45">
        <f>19*$I$22/102</f>
        <v>8841.7058823529405</v>
      </c>
      <c r="J24" s="45"/>
      <c r="K24" s="45"/>
      <c r="L24" s="45"/>
      <c r="M24" s="168"/>
      <c r="N24" s="14" t="s">
        <v>46</v>
      </c>
      <c r="O24" s="23">
        <v>29314.243137254904</v>
      </c>
      <c r="P24" s="10">
        <v>8842</v>
      </c>
    </row>
    <row r="25" spans="1:16" s="10" customFormat="1" ht="15.6" x14ac:dyDescent="0.25">
      <c r="A25" s="43">
        <v>3</v>
      </c>
      <c r="B25" s="44" t="s">
        <v>5</v>
      </c>
      <c r="C25" s="43"/>
      <c r="D25" s="43"/>
      <c r="E25" s="45"/>
      <c r="F25" s="45">
        <f>22*($F$22-$F$28)/102</f>
        <v>33942.807843137256</v>
      </c>
      <c r="G25" s="45">
        <f t="shared" si="4"/>
        <v>10237.764705882353</v>
      </c>
      <c r="H25" s="45">
        <v>7637</v>
      </c>
      <c r="I25" s="45">
        <f>22*$I$22/102</f>
        <v>10237.764705882353</v>
      </c>
      <c r="J25" s="45"/>
      <c r="K25" s="45"/>
      <c r="L25" s="45"/>
      <c r="M25" s="168"/>
      <c r="N25" s="14" t="s">
        <v>47</v>
      </c>
      <c r="O25" s="23">
        <v>33942.807843137256</v>
      </c>
      <c r="P25" s="10">
        <v>10238</v>
      </c>
    </row>
    <row r="26" spans="1:16" s="10" customFormat="1" ht="15.6" x14ac:dyDescent="0.25">
      <c r="A26" s="43">
        <v>4</v>
      </c>
      <c r="B26" s="44" t="s">
        <v>6</v>
      </c>
      <c r="C26" s="43"/>
      <c r="D26" s="43"/>
      <c r="E26" s="45"/>
      <c r="F26" s="45">
        <f>36*($F$22-$F$28)/102</f>
        <v>55542.776470588236</v>
      </c>
      <c r="G26" s="45">
        <f t="shared" si="4"/>
        <v>16752.705882352941</v>
      </c>
      <c r="H26" s="45">
        <v>12497</v>
      </c>
      <c r="I26" s="45">
        <f>36*$I$22/102</f>
        <v>16752.705882352941</v>
      </c>
      <c r="J26" s="45"/>
      <c r="K26" s="45"/>
      <c r="L26" s="45"/>
      <c r="M26" s="168"/>
      <c r="N26" s="14" t="s">
        <v>48</v>
      </c>
      <c r="O26" s="23">
        <v>55542.776470588236</v>
      </c>
      <c r="P26" s="10">
        <v>16753</v>
      </c>
    </row>
    <row r="27" spans="1:16" s="10" customFormat="1" ht="15.6" x14ac:dyDescent="0.25">
      <c r="A27" s="43">
        <v>5</v>
      </c>
      <c r="B27" s="44" t="s">
        <v>7</v>
      </c>
      <c r="C27" s="43"/>
      <c r="D27" s="43"/>
      <c r="E27" s="45"/>
      <c r="F27" s="45">
        <f>4*($F$22-$F$28)/102</f>
        <v>6171.4196078431378</v>
      </c>
      <c r="G27" s="45">
        <f t="shared" si="4"/>
        <v>1861.4117647058824</v>
      </c>
      <c r="H27" s="45">
        <v>1389</v>
      </c>
      <c r="I27" s="45">
        <f>4*$I$22/102</f>
        <v>1861.4117647058824</v>
      </c>
      <c r="J27" s="45"/>
      <c r="K27" s="45"/>
      <c r="L27" s="45"/>
      <c r="M27" s="168"/>
      <c r="N27" s="14" t="s">
        <v>49</v>
      </c>
      <c r="O27" s="23">
        <v>6171.4196078431378</v>
      </c>
      <c r="P27" s="10">
        <v>1861</v>
      </c>
    </row>
    <row r="28" spans="1:16" s="10" customFormat="1" ht="15.6" x14ac:dyDescent="0.25">
      <c r="A28" s="83">
        <v>6</v>
      </c>
      <c r="B28" s="153" t="s">
        <v>116</v>
      </c>
      <c r="C28" s="83"/>
      <c r="D28" s="83"/>
      <c r="E28" s="84"/>
      <c r="F28" s="84">
        <f>196714*20/100</f>
        <v>39342.800000000003</v>
      </c>
      <c r="G28" s="84"/>
      <c r="H28" s="84"/>
      <c r="I28" s="84"/>
      <c r="J28" s="84"/>
      <c r="K28" s="84"/>
      <c r="L28" s="84"/>
      <c r="M28" s="154" t="s">
        <v>112</v>
      </c>
      <c r="N28" s="14"/>
      <c r="O28" s="23"/>
    </row>
    <row r="29" spans="1:16" s="2" customFormat="1" ht="62.4" x14ac:dyDescent="0.25">
      <c r="A29" s="34" t="s">
        <v>18</v>
      </c>
      <c r="B29" s="53" t="s">
        <v>114</v>
      </c>
      <c r="C29" s="43"/>
      <c r="D29" s="96"/>
      <c r="E29" s="45"/>
      <c r="F29" s="36">
        <f t="shared" ref="F29:H29" si="5">F30</f>
        <v>163789</v>
      </c>
      <c r="G29" s="36">
        <f t="shared" si="5"/>
        <v>39522</v>
      </c>
      <c r="H29" s="36">
        <f t="shared" si="5"/>
        <v>29482</v>
      </c>
      <c r="I29" s="36">
        <f>I30</f>
        <v>39522</v>
      </c>
      <c r="J29" s="36"/>
      <c r="K29" s="36"/>
      <c r="L29" s="36"/>
      <c r="M29" s="35"/>
      <c r="N29" s="14" t="s">
        <v>30</v>
      </c>
      <c r="O29" s="24"/>
    </row>
    <row r="30" spans="1:16" s="10" customFormat="1" ht="46.8" x14ac:dyDescent="0.25">
      <c r="A30" s="34"/>
      <c r="B30" s="52" t="s">
        <v>10</v>
      </c>
      <c r="C30" s="43"/>
      <c r="D30" s="34"/>
      <c r="E30" s="45"/>
      <c r="F30" s="36">
        <v>163789</v>
      </c>
      <c r="G30" s="36">
        <f t="shared" ref="G30" si="6">SUM(G32:G39)</f>
        <v>39522</v>
      </c>
      <c r="H30" s="36">
        <v>29482</v>
      </c>
      <c r="I30" s="36">
        <v>39522</v>
      </c>
      <c r="J30" s="36"/>
      <c r="K30" s="36">
        <f>(F30-H30-I30)/2</f>
        <v>47392.5</v>
      </c>
      <c r="L30" s="36">
        <f>K30</f>
        <v>47392.5</v>
      </c>
      <c r="M30" s="35"/>
      <c r="N30" s="14" t="s">
        <v>30</v>
      </c>
      <c r="O30" s="22"/>
    </row>
    <row r="31" spans="1:16" s="10" customFormat="1" ht="15.6" x14ac:dyDescent="0.25">
      <c r="A31" s="34" t="s">
        <v>22</v>
      </c>
      <c r="B31" s="52" t="s">
        <v>97</v>
      </c>
      <c r="C31" s="43"/>
      <c r="D31" s="34"/>
      <c r="E31" s="45"/>
      <c r="F31" s="36">
        <f>F30-F37</f>
        <v>93789</v>
      </c>
      <c r="G31" s="36"/>
      <c r="H31" s="36">
        <f>SUM(H32:H36)</f>
        <v>24266</v>
      </c>
      <c r="I31" s="36">
        <f>I30-I37</f>
        <v>28594</v>
      </c>
      <c r="J31" s="36"/>
      <c r="K31" s="36">
        <f>(F31-H31-I31)/2</f>
        <v>20464.5</v>
      </c>
      <c r="L31" s="36">
        <f>K31</f>
        <v>20464.5</v>
      </c>
      <c r="M31" s="35"/>
      <c r="N31" s="14"/>
      <c r="O31" s="22"/>
    </row>
    <row r="32" spans="1:16" s="10" customFormat="1" ht="15.6" x14ac:dyDescent="0.25">
      <c r="A32" s="43">
        <v>1</v>
      </c>
      <c r="B32" s="44" t="s">
        <v>3</v>
      </c>
      <c r="C32" s="43"/>
      <c r="D32" s="43"/>
      <c r="E32" s="45"/>
      <c r="F32" s="45">
        <f>'[1]DA 4 Thanh'!$K$9</f>
        <v>23126.47618934634</v>
      </c>
      <c r="G32" s="45">
        <f t="shared" si="4"/>
        <v>7050.7038155665286</v>
      </c>
      <c r="H32" s="46">
        <v>5983</v>
      </c>
      <c r="I32" s="46">
        <f>'[1]DA 4 Thanh'!$M$9</f>
        <v>7050.7038155665286</v>
      </c>
      <c r="J32" s="45"/>
      <c r="K32" s="45"/>
      <c r="L32" s="45"/>
      <c r="M32" s="168" t="s">
        <v>78</v>
      </c>
      <c r="N32" s="14" t="s">
        <v>31</v>
      </c>
      <c r="O32" s="9"/>
      <c r="P32" s="10">
        <v>7051</v>
      </c>
    </row>
    <row r="33" spans="1:19" s="10" customFormat="1" ht="15.6" x14ac:dyDescent="0.25">
      <c r="A33" s="43">
        <v>2</v>
      </c>
      <c r="B33" s="44" t="s">
        <v>4</v>
      </c>
      <c r="C33" s="43"/>
      <c r="D33" s="43"/>
      <c r="E33" s="45"/>
      <c r="F33" s="45">
        <f>'[1]DA 4 Thanh'!$K$13</f>
        <v>11792.250043964574</v>
      </c>
      <c r="G33" s="45">
        <f t="shared" si="4"/>
        <v>3595.1721178083035</v>
      </c>
      <c r="H33" s="46">
        <v>3051</v>
      </c>
      <c r="I33" s="46">
        <f>'[1]DA 4 Thanh'!$M$13</f>
        <v>3595.1721178083035</v>
      </c>
      <c r="J33" s="45"/>
      <c r="K33" s="45"/>
      <c r="L33" s="45"/>
      <c r="M33" s="168"/>
      <c r="N33" s="14" t="s">
        <v>32</v>
      </c>
      <c r="P33" s="10">
        <v>3595</v>
      </c>
    </row>
    <row r="34" spans="1:19" s="10" customFormat="1" ht="15.6" x14ac:dyDescent="0.25">
      <c r="A34" s="43">
        <v>3</v>
      </c>
      <c r="B34" s="44" t="s">
        <v>5</v>
      </c>
      <c r="C34" s="43"/>
      <c r="D34" s="43"/>
      <c r="E34" s="45"/>
      <c r="F34" s="45">
        <f>'[1]DA 4 Thanh'!$K$16</f>
        <v>18677.007673562355</v>
      </c>
      <c r="G34" s="45">
        <f t="shared" si="4"/>
        <v>5694.1683717476681</v>
      </c>
      <c r="H34" s="46">
        <v>4832</v>
      </c>
      <c r="I34" s="46">
        <f>'[1]DA 4 Thanh'!$M$16</f>
        <v>5694.1683717476681</v>
      </c>
      <c r="J34" s="45"/>
      <c r="K34" s="45"/>
      <c r="L34" s="45"/>
      <c r="M34" s="168"/>
      <c r="N34" s="14" t="s">
        <v>33</v>
      </c>
      <c r="P34" s="10">
        <v>5694</v>
      </c>
    </row>
    <row r="35" spans="1:19" s="10" customFormat="1" ht="15.6" x14ac:dyDescent="0.25">
      <c r="A35" s="43">
        <v>4</v>
      </c>
      <c r="B35" s="44" t="s">
        <v>6</v>
      </c>
      <c r="C35" s="43"/>
      <c r="D35" s="43"/>
      <c r="E35" s="45"/>
      <c r="F35" s="45">
        <f>'[1]DA 4 Thanh'!$K$21</f>
        <v>32735.160456729092</v>
      </c>
      <c r="G35" s="45">
        <f t="shared" si="4"/>
        <v>9980.1594867171152</v>
      </c>
      <c r="H35" s="46">
        <v>8470</v>
      </c>
      <c r="I35" s="46">
        <f>'[1]DA 4 Thanh'!$M$21</f>
        <v>9980.1594867171152</v>
      </c>
      <c r="J35" s="45"/>
      <c r="K35" s="45"/>
      <c r="L35" s="45"/>
      <c r="M35" s="168"/>
      <c r="N35" s="14" t="s">
        <v>34</v>
      </c>
      <c r="P35" s="10">
        <v>9980</v>
      </c>
    </row>
    <row r="36" spans="1:19" s="10" customFormat="1" ht="15.6" x14ac:dyDescent="0.25">
      <c r="A36" s="43">
        <v>5</v>
      </c>
      <c r="B36" s="44" t="s">
        <v>7</v>
      </c>
      <c r="C36" s="43"/>
      <c r="D36" s="43"/>
      <c r="E36" s="45"/>
      <c r="F36" s="45">
        <f>'[1]DA 4 Thanh'!$K$27</f>
        <v>7458.1056363976413</v>
      </c>
      <c r="G36" s="45">
        <f t="shared" si="4"/>
        <v>2273.7962081603828</v>
      </c>
      <c r="H36" s="46">
        <v>1930</v>
      </c>
      <c r="I36" s="46">
        <f>'[1]DA 4 Thanh'!$M$27</f>
        <v>2273.7962081603828</v>
      </c>
      <c r="J36" s="45"/>
      <c r="K36" s="45"/>
      <c r="L36" s="45"/>
      <c r="M36" s="168"/>
      <c r="N36" s="14" t="s">
        <v>35</v>
      </c>
      <c r="P36" s="10">
        <v>2274</v>
      </c>
    </row>
    <row r="37" spans="1:19" s="5" customFormat="1" ht="31.2" x14ac:dyDescent="0.25">
      <c r="A37" s="104" t="s">
        <v>36</v>
      </c>
      <c r="B37" s="105" t="s">
        <v>96</v>
      </c>
      <c r="C37" s="104"/>
      <c r="D37" s="104"/>
      <c r="E37" s="106"/>
      <c r="F37" s="106">
        <v>70000</v>
      </c>
      <c r="G37" s="106"/>
      <c r="H37" s="68">
        <f>H38+H39</f>
        <v>5216</v>
      </c>
      <c r="I37" s="68">
        <f>I38+I39</f>
        <v>10928</v>
      </c>
      <c r="J37" s="106"/>
      <c r="K37" s="106">
        <f>(F37-H37-I37)/2</f>
        <v>26928</v>
      </c>
      <c r="L37" s="106">
        <f>K37</f>
        <v>26928</v>
      </c>
      <c r="M37" s="107"/>
      <c r="N37" s="108"/>
    </row>
    <row r="38" spans="1:19" s="10" customFormat="1" ht="46.8" x14ac:dyDescent="0.25">
      <c r="A38" s="43">
        <v>1</v>
      </c>
      <c r="B38" s="44" t="s">
        <v>29</v>
      </c>
      <c r="C38" s="54" t="s">
        <v>83</v>
      </c>
      <c r="D38" s="43"/>
      <c r="E38" s="45" t="s">
        <v>28</v>
      </c>
      <c r="F38" s="45">
        <v>5500</v>
      </c>
      <c r="G38" s="45">
        <f t="shared" si="4"/>
        <v>2000</v>
      </c>
      <c r="H38" s="46">
        <v>2000</v>
      </c>
      <c r="I38" s="46">
        <f>'[1]DA 4 Thanh'!$M$32</f>
        <v>2000</v>
      </c>
      <c r="J38" s="45"/>
      <c r="K38" s="45"/>
      <c r="L38" s="45"/>
      <c r="M38" s="90" t="s">
        <v>39</v>
      </c>
      <c r="N38" s="14"/>
    </row>
    <row r="39" spans="1:19" s="10" customFormat="1" ht="46.8" x14ac:dyDescent="0.25">
      <c r="A39" s="62">
        <v>2</v>
      </c>
      <c r="B39" s="76" t="s">
        <v>38</v>
      </c>
      <c r="C39" s="63" t="s">
        <v>84</v>
      </c>
      <c r="D39" s="63"/>
      <c r="E39" s="61" t="s">
        <v>28</v>
      </c>
      <c r="F39" s="61">
        <v>30000</v>
      </c>
      <c r="G39" s="61">
        <f t="shared" si="4"/>
        <v>8928</v>
      </c>
      <c r="H39" s="64">
        <v>3216</v>
      </c>
      <c r="I39" s="64">
        <f>'[1]DA 4 Thanh'!$M$31</f>
        <v>8928</v>
      </c>
      <c r="J39" s="61"/>
      <c r="K39" s="61"/>
      <c r="L39" s="61"/>
      <c r="M39" s="103" t="s">
        <v>43</v>
      </c>
      <c r="N39" s="14"/>
    </row>
    <row r="40" spans="1:19" s="115" customFormat="1" ht="15.6" x14ac:dyDescent="0.25">
      <c r="A40" s="109">
        <v>3</v>
      </c>
      <c r="B40" s="110" t="s">
        <v>106</v>
      </c>
      <c r="C40" s="111"/>
      <c r="D40" s="111"/>
      <c r="E40" s="112"/>
      <c r="F40" s="112">
        <f>F37-F38-F39</f>
        <v>34500</v>
      </c>
      <c r="G40" s="112"/>
      <c r="H40" s="112"/>
      <c r="I40" s="112"/>
      <c r="J40" s="112"/>
      <c r="K40" s="112"/>
      <c r="L40" s="112"/>
      <c r="M40" s="113" t="s">
        <v>112</v>
      </c>
      <c r="N40" s="114"/>
    </row>
    <row r="41" spans="1:19" s="32" customFormat="1" ht="31.2" x14ac:dyDescent="0.25">
      <c r="A41" s="65" t="s">
        <v>19</v>
      </c>
      <c r="B41" s="66" t="s">
        <v>11</v>
      </c>
      <c r="C41" s="67"/>
      <c r="D41" s="67"/>
      <c r="E41" s="68"/>
      <c r="F41" s="68">
        <f>F42</f>
        <v>54737</v>
      </c>
      <c r="G41" s="68">
        <f>G42</f>
        <v>13208</v>
      </c>
      <c r="H41" s="68">
        <f t="shared" ref="H41:I41" si="7">H42</f>
        <v>9853</v>
      </c>
      <c r="I41" s="68">
        <f t="shared" si="7"/>
        <v>13208</v>
      </c>
      <c r="J41" s="68"/>
      <c r="K41" s="68">
        <f>K42</f>
        <v>15838</v>
      </c>
      <c r="L41" s="68">
        <f>L42</f>
        <v>15838</v>
      </c>
      <c r="M41" s="68"/>
      <c r="N41" s="69"/>
      <c r="O41" s="80"/>
      <c r="P41" s="31"/>
    </row>
    <row r="42" spans="1:19" s="32" customFormat="1" ht="62.4" x14ac:dyDescent="0.25">
      <c r="A42" s="65"/>
      <c r="B42" s="66" t="s">
        <v>12</v>
      </c>
      <c r="C42" s="70"/>
      <c r="D42" s="67"/>
      <c r="E42" s="68"/>
      <c r="F42" s="68">
        <v>54737</v>
      </c>
      <c r="G42" s="68">
        <f>I42</f>
        <v>13208</v>
      </c>
      <c r="H42" s="68">
        <v>9853</v>
      </c>
      <c r="I42" s="68">
        <v>13208</v>
      </c>
      <c r="J42" s="68"/>
      <c r="K42" s="68">
        <f>(F42-H42-I42)/2</f>
        <v>15838</v>
      </c>
      <c r="L42" s="68">
        <f>K42</f>
        <v>15838</v>
      </c>
      <c r="M42" s="89"/>
      <c r="N42" s="71"/>
      <c r="O42" s="80">
        <f>SUM(O43:O48)</f>
        <v>27250.333333333336</v>
      </c>
      <c r="P42" s="29"/>
    </row>
    <row r="43" spans="1:19" s="32" customFormat="1" ht="46.8" x14ac:dyDescent="0.25">
      <c r="A43" s="72">
        <v>1</v>
      </c>
      <c r="B43" s="73" t="s">
        <v>66</v>
      </c>
      <c r="C43" s="70" t="s">
        <v>75</v>
      </c>
      <c r="D43" s="67"/>
      <c r="E43" s="64" t="s">
        <v>28</v>
      </c>
      <c r="F43" s="64">
        <v>7000</v>
      </c>
      <c r="G43" s="64">
        <f>I43+J43</f>
        <v>1858.2</v>
      </c>
      <c r="H43" s="64">
        <v>1921</v>
      </c>
      <c r="I43" s="64">
        <f>($I$42-$I$48)/5</f>
        <v>1858.2</v>
      </c>
      <c r="J43" s="64"/>
      <c r="K43" s="64"/>
      <c r="L43" s="64"/>
      <c r="M43" s="77" t="s">
        <v>44</v>
      </c>
      <c r="N43" s="169"/>
      <c r="O43" s="81">
        <f>F43*2/3</f>
        <v>4666.666666666667</v>
      </c>
      <c r="P43" s="29">
        <v>5000</v>
      </c>
      <c r="Q43" s="79">
        <v>1352</v>
      </c>
      <c r="S43" s="32">
        <v>1858</v>
      </c>
    </row>
    <row r="44" spans="1:19" s="32" customFormat="1" ht="46.8" x14ac:dyDescent="0.25">
      <c r="A44" s="72">
        <v>2</v>
      </c>
      <c r="B44" s="73" t="s">
        <v>67</v>
      </c>
      <c r="C44" s="70" t="s">
        <v>74</v>
      </c>
      <c r="D44" s="67"/>
      <c r="E44" s="64" t="s">
        <v>28</v>
      </c>
      <c r="F44" s="64">
        <v>7000</v>
      </c>
      <c r="G44" s="64">
        <f t="shared" ref="G44:G47" si="8">I44+J44</f>
        <v>1858.2</v>
      </c>
      <c r="H44" s="64">
        <v>1921</v>
      </c>
      <c r="I44" s="64">
        <f>($I$42-$I$48)/5</f>
        <v>1858.2</v>
      </c>
      <c r="J44" s="64"/>
      <c r="K44" s="64"/>
      <c r="L44" s="64"/>
      <c r="M44" s="77" t="s">
        <v>39</v>
      </c>
      <c r="N44" s="169"/>
      <c r="O44" s="81">
        <f t="shared" ref="O44:O47" si="9">F44*2/3</f>
        <v>4666.666666666667</v>
      </c>
      <c r="P44" s="29">
        <v>9000</v>
      </c>
      <c r="Q44" s="79">
        <v>1352</v>
      </c>
      <c r="S44" s="32">
        <v>1858</v>
      </c>
    </row>
    <row r="45" spans="1:19" s="32" customFormat="1" ht="31.2" x14ac:dyDescent="0.25">
      <c r="A45" s="72">
        <v>3</v>
      </c>
      <c r="B45" s="73" t="s">
        <v>68</v>
      </c>
      <c r="C45" s="70" t="s">
        <v>73</v>
      </c>
      <c r="D45" s="67"/>
      <c r="E45" s="64" t="s">
        <v>28</v>
      </c>
      <c r="F45" s="64">
        <v>7000</v>
      </c>
      <c r="G45" s="64">
        <f t="shared" si="8"/>
        <v>1858.2</v>
      </c>
      <c r="H45" s="64">
        <v>1921</v>
      </c>
      <c r="I45" s="64">
        <f>($I$42-$I$48)/5</f>
        <v>1858.2</v>
      </c>
      <c r="J45" s="64"/>
      <c r="K45" s="64"/>
      <c r="L45" s="64"/>
      <c r="M45" s="77" t="s">
        <v>40</v>
      </c>
      <c r="N45" s="169"/>
      <c r="O45" s="81">
        <f t="shared" si="9"/>
        <v>4666.666666666667</v>
      </c>
      <c r="P45" s="29">
        <v>7000</v>
      </c>
      <c r="Q45" s="79">
        <v>1352</v>
      </c>
      <c r="S45" s="32">
        <v>1858</v>
      </c>
    </row>
    <row r="46" spans="1:19" s="32" customFormat="1" ht="46.8" x14ac:dyDescent="0.25">
      <c r="A46" s="72">
        <v>4</v>
      </c>
      <c r="B46" s="73" t="s">
        <v>69</v>
      </c>
      <c r="C46" s="70" t="s">
        <v>72</v>
      </c>
      <c r="D46" s="67"/>
      <c r="E46" s="64" t="s">
        <v>28</v>
      </c>
      <c r="F46" s="64">
        <v>7000</v>
      </c>
      <c r="G46" s="64">
        <f t="shared" si="8"/>
        <v>1858.2</v>
      </c>
      <c r="H46" s="64">
        <v>1920</v>
      </c>
      <c r="I46" s="64">
        <f>($I$42-$I$48)/5</f>
        <v>1858.2</v>
      </c>
      <c r="J46" s="64"/>
      <c r="K46" s="64"/>
      <c r="L46" s="64"/>
      <c r="M46" s="77" t="s">
        <v>41</v>
      </c>
      <c r="N46" s="169"/>
      <c r="O46" s="81">
        <f t="shared" si="9"/>
        <v>4666.666666666667</v>
      </c>
      <c r="P46" s="29">
        <v>9000</v>
      </c>
      <c r="Q46" s="79">
        <v>1352</v>
      </c>
      <c r="S46" s="32">
        <v>1858</v>
      </c>
    </row>
    <row r="47" spans="1:19" s="32" customFormat="1" ht="46.8" x14ac:dyDescent="0.25">
      <c r="A47" s="72">
        <v>5</v>
      </c>
      <c r="B47" s="73" t="s">
        <v>70</v>
      </c>
      <c r="C47" s="70" t="s">
        <v>71</v>
      </c>
      <c r="D47" s="67"/>
      <c r="E47" s="64" t="s">
        <v>28</v>
      </c>
      <c r="F47" s="64">
        <v>7000</v>
      </c>
      <c r="G47" s="64">
        <f t="shared" si="8"/>
        <v>1858.2</v>
      </c>
      <c r="H47" s="64">
        <v>1920</v>
      </c>
      <c r="I47" s="64">
        <f>($I$42-$I$48)/5</f>
        <v>1858.2</v>
      </c>
      <c r="J47" s="64"/>
      <c r="K47" s="64"/>
      <c r="L47" s="64"/>
      <c r="M47" s="77" t="s">
        <v>43</v>
      </c>
      <c r="N47" s="170"/>
      <c r="O47" s="81">
        <f t="shared" si="9"/>
        <v>4666.666666666667</v>
      </c>
      <c r="P47" s="29">
        <v>5000</v>
      </c>
      <c r="Q47" s="79">
        <v>1352</v>
      </c>
      <c r="S47" s="32">
        <v>1858</v>
      </c>
    </row>
    <row r="48" spans="1:19" s="32" customFormat="1" ht="31.2" x14ac:dyDescent="0.25">
      <c r="A48" s="72">
        <v>6</v>
      </c>
      <c r="B48" s="78" t="s">
        <v>91</v>
      </c>
      <c r="C48" s="70" t="s">
        <v>89</v>
      </c>
      <c r="D48" s="70"/>
      <c r="E48" s="61" t="s">
        <v>92</v>
      </c>
      <c r="F48" s="64">
        <v>12000</v>
      </c>
      <c r="G48" s="64"/>
      <c r="H48" s="64">
        <v>250</v>
      </c>
      <c r="I48" s="64">
        <v>3917</v>
      </c>
      <c r="J48" s="64"/>
      <c r="K48" s="98"/>
      <c r="L48" s="98"/>
      <c r="M48" s="94" t="s">
        <v>95</v>
      </c>
      <c r="N48" s="93"/>
      <c r="O48" s="82">
        <f>I48</f>
        <v>3917</v>
      </c>
      <c r="P48" s="29"/>
      <c r="Q48" s="79"/>
      <c r="S48" s="32">
        <v>3917</v>
      </c>
    </row>
    <row r="49" spans="1:17" s="123" customFormat="1" ht="15.6" x14ac:dyDescent="0.25">
      <c r="A49" s="116">
        <v>7</v>
      </c>
      <c r="B49" s="117" t="s">
        <v>117</v>
      </c>
      <c r="C49" s="111"/>
      <c r="D49" s="111"/>
      <c r="E49" s="112"/>
      <c r="F49" s="112">
        <f>F42-F43-F44-F45-F46-F47-F48</f>
        <v>7737</v>
      </c>
      <c r="G49" s="112"/>
      <c r="H49" s="112"/>
      <c r="I49" s="112"/>
      <c r="J49" s="112"/>
      <c r="K49" s="118"/>
      <c r="L49" s="118"/>
      <c r="M49" s="144" t="s">
        <v>112</v>
      </c>
      <c r="N49" s="119"/>
      <c r="O49" s="120"/>
      <c r="P49" s="121"/>
      <c r="Q49" s="122"/>
    </row>
    <row r="50" spans="1:17" s="5" customFormat="1" ht="31.2" x14ac:dyDescent="0.25">
      <c r="A50" s="34" t="s">
        <v>20</v>
      </c>
      <c r="B50" s="53" t="s">
        <v>13</v>
      </c>
      <c r="C50" s="54"/>
      <c r="D50" s="55"/>
      <c r="E50" s="45"/>
      <c r="F50" s="36">
        <v>42885</v>
      </c>
      <c r="G50" s="36" t="e">
        <f>SUM(#REF!)</f>
        <v>#REF!</v>
      </c>
      <c r="H50" s="36">
        <v>7739</v>
      </c>
      <c r="I50" s="36">
        <v>10374</v>
      </c>
      <c r="J50" s="56"/>
      <c r="K50" s="56">
        <f>(F50-H50-I50)/2</f>
        <v>12386</v>
      </c>
      <c r="L50" s="56">
        <f>K50</f>
        <v>12386</v>
      </c>
      <c r="M50" s="151" t="s">
        <v>112</v>
      </c>
      <c r="N50" s="11"/>
      <c r="O50" s="25"/>
    </row>
    <row r="51" spans="1:17" s="5" customFormat="1" ht="31.2" x14ac:dyDescent="0.25">
      <c r="A51" s="34" t="s">
        <v>21</v>
      </c>
      <c r="B51" s="53" t="s">
        <v>110</v>
      </c>
      <c r="C51" s="96"/>
      <c r="D51" s="96"/>
      <c r="E51" s="36"/>
      <c r="F51" s="36">
        <f t="shared" ref="F51:H51" si="10">F52</f>
        <v>218186</v>
      </c>
      <c r="G51" s="36">
        <f t="shared" si="10"/>
        <v>70491.5</v>
      </c>
      <c r="H51" s="36">
        <f t="shared" si="10"/>
        <v>39273</v>
      </c>
      <c r="I51" s="36">
        <f>I52</f>
        <v>55128</v>
      </c>
      <c r="J51" s="36"/>
      <c r="K51" s="36"/>
      <c r="L51" s="36"/>
      <c r="M51" s="35"/>
      <c r="N51" s="17"/>
    </row>
    <row r="52" spans="1:17" ht="31.2" x14ac:dyDescent="0.25">
      <c r="A52" s="34"/>
      <c r="B52" s="53" t="s">
        <v>111</v>
      </c>
      <c r="C52" s="96"/>
      <c r="D52" s="96"/>
      <c r="E52" s="45"/>
      <c r="F52" s="36">
        <v>218186</v>
      </c>
      <c r="G52" s="36">
        <f t="shared" ref="G52" si="11">SUM(G54:G59)</f>
        <v>70491.5</v>
      </c>
      <c r="H52" s="36">
        <f>H53+H57</f>
        <v>39273</v>
      </c>
      <c r="I52" s="36">
        <v>55128</v>
      </c>
      <c r="J52" s="36"/>
      <c r="K52" s="36">
        <f>(F52-H52-I52)/2</f>
        <v>61892.5</v>
      </c>
      <c r="L52" s="36">
        <f>K52</f>
        <v>61892.5</v>
      </c>
      <c r="M52" s="35"/>
      <c r="N52" s="16"/>
      <c r="P52" s="1">
        <f>39273-9500-4773</f>
        <v>25000</v>
      </c>
    </row>
    <row r="53" spans="1:17" ht="15.6" x14ac:dyDescent="0.25">
      <c r="A53" s="34" t="s">
        <v>22</v>
      </c>
      <c r="B53" s="53" t="s">
        <v>97</v>
      </c>
      <c r="C53" s="96"/>
      <c r="D53" s="96"/>
      <c r="E53" s="45"/>
      <c r="F53" s="36">
        <f>F52-F57</f>
        <v>128186</v>
      </c>
      <c r="G53" s="36"/>
      <c r="H53" s="36">
        <f>SUM(H54:H56)</f>
        <v>25000</v>
      </c>
      <c r="I53" s="36">
        <f>I52-I57</f>
        <v>39764.5</v>
      </c>
      <c r="J53" s="36"/>
      <c r="K53" s="124">
        <f>(F53-H53-I53)/2</f>
        <v>31710.75</v>
      </c>
      <c r="L53" s="124">
        <f>K53</f>
        <v>31710.75</v>
      </c>
      <c r="M53" s="91"/>
      <c r="N53" s="16"/>
    </row>
    <row r="54" spans="1:17" s="27" customFormat="1" ht="15.6" x14ac:dyDescent="0.25">
      <c r="A54" s="48">
        <v>1</v>
      </c>
      <c r="B54" s="49" t="s">
        <v>5</v>
      </c>
      <c r="C54" s="58"/>
      <c r="D54" s="58"/>
      <c r="E54" s="45"/>
      <c r="F54" s="46">
        <f>'[1]DA 9 -TDA 1 PA2'!$G$10</f>
        <v>6409.3</v>
      </c>
      <c r="G54" s="46">
        <f>I54+J54</f>
        <v>1988.2249999999999</v>
      </c>
      <c r="H54" s="46">
        <v>1136</v>
      </c>
      <c r="I54" s="46">
        <f>'[1]DA 9 -TDA 1 PA2'!$I$10</f>
        <v>1988.2249999999999</v>
      </c>
      <c r="J54" s="46"/>
      <c r="K54" s="99"/>
      <c r="L54" s="99"/>
      <c r="M54" s="171" t="s">
        <v>78</v>
      </c>
      <c r="N54" s="28" t="s">
        <v>62</v>
      </c>
      <c r="O54" s="27">
        <v>1136</v>
      </c>
      <c r="P54" s="27">
        <v>1988</v>
      </c>
    </row>
    <row r="55" spans="1:17" s="27" customFormat="1" ht="15.6" x14ac:dyDescent="0.25">
      <c r="A55" s="48">
        <v>2</v>
      </c>
      <c r="B55" s="49" t="s">
        <v>6</v>
      </c>
      <c r="C55" s="48"/>
      <c r="D55" s="48"/>
      <c r="E55" s="45"/>
      <c r="F55" s="46">
        <f>'[1]DA 9 -TDA 1 PA2'!$G$13</f>
        <v>96139.5</v>
      </c>
      <c r="G55" s="46">
        <f t="shared" ref="G55:G56" si="12">I55+J55</f>
        <v>29823.375</v>
      </c>
      <c r="H55" s="46">
        <v>19318</v>
      </c>
      <c r="I55" s="46">
        <f>'[1]DA 9 -TDA 1 PA2'!$I$13</f>
        <v>29823.375</v>
      </c>
      <c r="J55" s="46"/>
      <c r="K55" s="100"/>
      <c r="L55" s="100"/>
      <c r="M55" s="172"/>
      <c r="N55" s="26" t="s">
        <v>58</v>
      </c>
      <c r="O55" s="27">
        <v>19318</v>
      </c>
      <c r="P55" s="27">
        <v>29823</v>
      </c>
    </row>
    <row r="56" spans="1:17" s="27" customFormat="1" ht="15.6" x14ac:dyDescent="0.25">
      <c r="A56" s="48">
        <v>3</v>
      </c>
      <c r="B56" s="49" t="s">
        <v>7</v>
      </c>
      <c r="C56" s="48"/>
      <c r="D56" s="48"/>
      <c r="E56" s="45"/>
      <c r="F56" s="46">
        <f>'[1]DA 9 -TDA 1 PA2'!$G$36</f>
        <v>25637.200000000001</v>
      </c>
      <c r="G56" s="46">
        <f t="shared" si="12"/>
        <v>7952.9</v>
      </c>
      <c r="H56" s="46">
        <v>4546</v>
      </c>
      <c r="I56" s="46">
        <f>'[1]DA 9 -TDA 1 PA2'!$I$36</f>
        <v>7952.9</v>
      </c>
      <c r="J56" s="46"/>
      <c r="K56" s="101"/>
      <c r="L56" s="101"/>
      <c r="M56" s="173"/>
      <c r="N56" s="26" t="s">
        <v>49</v>
      </c>
      <c r="O56" s="27">
        <v>4545</v>
      </c>
      <c r="P56" s="27">
        <v>7953</v>
      </c>
    </row>
    <row r="57" spans="1:17" s="123" customFormat="1" ht="15.6" x14ac:dyDescent="0.25">
      <c r="A57" s="130" t="s">
        <v>36</v>
      </c>
      <c r="B57" s="131" t="s">
        <v>98</v>
      </c>
      <c r="C57" s="130"/>
      <c r="D57" s="130"/>
      <c r="E57" s="89"/>
      <c r="F57" s="89">
        <f>SUM(F58:F60)</f>
        <v>90000</v>
      </c>
      <c r="G57" s="89">
        <f t="shared" ref="G57:I57" si="13">SUM(G58:G60)</f>
        <v>15363.5</v>
      </c>
      <c r="H57" s="89">
        <f t="shared" si="13"/>
        <v>14273</v>
      </c>
      <c r="I57" s="89">
        <f t="shared" si="13"/>
        <v>15363.5</v>
      </c>
      <c r="J57" s="89"/>
      <c r="K57" s="132"/>
      <c r="L57" s="132"/>
      <c r="M57" s="133"/>
      <c r="N57" s="134"/>
    </row>
    <row r="58" spans="1:17" s="27" customFormat="1" ht="46.8" x14ac:dyDescent="0.25">
      <c r="A58" s="72">
        <v>1</v>
      </c>
      <c r="B58" s="73" t="s">
        <v>79</v>
      </c>
      <c r="C58" s="70" t="s">
        <v>80</v>
      </c>
      <c r="D58" s="67"/>
      <c r="E58" s="64" t="s">
        <v>28</v>
      </c>
      <c r="F58" s="64">
        <v>30000</v>
      </c>
      <c r="G58" s="64">
        <f>I58</f>
        <v>10250</v>
      </c>
      <c r="H58" s="64">
        <v>9500</v>
      </c>
      <c r="I58" s="64">
        <f>'[1]DA 9 -TDA 1 PA2'!$I$44</f>
        <v>10250</v>
      </c>
      <c r="J58" s="64"/>
      <c r="K58" s="98"/>
      <c r="L58" s="98"/>
      <c r="M58" s="174" t="s">
        <v>42</v>
      </c>
      <c r="N58" s="26"/>
      <c r="O58" s="27">
        <v>9500</v>
      </c>
      <c r="P58" s="27">
        <v>10250</v>
      </c>
    </row>
    <row r="59" spans="1:17" s="27" customFormat="1" ht="46.8" x14ac:dyDescent="0.3">
      <c r="A59" s="72">
        <v>2</v>
      </c>
      <c r="B59" s="73" t="s">
        <v>81</v>
      </c>
      <c r="C59" s="70" t="s">
        <v>73</v>
      </c>
      <c r="D59" s="74"/>
      <c r="E59" s="64" t="s">
        <v>28</v>
      </c>
      <c r="F59" s="64">
        <v>15000</v>
      </c>
      <c r="G59" s="64">
        <f>I59</f>
        <v>5113.5</v>
      </c>
      <c r="H59" s="64">
        <f>14273-9500</f>
        <v>4773</v>
      </c>
      <c r="I59" s="64">
        <f>'[1]DA 9 -TDA 1 PA2'!$I$45</f>
        <v>5113.5</v>
      </c>
      <c r="J59" s="75"/>
      <c r="K59" s="102"/>
      <c r="L59" s="102"/>
      <c r="M59" s="175"/>
      <c r="N59" s="26"/>
      <c r="O59" s="27">
        <v>4773</v>
      </c>
      <c r="P59" s="27">
        <v>5114</v>
      </c>
    </row>
    <row r="60" spans="1:17" s="115" customFormat="1" ht="15.6" x14ac:dyDescent="0.3">
      <c r="A60" s="116">
        <v>3</v>
      </c>
      <c r="B60" s="125" t="s">
        <v>107</v>
      </c>
      <c r="C60" s="111"/>
      <c r="D60" s="126"/>
      <c r="E60" s="112"/>
      <c r="F60" s="112">
        <v>45000</v>
      </c>
      <c r="G60" s="112"/>
      <c r="H60" s="112"/>
      <c r="I60" s="112"/>
      <c r="J60" s="127"/>
      <c r="K60" s="128"/>
      <c r="L60" s="128"/>
      <c r="M60" s="129" t="s">
        <v>112</v>
      </c>
      <c r="N60" s="114"/>
    </row>
    <row r="61" spans="1:17" s="5" customFormat="1" ht="46.8" x14ac:dyDescent="0.25">
      <c r="A61" s="34" t="s">
        <v>90</v>
      </c>
      <c r="B61" s="53" t="s">
        <v>14</v>
      </c>
      <c r="C61" s="96"/>
      <c r="D61" s="96"/>
      <c r="E61" s="36"/>
      <c r="F61" s="36">
        <f>F62</f>
        <v>5180</v>
      </c>
      <c r="G61" s="36">
        <f>G62</f>
        <v>1647.5315315315315</v>
      </c>
      <c r="H61" s="36">
        <f t="shared" ref="H61:I61" si="14">H62</f>
        <v>932</v>
      </c>
      <c r="I61" s="36">
        <f t="shared" si="14"/>
        <v>1647.5315315315315</v>
      </c>
      <c r="J61" s="36"/>
      <c r="K61" s="36">
        <f>K62</f>
        <v>1300.2342342342342</v>
      </c>
      <c r="L61" s="36">
        <f>L62</f>
        <v>1300.2342342342342</v>
      </c>
      <c r="M61" s="35"/>
      <c r="N61" s="17"/>
    </row>
    <row r="62" spans="1:17" s="10" customFormat="1" ht="46.8" x14ac:dyDescent="0.25">
      <c r="A62" s="59"/>
      <c r="B62" s="53" t="s">
        <v>15</v>
      </c>
      <c r="C62" s="96"/>
      <c r="D62" s="96"/>
      <c r="E62" s="36"/>
      <c r="F62" s="36">
        <v>5180</v>
      </c>
      <c r="G62" s="36">
        <f t="shared" ref="G62:H62" si="15">SUM(G63:G67)</f>
        <v>1647.5315315315315</v>
      </c>
      <c r="H62" s="36">
        <f t="shared" si="15"/>
        <v>932</v>
      </c>
      <c r="I62" s="36">
        <f>SUM(I63:I67)</f>
        <v>1647.5315315315315</v>
      </c>
      <c r="J62" s="36"/>
      <c r="K62" s="36">
        <f>(F62-H62-I62)/2</f>
        <v>1300.2342342342342</v>
      </c>
      <c r="L62" s="36">
        <f>K62</f>
        <v>1300.2342342342342</v>
      </c>
      <c r="M62" s="35"/>
      <c r="N62" s="17"/>
    </row>
    <row r="63" spans="1:17" ht="15.6" x14ac:dyDescent="0.25">
      <c r="A63" s="43">
        <v>1</v>
      </c>
      <c r="B63" s="44" t="s">
        <v>3</v>
      </c>
      <c r="C63" s="43"/>
      <c r="D63" s="60" t="s">
        <v>31</v>
      </c>
      <c r="E63" s="45"/>
      <c r="F63" s="45">
        <f>'[1]DA 10 - TDA 2'!$H$8</f>
        <v>1400</v>
      </c>
      <c r="G63" s="45">
        <f t="shared" ref="G63:G67" si="16">I63+J63</f>
        <v>445.40540540540542</v>
      </c>
      <c r="H63" s="45">
        <v>254</v>
      </c>
      <c r="I63" s="45">
        <f>'[1]DA 10 - TDA 2'!$J$8</f>
        <v>445.40540540540542</v>
      </c>
      <c r="J63" s="45"/>
      <c r="K63" s="45"/>
      <c r="L63" s="45"/>
      <c r="M63" s="168" t="s">
        <v>78</v>
      </c>
      <c r="N63" s="14" t="s">
        <v>31</v>
      </c>
      <c r="P63" s="1">
        <v>445</v>
      </c>
    </row>
    <row r="64" spans="1:17" ht="15.6" x14ac:dyDescent="0.25">
      <c r="A64" s="43">
        <v>2</v>
      </c>
      <c r="B64" s="44" t="s">
        <v>4</v>
      </c>
      <c r="C64" s="43"/>
      <c r="D64" s="60" t="s">
        <v>50</v>
      </c>
      <c r="E64" s="45"/>
      <c r="F64" s="45">
        <f>'[1]DA 10 - TDA 2'!$H$12</f>
        <v>497.77777777777777</v>
      </c>
      <c r="G64" s="45">
        <f t="shared" si="16"/>
        <v>158.36636636636638</v>
      </c>
      <c r="H64" s="45">
        <v>85</v>
      </c>
      <c r="I64" s="45">
        <f>'[1]DA 10 - TDA 2'!$J$12</f>
        <v>158.36636636636638</v>
      </c>
      <c r="J64" s="45"/>
      <c r="K64" s="45"/>
      <c r="L64" s="45"/>
      <c r="M64" s="168"/>
      <c r="N64" s="14" t="s">
        <v>63</v>
      </c>
      <c r="P64" s="1">
        <v>158</v>
      </c>
    </row>
    <row r="65" spans="1:20" ht="15.6" x14ac:dyDescent="0.25">
      <c r="A65" s="43">
        <v>3</v>
      </c>
      <c r="B65" s="44" t="s">
        <v>5</v>
      </c>
      <c r="C65" s="43"/>
      <c r="D65" s="60" t="s">
        <v>51</v>
      </c>
      <c r="E65" s="45"/>
      <c r="F65" s="45">
        <f>'[1]DA 10 - TDA 2'!$H$15</f>
        <v>948.88888888888903</v>
      </c>
      <c r="G65" s="45">
        <f t="shared" si="16"/>
        <v>301.88588588588584</v>
      </c>
      <c r="H65" s="45">
        <v>169</v>
      </c>
      <c r="I65" s="45">
        <f>'[1]DA 10 - TDA 2'!$J$15</f>
        <v>301.88588588588584</v>
      </c>
      <c r="J65" s="45"/>
      <c r="K65" s="45"/>
      <c r="L65" s="45"/>
      <c r="M65" s="168"/>
      <c r="N65" s="14" t="s">
        <v>64</v>
      </c>
      <c r="P65" s="1">
        <v>302</v>
      </c>
    </row>
    <row r="66" spans="1:20" ht="15.6" x14ac:dyDescent="0.25">
      <c r="A66" s="43">
        <v>4</v>
      </c>
      <c r="B66" s="44" t="s">
        <v>6</v>
      </c>
      <c r="C66" s="43"/>
      <c r="D66" s="60" t="s">
        <v>52</v>
      </c>
      <c r="E66" s="45"/>
      <c r="F66" s="45">
        <f>'[1]DA 10 - TDA 2'!$H$20</f>
        <v>1866.6666666666667</v>
      </c>
      <c r="G66" s="45">
        <f t="shared" si="16"/>
        <v>593.87387387387389</v>
      </c>
      <c r="H66" s="45">
        <v>339</v>
      </c>
      <c r="I66" s="45">
        <f>'[1]DA 10 - TDA 2'!$J$20</f>
        <v>593.87387387387389</v>
      </c>
      <c r="J66" s="45"/>
      <c r="K66" s="45"/>
      <c r="L66" s="45"/>
      <c r="M66" s="168"/>
      <c r="N66" s="14" t="s">
        <v>65</v>
      </c>
      <c r="P66" s="1">
        <v>594</v>
      </c>
    </row>
    <row r="67" spans="1:20" ht="15.6" x14ac:dyDescent="0.25">
      <c r="A67" s="43">
        <v>5</v>
      </c>
      <c r="B67" s="44" t="s">
        <v>7</v>
      </c>
      <c r="C67" s="43"/>
      <c r="D67" s="60" t="s">
        <v>50</v>
      </c>
      <c r="E67" s="45"/>
      <c r="F67" s="45">
        <f>'[1]DA 10 - TDA 2'!$H$26</f>
        <v>466.66666666666669</v>
      </c>
      <c r="G67" s="45">
        <f t="shared" si="16"/>
        <v>148</v>
      </c>
      <c r="H67" s="45">
        <v>85</v>
      </c>
      <c r="I67" s="45">
        <v>148</v>
      </c>
      <c r="J67" s="45"/>
      <c r="K67" s="45"/>
      <c r="L67" s="45"/>
      <c r="M67" s="168"/>
      <c r="N67" s="14" t="s">
        <v>63</v>
      </c>
      <c r="P67" s="1">
        <v>148</v>
      </c>
    </row>
    <row r="78" spans="1:20" s="12" customFormat="1" x14ac:dyDescent="0.25">
      <c r="A78" s="1"/>
      <c r="B78" s="1"/>
      <c r="C78" s="13"/>
      <c r="E78" s="1"/>
      <c r="F78" s="1"/>
      <c r="G78" s="1"/>
      <c r="H78" s="1"/>
      <c r="I78" s="3"/>
      <c r="J78" s="1"/>
      <c r="K78" s="1"/>
      <c r="L78" s="1"/>
      <c r="M78" s="15"/>
      <c r="N78" s="1"/>
      <c r="O78" s="1"/>
      <c r="P78" s="1"/>
      <c r="Q78" s="1"/>
      <c r="R78" s="1"/>
      <c r="S78" s="1"/>
      <c r="T78" s="1"/>
    </row>
    <row r="79" spans="1:20" s="12" customFormat="1" x14ac:dyDescent="0.25">
      <c r="A79" s="1"/>
      <c r="B79" s="1"/>
      <c r="C79" s="13"/>
      <c r="E79" s="1"/>
      <c r="F79" s="1"/>
      <c r="G79" s="1"/>
      <c r="H79" s="1"/>
      <c r="I79" s="3"/>
      <c r="J79" s="1"/>
      <c r="K79" s="1"/>
      <c r="L79" s="1"/>
      <c r="M79" s="15"/>
      <c r="N79" s="1"/>
      <c r="O79" s="1"/>
      <c r="P79" s="1"/>
      <c r="Q79" s="1"/>
      <c r="R79" s="1"/>
      <c r="S79" s="1"/>
      <c r="T79" s="1"/>
    </row>
    <row r="80" spans="1:20" s="12" customFormat="1" x14ac:dyDescent="0.25">
      <c r="A80" s="1"/>
      <c r="B80" s="1"/>
      <c r="C80" s="13"/>
      <c r="E80" s="1"/>
      <c r="F80" s="1"/>
      <c r="G80" s="1"/>
      <c r="H80" s="1"/>
      <c r="I80" s="3"/>
      <c r="J80" s="1"/>
      <c r="K80" s="1"/>
      <c r="L80" s="1"/>
      <c r="M80" s="15"/>
      <c r="N80" s="1"/>
      <c r="O80" s="1"/>
      <c r="P80" s="1"/>
      <c r="Q80" s="1"/>
      <c r="R80" s="1"/>
      <c r="S80" s="1"/>
      <c r="T80" s="1"/>
    </row>
  </sheetData>
  <mergeCells count="22">
    <mergeCell ref="M63:M67"/>
    <mergeCell ref="M23:M27"/>
    <mergeCell ref="M32:M36"/>
    <mergeCell ref="N43:N47"/>
    <mergeCell ref="M54:M56"/>
    <mergeCell ref="M58:M59"/>
    <mergeCell ref="N5:N6"/>
    <mergeCell ref="A1:M1"/>
    <mergeCell ref="A2:M2"/>
    <mergeCell ref="A3:M3"/>
    <mergeCell ref="I4:M4"/>
    <mergeCell ref="A5:A6"/>
    <mergeCell ref="B5:B6"/>
    <mergeCell ref="C5:C6"/>
    <mergeCell ref="D5:D6"/>
    <mergeCell ref="E5:E6"/>
    <mergeCell ref="F5:F6"/>
    <mergeCell ref="H5:H6"/>
    <mergeCell ref="I5:I6"/>
    <mergeCell ref="K5:K6"/>
    <mergeCell ref="L5:L6"/>
    <mergeCell ref="M5:M6"/>
  </mergeCells>
  <pageMargins left="0.45" right="0.2" top="0.75" bottom="0.75" header="0.3" footer="0.3"/>
  <pageSetup paperSize="9"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0"/>
  <sheetViews>
    <sheetView view="pageLayout" zoomScaleNormal="100" workbookViewId="0">
      <selection activeCell="A3" sqref="A3:M3"/>
    </sheetView>
  </sheetViews>
  <sheetFormatPr defaultColWidth="9" defaultRowHeight="13.2" x14ac:dyDescent="0.25"/>
  <cols>
    <col min="1" max="1" width="5" style="1" customWidth="1"/>
    <col min="2" max="2" width="52.59765625" style="1" customWidth="1"/>
    <col min="3" max="3" width="14.19921875" style="12" customWidth="1"/>
    <col min="4" max="4" width="9.59765625" style="12" hidden="1" customWidth="1"/>
    <col min="5" max="5" width="10.19921875" style="1" customWidth="1"/>
    <col min="6" max="6" width="8.69921875" style="1" customWidth="1"/>
    <col min="7" max="7" width="9.69921875" style="1" hidden="1" customWidth="1"/>
    <col min="8" max="8" width="9.69921875" style="1" customWidth="1"/>
    <col min="9" max="9" width="9.59765625" style="3" customWidth="1"/>
    <col min="10" max="10" width="8.19921875" style="1" hidden="1" customWidth="1"/>
    <col min="11" max="11" width="8.69921875" style="1" hidden="1" customWidth="1"/>
    <col min="12" max="12" width="9" style="1" hidden="1" customWidth="1"/>
    <col min="13" max="13" width="18.19921875" style="15" customWidth="1"/>
    <col min="14" max="14" width="29.09765625" style="1" hidden="1" customWidth="1"/>
    <col min="15" max="15" width="9" style="1"/>
    <col min="16" max="16" width="6.8984375" style="1" customWidth="1"/>
    <col min="17" max="17" width="6" style="1" customWidth="1"/>
    <col min="18" max="18" width="5.69921875" style="1" customWidth="1"/>
    <col min="19" max="19" width="5.19921875" style="1" customWidth="1"/>
    <col min="20" max="16384" width="9" style="1"/>
  </cols>
  <sheetData>
    <row r="1" spans="1:20" ht="15.6" x14ac:dyDescent="0.3">
      <c r="A1" s="157" t="s">
        <v>94</v>
      </c>
      <c r="B1" s="157"/>
      <c r="C1" s="157"/>
      <c r="D1" s="157"/>
      <c r="E1" s="157"/>
      <c r="F1" s="157"/>
      <c r="G1" s="157"/>
      <c r="H1" s="157"/>
      <c r="I1" s="157"/>
      <c r="J1" s="157"/>
      <c r="K1" s="157"/>
      <c r="L1" s="157"/>
      <c r="M1" s="157"/>
    </row>
    <row r="2" spans="1:20" ht="48.75" customHeight="1" x14ac:dyDescent="0.25">
      <c r="A2" s="158" t="s">
        <v>103</v>
      </c>
      <c r="B2" s="158"/>
      <c r="C2" s="158"/>
      <c r="D2" s="158"/>
      <c r="E2" s="158"/>
      <c r="F2" s="158"/>
      <c r="G2" s="158"/>
      <c r="H2" s="158"/>
      <c r="I2" s="158"/>
      <c r="J2" s="158"/>
      <c r="K2" s="158"/>
      <c r="L2" s="158"/>
      <c r="M2" s="158"/>
    </row>
    <row r="3" spans="1:20" ht="15.6" x14ac:dyDescent="0.25">
      <c r="A3" s="159" t="s">
        <v>108</v>
      </c>
      <c r="B3" s="159"/>
      <c r="C3" s="159"/>
      <c r="D3" s="159"/>
      <c r="E3" s="159"/>
      <c r="F3" s="159"/>
      <c r="G3" s="159"/>
      <c r="H3" s="159"/>
      <c r="I3" s="159"/>
      <c r="J3" s="159"/>
      <c r="K3" s="159"/>
      <c r="L3" s="159"/>
      <c r="M3" s="159"/>
    </row>
    <row r="4" spans="1:20" ht="15.6" x14ac:dyDescent="0.25">
      <c r="A4" s="139"/>
      <c r="B4" s="139"/>
      <c r="C4" s="139"/>
      <c r="D4" s="139"/>
      <c r="E4" s="139"/>
      <c r="F4" s="139"/>
      <c r="G4" s="139"/>
      <c r="H4" s="139"/>
      <c r="I4" s="160" t="s">
        <v>93</v>
      </c>
      <c r="J4" s="160"/>
      <c r="K4" s="160"/>
      <c r="L4" s="160"/>
      <c r="M4" s="160"/>
    </row>
    <row r="5" spans="1:20" ht="24.75" customHeight="1" x14ac:dyDescent="0.25">
      <c r="A5" s="161" t="s">
        <v>0</v>
      </c>
      <c r="B5" s="161" t="s">
        <v>23</v>
      </c>
      <c r="C5" s="163" t="s">
        <v>26</v>
      </c>
      <c r="D5" s="161" t="s">
        <v>24</v>
      </c>
      <c r="E5" s="165" t="s">
        <v>25</v>
      </c>
      <c r="F5" s="165" t="s">
        <v>99</v>
      </c>
      <c r="G5" s="85" t="s">
        <v>82</v>
      </c>
      <c r="H5" s="167" t="s">
        <v>102</v>
      </c>
      <c r="I5" s="167" t="s">
        <v>104</v>
      </c>
      <c r="J5" s="86"/>
      <c r="K5" s="167" t="s">
        <v>100</v>
      </c>
      <c r="L5" s="167" t="s">
        <v>101</v>
      </c>
      <c r="M5" s="165" t="s">
        <v>77</v>
      </c>
      <c r="N5" s="155" t="s">
        <v>54</v>
      </c>
    </row>
    <row r="6" spans="1:20" ht="45" customHeight="1" x14ac:dyDescent="0.25">
      <c r="A6" s="162"/>
      <c r="B6" s="162"/>
      <c r="C6" s="164"/>
      <c r="D6" s="162"/>
      <c r="E6" s="166"/>
      <c r="F6" s="166"/>
      <c r="G6" s="87"/>
      <c r="H6" s="167"/>
      <c r="I6" s="167"/>
      <c r="J6" s="88"/>
      <c r="K6" s="167"/>
      <c r="L6" s="167"/>
      <c r="M6" s="166"/>
      <c r="N6" s="156"/>
      <c r="O6" s="4"/>
      <c r="P6" s="13"/>
      <c r="Q6" s="13"/>
      <c r="R6" s="13"/>
      <c r="S6" s="13"/>
    </row>
    <row r="7" spans="1:20" ht="26.25" customHeight="1" x14ac:dyDescent="0.25">
      <c r="A7" s="34"/>
      <c r="B7" s="34" t="s">
        <v>1</v>
      </c>
      <c r="C7" s="145"/>
      <c r="D7" s="34"/>
      <c r="E7" s="35"/>
      <c r="F7" s="36">
        <f>F8+F22+F29+F41+F50+F51+F61</f>
        <v>800193</v>
      </c>
      <c r="G7" s="36" t="e">
        <f>G8+G22+G29+G41+G50+G51+G61</f>
        <v>#REF!</v>
      </c>
      <c r="H7" s="36">
        <f>H8+H22+H29+H41+H50+H51+H61</f>
        <v>156999</v>
      </c>
      <c r="I7" s="36">
        <f>I8+I22+I29+I41+I50+I51+I61</f>
        <v>206067.53153153154</v>
      </c>
      <c r="J7" s="36"/>
      <c r="K7" s="97"/>
      <c r="L7" s="97"/>
      <c r="M7" s="141"/>
      <c r="N7" s="30" t="s">
        <v>55</v>
      </c>
      <c r="O7" s="8"/>
      <c r="P7" s="13"/>
      <c r="Q7" s="13"/>
      <c r="R7" s="13"/>
      <c r="S7" s="13"/>
      <c r="T7" s="4"/>
    </row>
    <row r="8" spans="1:20" ht="35.25" customHeight="1" x14ac:dyDescent="0.25">
      <c r="A8" s="34" t="s">
        <v>16</v>
      </c>
      <c r="B8" s="37" t="s">
        <v>2</v>
      </c>
      <c r="C8" s="145"/>
      <c r="D8" s="145"/>
      <c r="E8" s="36"/>
      <c r="F8" s="36">
        <v>118702</v>
      </c>
      <c r="G8" s="36" t="e">
        <f t="shared" ref="G8:H8" si="0">SUM(G15,G9)</f>
        <v>#REF!</v>
      </c>
      <c r="H8" s="36">
        <f t="shared" si="0"/>
        <v>34311</v>
      </c>
      <c r="I8" s="36">
        <v>38722</v>
      </c>
      <c r="J8" s="36"/>
      <c r="K8" s="36">
        <f>(F8-H8-I8)/2</f>
        <v>22834.5</v>
      </c>
      <c r="L8" s="36">
        <f>K8</f>
        <v>22834.5</v>
      </c>
      <c r="M8" s="35"/>
      <c r="N8" s="16"/>
      <c r="P8" s="4"/>
    </row>
    <row r="9" spans="1:20" s="7" customFormat="1" ht="20.25" customHeight="1" x14ac:dyDescent="0.3">
      <c r="A9" s="38" t="s">
        <v>22</v>
      </c>
      <c r="B9" s="39" t="s">
        <v>53</v>
      </c>
      <c r="C9" s="40"/>
      <c r="D9" s="40"/>
      <c r="E9" s="41"/>
      <c r="F9" s="41">
        <f t="shared" ref="F9:H9" si="1">SUM(F10:F14)</f>
        <v>51000</v>
      </c>
      <c r="G9" s="41">
        <f t="shared" si="1"/>
        <v>14500</v>
      </c>
      <c r="H9" s="41">
        <f t="shared" si="1"/>
        <v>5500</v>
      </c>
      <c r="I9" s="41">
        <v>14500</v>
      </c>
      <c r="J9" s="41">
        <f t="shared" ref="J9" si="2">(G9-I9)/3</f>
        <v>0</v>
      </c>
      <c r="K9" s="41">
        <f>I9</f>
        <v>14500</v>
      </c>
      <c r="L9" s="41">
        <f>K9</f>
        <v>14500</v>
      </c>
      <c r="M9" s="42"/>
      <c r="N9" s="33" t="s">
        <v>76</v>
      </c>
    </row>
    <row r="10" spans="1:20" s="10" customFormat="1" ht="31.2" x14ac:dyDescent="0.25">
      <c r="A10" s="43">
        <v>1</v>
      </c>
      <c r="B10" s="44" t="s">
        <v>3</v>
      </c>
      <c r="C10" s="43"/>
      <c r="D10" s="43"/>
      <c r="E10" s="45"/>
      <c r="F10" s="45">
        <f>500*21</f>
        <v>10500</v>
      </c>
      <c r="G10" s="45">
        <f>I10+J10</f>
        <v>3000</v>
      </c>
      <c r="H10" s="45">
        <v>1500</v>
      </c>
      <c r="I10" s="45">
        <v>3000</v>
      </c>
      <c r="J10" s="45"/>
      <c r="K10" s="45"/>
      <c r="L10" s="45"/>
      <c r="M10" s="51" t="s">
        <v>43</v>
      </c>
      <c r="N10" s="14" t="s">
        <v>31</v>
      </c>
      <c r="P10" s="10">
        <v>3123</v>
      </c>
    </row>
    <row r="11" spans="1:20" s="10" customFormat="1" ht="31.2" x14ac:dyDescent="0.25">
      <c r="A11" s="43">
        <v>2</v>
      </c>
      <c r="B11" s="44" t="s">
        <v>4</v>
      </c>
      <c r="C11" s="43"/>
      <c r="D11" s="43"/>
      <c r="E11" s="45"/>
      <c r="F11" s="45">
        <f>500*19</f>
        <v>9500</v>
      </c>
      <c r="G11" s="45">
        <f>I11+J11</f>
        <v>3000</v>
      </c>
      <c r="H11" s="45">
        <v>500</v>
      </c>
      <c r="I11" s="45">
        <v>3000</v>
      </c>
      <c r="J11" s="45"/>
      <c r="K11" s="45"/>
      <c r="L11" s="45"/>
      <c r="M11" s="51" t="s">
        <v>44</v>
      </c>
      <c r="N11" s="14" t="s">
        <v>63</v>
      </c>
      <c r="P11" s="10">
        <v>2825</v>
      </c>
    </row>
    <row r="12" spans="1:20" s="10" customFormat="1" ht="31.2" x14ac:dyDescent="0.25">
      <c r="A12" s="43">
        <v>3</v>
      </c>
      <c r="B12" s="44" t="s">
        <v>5</v>
      </c>
      <c r="C12" s="43"/>
      <c r="D12" s="43"/>
      <c r="E12" s="45"/>
      <c r="F12" s="45">
        <f>500*22</f>
        <v>11000</v>
      </c>
      <c r="G12" s="45">
        <f>I12+J12</f>
        <v>3000</v>
      </c>
      <c r="H12" s="46">
        <v>1000</v>
      </c>
      <c r="I12" s="45">
        <v>3000</v>
      </c>
      <c r="J12" s="45"/>
      <c r="K12" s="45"/>
      <c r="L12" s="45"/>
      <c r="M12" s="51" t="s">
        <v>39</v>
      </c>
      <c r="N12" s="14" t="s">
        <v>64</v>
      </c>
      <c r="P12" s="10">
        <v>3271</v>
      </c>
    </row>
    <row r="13" spans="1:20" s="10" customFormat="1" ht="31.2" x14ac:dyDescent="0.25">
      <c r="A13" s="43">
        <v>4</v>
      </c>
      <c r="B13" s="44" t="s">
        <v>6</v>
      </c>
      <c r="C13" s="43"/>
      <c r="D13" s="43"/>
      <c r="E13" s="45"/>
      <c r="F13" s="45">
        <f>500*36</f>
        <v>18000</v>
      </c>
      <c r="G13" s="45">
        <f>I13+J13</f>
        <v>5000</v>
      </c>
      <c r="H13" s="45">
        <v>2000</v>
      </c>
      <c r="I13" s="45">
        <v>5000</v>
      </c>
      <c r="J13" s="45"/>
      <c r="K13" s="45"/>
      <c r="L13" s="45"/>
      <c r="M13" s="51" t="s">
        <v>40</v>
      </c>
      <c r="N13" s="14" t="s">
        <v>65</v>
      </c>
      <c r="P13" s="10">
        <v>5353</v>
      </c>
    </row>
    <row r="14" spans="1:20" s="10" customFormat="1" ht="31.2" x14ac:dyDescent="0.25">
      <c r="A14" s="43">
        <v>5</v>
      </c>
      <c r="B14" s="44" t="s">
        <v>7</v>
      </c>
      <c r="C14" s="43"/>
      <c r="D14" s="43"/>
      <c r="E14" s="45"/>
      <c r="F14" s="45">
        <f>500*4</f>
        <v>2000</v>
      </c>
      <c r="G14" s="45">
        <f>I14+J14</f>
        <v>500</v>
      </c>
      <c r="H14" s="45">
        <v>500</v>
      </c>
      <c r="I14" s="45">
        <v>500</v>
      </c>
      <c r="J14" s="45"/>
      <c r="K14" s="45"/>
      <c r="L14" s="45"/>
      <c r="M14" s="51" t="s">
        <v>41</v>
      </c>
      <c r="N14" s="14" t="s">
        <v>63</v>
      </c>
      <c r="P14" s="10">
        <v>595</v>
      </c>
    </row>
    <row r="15" spans="1:20" s="6" customFormat="1" ht="24" customHeight="1" x14ac:dyDescent="0.25">
      <c r="A15" s="135" t="s">
        <v>36</v>
      </c>
      <c r="B15" s="136" t="s">
        <v>37</v>
      </c>
      <c r="C15" s="137"/>
      <c r="D15" s="137"/>
      <c r="E15" s="138"/>
      <c r="F15" s="138">
        <f>F8-F9</f>
        <v>67702</v>
      </c>
      <c r="G15" s="138" t="e">
        <f>SUM(#REF!)</f>
        <v>#REF!</v>
      </c>
      <c r="H15" s="138">
        <v>28811</v>
      </c>
      <c r="I15" s="138">
        <f>I8-I9</f>
        <v>24222</v>
      </c>
      <c r="J15" s="41"/>
      <c r="K15" s="41">
        <f>(F15-H15-I15)/2</f>
        <v>7334.5</v>
      </c>
      <c r="L15" s="41">
        <f>K15</f>
        <v>7334.5</v>
      </c>
      <c r="M15" s="47"/>
      <c r="N15" s="18"/>
      <c r="O15" s="20"/>
      <c r="P15" s="19"/>
    </row>
    <row r="16" spans="1:20" s="6" customFormat="1" ht="31.2" x14ac:dyDescent="0.25">
      <c r="A16" s="48">
        <v>1</v>
      </c>
      <c r="B16" s="49" t="s">
        <v>59</v>
      </c>
      <c r="C16" s="50" t="s">
        <v>85</v>
      </c>
      <c r="D16" s="137"/>
      <c r="E16" s="46" t="s">
        <v>27</v>
      </c>
      <c r="F16" s="46">
        <v>5500</v>
      </c>
      <c r="G16" s="138"/>
      <c r="H16" s="46">
        <v>5426.7294520547948</v>
      </c>
      <c r="I16" s="138"/>
      <c r="J16" s="41"/>
      <c r="K16" s="41"/>
      <c r="L16" s="41"/>
      <c r="M16" s="51" t="s">
        <v>43</v>
      </c>
      <c r="N16" s="18"/>
      <c r="O16" s="20"/>
      <c r="P16" s="19">
        <v>5427</v>
      </c>
    </row>
    <row r="17" spans="1:16" s="6" customFormat="1" ht="46.8" x14ac:dyDescent="0.25">
      <c r="A17" s="48">
        <v>2</v>
      </c>
      <c r="B17" s="49" t="s">
        <v>60</v>
      </c>
      <c r="C17" s="50" t="s">
        <v>86</v>
      </c>
      <c r="D17" s="137"/>
      <c r="E17" s="46" t="s">
        <v>27</v>
      </c>
      <c r="F17" s="46">
        <v>5200</v>
      </c>
      <c r="G17" s="138"/>
      <c r="H17" s="46">
        <v>5130.7260273972606</v>
      </c>
      <c r="I17" s="138"/>
      <c r="J17" s="41"/>
      <c r="K17" s="41"/>
      <c r="L17" s="41"/>
      <c r="M17" s="51" t="s">
        <v>44</v>
      </c>
      <c r="N17" s="18"/>
      <c r="O17" s="20"/>
      <c r="P17" s="19">
        <v>5131</v>
      </c>
    </row>
    <row r="18" spans="1:16" s="6" customFormat="1" ht="31.2" x14ac:dyDescent="0.25">
      <c r="A18" s="48">
        <v>3</v>
      </c>
      <c r="B18" s="49" t="s">
        <v>61</v>
      </c>
      <c r="C18" s="50" t="s">
        <v>87</v>
      </c>
      <c r="D18" s="137"/>
      <c r="E18" s="46" t="s">
        <v>27</v>
      </c>
      <c r="F18" s="46">
        <v>6000</v>
      </c>
      <c r="G18" s="138"/>
      <c r="H18" s="46">
        <v>5920.0684931506848</v>
      </c>
      <c r="I18" s="138"/>
      <c r="J18" s="41"/>
      <c r="K18" s="41"/>
      <c r="L18" s="41"/>
      <c r="M18" s="51" t="s">
        <v>39</v>
      </c>
      <c r="N18" s="18"/>
      <c r="O18" s="20"/>
      <c r="P18" s="19">
        <v>5920</v>
      </c>
    </row>
    <row r="19" spans="1:16" s="6" customFormat="1" ht="31.2" x14ac:dyDescent="0.25">
      <c r="A19" s="48">
        <v>4</v>
      </c>
      <c r="B19" s="49" t="s">
        <v>57</v>
      </c>
      <c r="C19" s="50" t="s">
        <v>88</v>
      </c>
      <c r="D19" s="137"/>
      <c r="E19" s="46" t="s">
        <v>27</v>
      </c>
      <c r="F19" s="46">
        <v>6000</v>
      </c>
      <c r="G19" s="138"/>
      <c r="H19" s="46">
        <v>5920.0684931506848</v>
      </c>
      <c r="I19" s="138"/>
      <c r="J19" s="41"/>
      <c r="K19" s="41"/>
      <c r="L19" s="41"/>
      <c r="M19" s="51" t="s">
        <v>40</v>
      </c>
      <c r="N19" s="18"/>
      <c r="O19" s="20"/>
      <c r="P19" s="19">
        <v>5920</v>
      </c>
    </row>
    <row r="20" spans="1:16" s="6" customFormat="1" ht="46.8" x14ac:dyDescent="0.25">
      <c r="A20" s="48">
        <v>5</v>
      </c>
      <c r="B20" s="49" t="s">
        <v>56</v>
      </c>
      <c r="C20" s="50" t="s">
        <v>72</v>
      </c>
      <c r="D20" s="137"/>
      <c r="E20" s="46" t="s">
        <v>27</v>
      </c>
      <c r="F20" s="46">
        <v>6500</v>
      </c>
      <c r="G20" s="138"/>
      <c r="H20" s="46">
        <v>6413.4075342465758</v>
      </c>
      <c r="I20" s="138"/>
      <c r="J20" s="41"/>
      <c r="K20" s="41"/>
      <c r="L20" s="41"/>
      <c r="M20" s="51" t="s">
        <v>41</v>
      </c>
      <c r="N20" s="18"/>
      <c r="O20" s="20"/>
      <c r="P20" s="19">
        <v>6413</v>
      </c>
    </row>
    <row r="21" spans="1:16" s="10" customFormat="1" ht="31.2" x14ac:dyDescent="0.25">
      <c r="A21" s="116">
        <v>6</v>
      </c>
      <c r="B21" s="146" t="s">
        <v>105</v>
      </c>
      <c r="C21" s="147"/>
      <c r="D21" s="147"/>
      <c r="E21" s="112"/>
      <c r="F21" s="112">
        <f>F15-F16-F17-F18-F19-F20</f>
        <v>38502</v>
      </c>
      <c r="G21" s="112"/>
      <c r="H21" s="112"/>
      <c r="I21" s="112">
        <f>I15-I16-I17-I18-I19-I20</f>
        <v>24222</v>
      </c>
      <c r="J21" s="61"/>
      <c r="K21" s="61"/>
      <c r="L21" s="61"/>
      <c r="M21" s="148" t="s">
        <v>113</v>
      </c>
      <c r="N21" s="149"/>
      <c r="O21" s="150"/>
      <c r="P21" s="9"/>
    </row>
    <row r="22" spans="1:16" s="2" customFormat="1" ht="31.2" x14ac:dyDescent="0.25">
      <c r="A22" s="34" t="s">
        <v>17</v>
      </c>
      <c r="B22" s="52" t="s">
        <v>8</v>
      </c>
      <c r="C22" s="43"/>
      <c r="D22" s="34"/>
      <c r="E22" s="45"/>
      <c r="F22" s="36">
        <v>196714</v>
      </c>
      <c r="G22" s="36">
        <f t="shared" ref="G22:H22" si="3">SUM(G23:G27)</f>
        <v>47466</v>
      </c>
      <c r="H22" s="36">
        <f t="shared" si="3"/>
        <v>35409</v>
      </c>
      <c r="I22" s="36">
        <v>47466</v>
      </c>
      <c r="J22" s="36"/>
      <c r="K22" s="36">
        <f>(F22-H22-I22)/2</f>
        <v>56919.5</v>
      </c>
      <c r="L22" s="36">
        <f>K22</f>
        <v>56919.5</v>
      </c>
      <c r="M22" s="142"/>
      <c r="N22" s="14"/>
      <c r="O22" s="21"/>
    </row>
    <row r="23" spans="1:16" s="10" customFormat="1" ht="15.75" customHeight="1" x14ac:dyDescent="0.25">
      <c r="A23" s="43">
        <v>1</v>
      </c>
      <c r="B23" s="44" t="s">
        <v>3</v>
      </c>
      <c r="C23" s="43"/>
      <c r="D23" s="43"/>
      <c r="E23" s="45"/>
      <c r="F23" s="45">
        <f>21*($F$22-$F$28)/102</f>
        <v>32399.952941176471</v>
      </c>
      <c r="G23" s="45">
        <f t="shared" ref="G23:G39" si="4">I23+J23</f>
        <v>9772.4117647058829</v>
      </c>
      <c r="H23" s="45">
        <v>7290</v>
      </c>
      <c r="I23" s="45">
        <f>21*$I$22/102</f>
        <v>9772.4117647058829</v>
      </c>
      <c r="J23" s="45"/>
      <c r="K23" s="45"/>
      <c r="L23" s="45"/>
      <c r="M23" s="168" t="s">
        <v>78</v>
      </c>
      <c r="N23" s="14" t="s">
        <v>45</v>
      </c>
      <c r="O23" s="23"/>
      <c r="P23" s="10">
        <v>9772</v>
      </c>
    </row>
    <row r="24" spans="1:16" s="10" customFormat="1" ht="15.6" x14ac:dyDescent="0.25">
      <c r="A24" s="43">
        <v>2</v>
      </c>
      <c r="B24" s="44" t="s">
        <v>4</v>
      </c>
      <c r="C24" s="43"/>
      <c r="D24" s="43"/>
      <c r="E24" s="45"/>
      <c r="F24" s="45">
        <f>19*($F$22-$F$28)/102</f>
        <v>29314.243137254904</v>
      </c>
      <c r="G24" s="45">
        <f t="shared" si="4"/>
        <v>8841.7058823529405</v>
      </c>
      <c r="H24" s="45">
        <v>6596</v>
      </c>
      <c r="I24" s="45">
        <f>19*$I$22/102</f>
        <v>8841.7058823529405</v>
      </c>
      <c r="J24" s="45"/>
      <c r="K24" s="45"/>
      <c r="L24" s="45"/>
      <c r="M24" s="168"/>
      <c r="N24" s="14" t="s">
        <v>46</v>
      </c>
      <c r="O24" s="23"/>
      <c r="P24" s="10">
        <v>8842</v>
      </c>
    </row>
    <row r="25" spans="1:16" s="10" customFormat="1" ht="15.6" x14ac:dyDescent="0.25">
      <c r="A25" s="43">
        <v>3</v>
      </c>
      <c r="B25" s="44" t="s">
        <v>5</v>
      </c>
      <c r="C25" s="43"/>
      <c r="D25" s="43"/>
      <c r="E25" s="45"/>
      <c r="F25" s="45">
        <f>22*($F$22-$F$28)/102</f>
        <v>33942.807843137256</v>
      </c>
      <c r="G25" s="45">
        <f t="shared" si="4"/>
        <v>10237.764705882353</v>
      </c>
      <c r="H25" s="45">
        <v>7637</v>
      </c>
      <c r="I25" s="45">
        <f>22*$I$22/102</f>
        <v>10237.764705882353</v>
      </c>
      <c r="J25" s="45"/>
      <c r="K25" s="45"/>
      <c r="L25" s="45"/>
      <c r="M25" s="168"/>
      <c r="N25" s="14" t="s">
        <v>47</v>
      </c>
      <c r="O25" s="23"/>
      <c r="P25" s="10">
        <v>10238</v>
      </c>
    </row>
    <row r="26" spans="1:16" s="10" customFormat="1" ht="15.6" x14ac:dyDescent="0.25">
      <c r="A26" s="43">
        <v>4</v>
      </c>
      <c r="B26" s="44" t="s">
        <v>6</v>
      </c>
      <c r="C26" s="43"/>
      <c r="D26" s="43"/>
      <c r="E26" s="45"/>
      <c r="F26" s="45">
        <f>36*($F$22-$F$28)/102</f>
        <v>55542.776470588236</v>
      </c>
      <c r="G26" s="45">
        <f t="shared" si="4"/>
        <v>16752.705882352941</v>
      </c>
      <c r="H26" s="45">
        <v>12497</v>
      </c>
      <c r="I26" s="45">
        <f>36*$I$22/102</f>
        <v>16752.705882352941</v>
      </c>
      <c r="J26" s="45"/>
      <c r="K26" s="45"/>
      <c r="L26" s="45"/>
      <c r="M26" s="168"/>
      <c r="N26" s="14" t="s">
        <v>48</v>
      </c>
      <c r="O26" s="23"/>
      <c r="P26" s="10">
        <v>16753</v>
      </c>
    </row>
    <row r="27" spans="1:16" s="10" customFormat="1" ht="15.6" x14ac:dyDescent="0.25">
      <c r="A27" s="43">
        <v>5</v>
      </c>
      <c r="B27" s="44" t="s">
        <v>7</v>
      </c>
      <c r="C27" s="43"/>
      <c r="D27" s="43"/>
      <c r="E27" s="45"/>
      <c r="F27" s="45">
        <f>4*($F$22-$F$28)/102</f>
        <v>6171.4196078431378</v>
      </c>
      <c r="G27" s="45">
        <f t="shared" si="4"/>
        <v>1861.4117647058824</v>
      </c>
      <c r="H27" s="45">
        <v>1389</v>
      </c>
      <c r="I27" s="45">
        <f>4*$I$22/102</f>
        <v>1861.4117647058824</v>
      </c>
      <c r="J27" s="45"/>
      <c r="K27" s="45"/>
      <c r="L27" s="45"/>
      <c r="M27" s="168"/>
      <c r="N27" s="14" t="s">
        <v>49</v>
      </c>
      <c r="O27" s="23"/>
      <c r="P27" s="10">
        <v>1861</v>
      </c>
    </row>
    <row r="28" spans="1:16" s="10" customFormat="1" ht="15.6" x14ac:dyDescent="0.25">
      <c r="A28" s="83">
        <v>6</v>
      </c>
      <c r="B28" s="153" t="s">
        <v>116</v>
      </c>
      <c r="C28" s="83"/>
      <c r="D28" s="83"/>
      <c r="E28" s="84"/>
      <c r="F28" s="84">
        <f>196714*20/100</f>
        <v>39342.800000000003</v>
      </c>
      <c r="G28" s="84"/>
      <c r="H28" s="84"/>
      <c r="I28" s="84"/>
      <c r="J28" s="84"/>
      <c r="K28" s="84"/>
      <c r="L28" s="84"/>
      <c r="M28" s="154" t="s">
        <v>112</v>
      </c>
      <c r="N28" s="14"/>
      <c r="O28" s="23"/>
    </row>
    <row r="29" spans="1:16" s="2" customFormat="1" ht="46.8" x14ac:dyDescent="0.25">
      <c r="A29" s="34" t="s">
        <v>18</v>
      </c>
      <c r="B29" s="53" t="s">
        <v>9</v>
      </c>
      <c r="C29" s="43"/>
      <c r="D29" s="145"/>
      <c r="E29" s="45"/>
      <c r="F29" s="36">
        <f t="shared" ref="F29:H29" si="5">F30</f>
        <v>163789</v>
      </c>
      <c r="G29" s="36">
        <f t="shared" si="5"/>
        <v>39522</v>
      </c>
      <c r="H29" s="36">
        <f t="shared" si="5"/>
        <v>29482</v>
      </c>
      <c r="I29" s="36">
        <f>I30</f>
        <v>39522</v>
      </c>
      <c r="J29" s="36"/>
      <c r="K29" s="36"/>
      <c r="L29" s="36"/>
      <c r="M29" s="35"/>
      <c r="N29" s="14" t="s">
        <v>30</v>
      </c>
      <c r="O29" s="24"/>
    </row>
    <row r="30" spans="1:16" s="10" customFormat="1" ht="62.4" x14ac:dyDescent="0.25">
      <c r="A30" s="34"/>
      <c r="B30" s="152" t="s">
        <v>115</v>
      </c>
      <c r="C30" s="43"/>
      <c r="D30" s="34"/>
      <c r="E30" s="45"/>
      <c r="F30" s="36">
        <v>163789</v>
      </c>
      <c r="G30" s="36">
        <f t="shared" ref="G30" si="6">SUM(G32:G39)</f>
        <v>39522</v>
      </c>
      <c r="H30" s="36">
        <v>29482</v>
      </c>
      <c r="I30" s="36">
        <v>39522</v>
      </c>
      <c r="J30" s="36"/>
      <c r="K30" s="36">
        <f>(F30-H30-I30)/2</f>
        <v>47392.5</v>
      </c>
      <c r="L30" s="36">
        <f>K30</f>
        <v>47392.5</v>
      </c>
      <c r="M30" s="35"/>
      <c r="N30" s="14" t="s">
        <v>30</v>
      </c>
      <c r="O30" s="22"/>
    </row>
    <row r="31" spans="1:16" s="10" customFormat="1" ht="15.6" x14ac:dyDescent="0.25">
      <c r="A31" s="34" t="s">
        <v>22</v>
      </c>
      <c r="B31" s="52" t="s">
        <v>97</v>
      </c>
      <c r="C31" s="43"/>
      <c r="D31" s="34"/>
      <c r="E31" s="45"/>
      <c r="F31" s="36">
        <f>F30-F37</f>
        <v>93789</v>
      </c>
      <c r="G31" s="36"/>
      <c r="H31" s="36">
        <f>SUM(H32:H36)</f>
        <v>24266</v>
      </c>
      <c r="I31" s="36">
        <f>I30-I37</f>
        <v>28594</v>
      </c>
      <c r="J31" s="36"/>
      <c r="K31" s="36">
        <f>(F31-H31-I31)/2</f>
        <v>20464.5</v>
      </c>
      <c r="L31" s="36">
        <f>K31</f>
        <v>20464.5</v>
      </c>
      <c r="M31" s="35"/>
      <c r="N31" s="14"/>
      <c r="O31" s="22"/>
    </row>
    <row r="32" spans="1:16" s="10" customFormat="1" ht="15.75" customHeight="1" x14ac:dyDescent="0.25">
      <c r="A32" s="43">
        <v>1</v>
      </c>
      <c r="B32" s="44" t="s">
        <v>3</v>
      </c>
      <c r="C32" s="43"/>
      <c r="D32" s="43"/>
      <c r="E32" s="45"/>
      <c r="F32" s="45">
        <f>'[1]DA 4 Thanh'!$K$9</f>
        <v>23126.47618934634</v>
      </c>
      <c r="G32" s="45">
        <f t="shared" si="4"/>
        <v>7050.7038155665286</v>
      </c>
      <c r="H32" s="46">
        <v>5983</v>
      </c>
      <c r="I32" s="46">
        <f>'[1]DA 4 Thanh'!$M$9</f>
        <v>7050.7038155665286</v>
      </c>
      <c r="J32" s="45"/>
      <c r="K32" s="45"/>
      <c r="L32" s="45"/>
      <c r="M32" s="168" t="s">
        <v>78</v>
      </c>
      <c r="N32" s="14" t="s">
        <v>31</v>
      </c>
      <c r="O32" s="9"/>
      <c r="P32" s="10">
        <v>7051</v>
      </c>
    </row>
    <row r="33" spans="1:19" s="10" customFormat="1" ht="15.6" x14ac:dyDescent="0.25">
      <c r="A33" s="43">
        <v>2</v>
      </c>
      <c r="B33" s="44" t="s">
        <v>4</v>
      </c>
      <c r="C33" s="43"/>
      <c r="D33" s="43"/>
      <c r="E33" s="45"/>
      <c r="F33" s="45">
        <f>'[1]DA 4 Thanh'!$K$13</f>
        <v>11792.250043964574</v>
      </c>
      <c r="G33" s="45">
        <f t="shared" si="4"/>
        <v>3595.1721178083035</v>
      </c>
      <c r="H33" s="46">
        <v>3051</v>
      </c>
      <c r="I33" s="46">
        <f>'[1]DA 4 Thanh'!$M$13</f>
        <v>3595.1721178083035</v>
      </c>
      <c r="J33" s="45"/>
      <c r="K33" s="45"/>
      <c r="L33" s="45"/>
      <c r="M33" s="168"/>
      <c r="N33" s="14" t="s">
        <v>32</v>
      </c>
      <c r="P33" s="10">
        <v>3595</v>
      </c>
    </row>
    <row r="34" spans="1:19" s="10" customFormat="1" ht="15.6" x14ac:dyDescent="0.25">
      <c r="A34" s="43">
        <v>3</v>
      </c>
      <c r="B34" s="44" t="s">
        <v>5</v>
      </c>
      <c r="C34" s="43"/>
      <c r="D34" s="43"/>
      <c r="E34" s="45"/>
      <c r="F34" s="45">
        <f>'[1]DA 4 Thanh'!$K$16</f>
        <v>18677.007673562355</v>
      </c>
      <c r="G34" s="45">
        <f t="shared" si="4"/>
        <v>5694.1683717476681</v>
      </c>
      <c r="H34" s="46">
        <v>4832</v>
      </c>
      <c r="I34" s="46">
        <f>'[1]DA 4 Thanh'!$M$16</f>
        <v>5694.1683717476681</v>
      </c>
      <c r="J34" s="45"/>
      <c r="K34" s="45"/>
      <c r="L34" s="45"/>
      <c r="M34" s="168"/>
      <c r="N34" s="14" t="s">
        <v>33</v>
      </c>
      <c r="P34" s="10">
        <v>5694</v>
      </c>
    </row>
    <row r="35" spans="1:19" s="10" customFormat="1" ht="15.6" x14ac:dyDescent="0.25">
      <c r="A35" s="43">
        <v>4</v>
      </c>
      <c r="B35" s="44" t="s">
        <v>6</v>
      </c>
      <c r="C35" s="43"/>
      <c r="D35" s="43"/>
      <c r="E35" s="45"/>
      <c r="F35" s="45">
        <f>'[1]DA 4 Thanh'!$K$21</f>
        <v>32735.160456729092</v>
      </c>
      <c r="G35" s="45">
        <f t="shared" si="4"/>
        <v>9980.1594867171152</v>
      </c>
      <c r="H35" s="46">
        <v>8470</v>
      </c>
      <c r="I35" s="46">
        <f>'[1]DA 4 Thanh'!$M$21</f>
        <v>9980.1594867171152</v>
      </c>
      <c r="J35" s="45"/>
      <c r="K35" s="45"/>
      <c r="L35" s="45"/>
      <c r="M35" s="168"/>
      <c r="N35" s="14" t="s">
        <v>34</v>
      </c>
      <c r="P35" s="10">
        <v>9980</v>
      </c>
    </row>
    <row r="36" spans="1:19" s="10" customFormat="1" ht="15.6" x14ac:dyDescent="0.25">
      <c r="A36" s="43">
        <v>5</v>
      </c>
      <c r="B36" s="44" t="s">
        <v>7</v>
      </c>
      <c r="C36" s="43"/>
      <c r="D36" s="43"/>
      <c r="E36" s="45"/>
      <c r="F36" s="45">
        <f>'[1]DA 4 Thanh'!$K$27</f>
        <v>7458.1056363976413</v>
      </c>
      <c r="G36" s="45">
        <f t="shared" si="4"/>
        <v>2273.7962081603828</v>
      </c>
      <c r="H36" s="46">
        <v>1930</v>
      </c>
      <c r="I36" s="46">
        <f>'[1]DA 4 Thanh'!$M$27</f>
        <v>2273.7962081603828</v>
      </c>
      <c r="J36" s="45"/>
      <c r="K36" s="45"/>
      <c r="L36" s="45"/>
      <c r="M36" s="168"/>
      <c r="N36" s="14" t="s">
        <v>35</v>
      </c>
      <c r="P36" s="10">
        <v>2274</v>
      </c>
    </row>
    <row r="37" spans="1:19" s="5" customFormat="1" ht="31.2" x14ac:dyDescent="0.25">
      <c r="A37" s="104" t="s">
        <v>36</v>
      </c>
      <c r="B37" s="105" t="s">
        <v>96</v>
      </c>
      <c r="C37" s="104"/>
      <c r="D37" s="104"/>
      <c r="E37" s="106"/>
      <c r="F37" s="106">
        <v>70000</v>
      </c>
      <c r="G37" s="106"/>
      <c r="H37" s="68">
        <f>H38+H39</f>
        <v>5216</v>
      </c>
      <c r="I37" s="68">
        <f>I38+I39</f>
        <v>10928</v>
      </c>
      <c r="J37" s="106"/>
      <c r="K37" s="106">
        <f>(F37-H37-I37)/2</f>
        <v>26928</v>
      </c>
      <c r="L37" s="106">
        <f>K37</f>
        <v>26928</v>
      </c>
      <c r="M37" s="107"/>
      <c r="N37" s="108"/>
    </row>
    <row r="38" spans="1:19" s="10" customFormat="1" ht="46.8" x14ac:dyDescent="0.25">
      <c r="A38" s="43">
        <v>1</v>
      </c>
      <c r="B38" s="44" t="s">
        <v>29</v>
      </c>
      <c r="C38" s="54" t="s">
        <v>83</v>
      </c>
      <c r="D38" s="43"/>
      <c r="E38" s="45" t="s">
        <v>28</v>
      </c>
      <c r="F38" s="45">
        <v>5500</v>
      </c>
      <c r="G38" s="45">
        <f t="shared" si="4"/>
        <v>2000</v>
      </c>
      <c r="H38" s="46">
        <v>2000</v>
      </c>
      <c r="I38" s="46">
        <f>'[1]DA 4 Thanh'!$M$32</f>
        <v>2000</v>
      </c>
      <c r="J38" s="45"/>
      <c r="K38" s="45"/>
      <c r="L38" s="45"/>
      <c r="M38" s="142" t="s">
        <v>39</v>
      </c>
      <c r="N38" s="14"/>
    </row>
    <row r="39" spans="1:19" s="10" customFormat="1" ht="46.8" x14ac:dyDescent="0.25">
      <c r="A39" s="62">
        <v>2</v>
      </c>
      <c r="B39" s="76" t="s">
        <v>38</v>
      </c>
      <c r="C39" s="63" t="s">
        <v>84</v>
      </c>
      <c r="D39" s="63"/>
      <c r="E39" s="61" t="s">
        <v>28</v>
      </c>
      <c r="F39" s="61">
        <v>30000</v>
      </c>
      <c r="G39" s="61">
        <f t="shared" si="4"/>
        <v>8928</v>
      </c>
      <c r="H39" s="64">
        <v>3216</v>
      </c>
      <c r="I39" s="64">
        <f>'[1]DA 4 Thanh'!$M$31</f>
        <v>8928</v>
      </c>
      <c r="J39" s="61"/>
      <c r="K39" s="61"/>
      <c r="L39" s="61"/>
      <c r="M39" s="103" t="s">
        <v>43</v>
      </c>
      <c r="N39" s="14"/>
    </row>
    <row r="40" spans="1:19" s="115" customFormat="1" ht="15.6" x14ac:dyDescent="0.25">
      <c r="A40" s="109">
        <v>3</v>
      </c>
      <c r="B40" s="110" t="s">
        <v>106</v>
      </c>
      <c r="C40" s="111"/>
      <c r="D40" s="111"/>
      <c r="E40" s="112"/>
      <c r="F40" s="112">
        <f>F37-F38-F39</f>
        <v>34500</v>
      </c>
      <c r="G40" s="112"/>
      <c r="H40" s="112"/>
      <c r="I40" s="112"/>
      <c r="J40" s="112"/>
      <c r="K40" s="112"/>
      <c r="L40" s="112"/>
      <c r="M40" s="113" t="s">
        <v>112</v>
      </c>
      <c r="N40" s="114"/>
    </row>
    <row r="41" spans="1:19" s="32" customFormat="1" ht="31.2" x14ac:dyDescent="0.25">
      <c r="A41" s="65" t="s">
        <v>19</v>
      </c>
      <c r="B41" s="66" t="s">
        <v>11</v>
      </c>
      <c r="C41" s="67"/>
      <c r="D41" s="67"/>
      <c r="E41" s="68"/>
      <c r="F41" s="68">
        <f>F42</f>
        <v>54737</v>
      </c>
      <c r="G41" s="68">
        <f>G42</f>
        <v>13208</v>
      </c>
      <c r="H41" s="68">
        <f t="shared" ref="H41:I41" si="7">H42</f>
        <v>9853</v>
      </c>
      <c r="I41" s="68">
        <f t="shared" si="7"/>
        <v>13208</v>
      </c>
      <c r="J41" s="68"/>
      <c r="K41" s="68">
        <f>K42</f>
        <v>15838</v>
      </c>
      <c r="L41" s="68">
        <f>L42</f>
        <v>15838</v>
      </c>
      <c r="M41" s="68"/>
      <c r="N41" s="69"/>
      <c r="O41" s="80"/>
      <c r="P41" s="31"/>
    </row>
    <row r="42" spans="1:19" s="32" customFormat="1" ht="62.4" x14ac:dyDescent="0.25">
      <c r="A42" s="65"/>
      <c r="B42" s="66" t="s">
        <v>12</v>
      </c>
      <c r="C42" s="70"/>
      <c r="D42" s="67"/>
      <c r="E42" s="68"/>
      <c r="F42" s="68">
        <v>54737</v>
      </c>
      <c r="G42" s="68">
        <f>I42</f>
        <v>13208</v>
      </c>
      <c r="H42" s="68">
        <v>9853</v>
      </c>
      <c r="I42" s="68">
        <v>13208</v>
      </c>
      <c r="J42" s="68"/>
      <c r="K42" s="68">
        <f>(F42-H42-I42)/2</f>
        <v>15838</v>
      </c>
      <c r="L42" s="68">
        <f>K42</f>
        <v>15838</v>
      </c>
      <c r="M42" s="89"/>
      <c r="N42" s="71"/>
      <c r="O42" s="80">
        <f>SUM(O43:O48)</f>
        <v>27250.333333333336</v>
      </c>
      <c r="P42" s="29"/>
    </row>
    <row r="43" spans="1:19" s="32" customFormat="1" ht="46.8" x14ac:dyDescent="0.25">
      <c r="A43" s="72">
        <v>1</v>
      </c>
      <c r="B43" s="73" t="s">
        <v>66</v>
      </c>
      <c r="C43" s="70" t="s">
        <v>75</v>
      </c>
      <c r="D43" s="67"/>
      <c r="E43" s="64" t="s">
        <v>28</v>
      </c>
      <c r="F43" s="64">
        <v>7000</v>
      </c>
      <c r="G43" s="64">
        <f>I43+J43</f>
        <v>1858.2</v>
      </c>
      <c r="H43" s="64">
        <v>1921</v>
      </c>
      <c r="I43" s="64">
        <f>($I$42-$I$48)/5</f>
        <v>1858.2</v>
      </c>
      <c r="J43" s="64"/>
      <c r="K43" s="64"/>
      <c r="L43" s="64"/>
      <c r="M43" s="77" t="s">
        <v>44</v>
      </c>
      <c r="N43" s="169"/>
      <c r="O43" s="81">
        <f>F43*2/3</f>
        <v>4666.666666666667</v>
      </c>
      <c r="P43" s="29">
        <v>5000</v>
      </c>
      <c r="Q43" s="79">
        <v>1352</v>
      </c>
      <c r="S43" s="32">
        <v>1858</v>
      </c>
    </row>
    <row r="44" spans="1:19" s="32" customFormat="1" ht="46.8" x14ac:dyDescent="0.25">
      <c r="A44" s="72">
        <v>2</v>
      </c>
      <c r="B44" s="73" t="s">
        <v>67</v>
      </c>
      <c r="C44" s="70" t="s">
        <v>74</v>
      </c>
      <c r="D44" s="67"/>
      <c r="E44" s="64" t="s">
        <v>28</v>
      </c>
      <c r="F44" s="64">
        <v>7000</v>
      </c>
      <c r="G44" s="64">
        <f t="shared" ref="G44:G47" si="8">I44+J44</f>
        <v>1858.2</v>
      </c>
      <c r="H44" s="64">
        <v>1921</v>
      </c>
      <c r="I44" s="64">
        <f>($I$42-$I$48)/5</f>
        <v>1858.2</v>
      </c>
      <c r="J44" s="64"/>
      <c r="K44" s="64"/>
      <c r="L44" s="64"/>
      <c r="M44" s="77" t="s">
        <v>39</v>
      </c>
      <c r="N44" s="169"/>
      <c r="O44" s="81">
        <f t="shared" ref="O44:O47" si="9">F44*2/3</f>
        <v>4666.666666666667</v>
      </c>
      <c r="P44" s="29">
        <v>9000</v>
      </c>
      <c r="Q44" s="79">
        <v>1352</v>
      </c>
      <c r="S44" s="32">
        <v>1858</v>
      </c>
    </row>
    <row r="45" spans="1:19" s="32" customFormat="1" ht="31.2" x14ac:dyDescent="0.25">
      <c r="A45" s="72">
        <v>3</v>
      </c>
      <c r="B45" s="73" t="s">
        <v>68</v>
      </c>
      <c r="C45" s="70" t="s">
        <v>73</v>
      </c>
      <c r="D45" s="67"/>
      <c r="E45" s="64" t="s">
        <v>28</v>
      </c>
      <c r="F45" s="64">
        <v>7000</v>
      </c>
      <c r="G45" s="64">
        <f t="shared" si="8"/>
        <v>1858.2</v>
      </c>
      <c r="H45" s="64">
        <v>1921</v>
      </c>
      <c r="I45" s="64">
        <f>($I$42-$I$48)/5</f>
        <v>1858.2</v>
      </c>
      <c r="J45" s="64"/>
      <c r="K45" s="64"/>
      <c r="L45" s="64"/>
      <c r="M45" s="77" t="s">
        <v>40</v>
      </c>
      <c r="N45" s="169"/>
      <c r="O45" s="81">
        <f t="shared" si="9"/>
        <v>4666.666666666667</v>
      </c>
      <c r="P45" s="29">
        <v>7000</v>
      </c>
      <c r="Q45" s="79">
        <v>1352</v>
      </c>
      <c r="S45" s="32">
        <v>1858</v>
      </c>
    </row>
    <row r="46" spans="1:19" s="32" customFormat="1" ht="46.8" x14ac:dyDescent="0.25">
      <c r="A46" s="72">
        <v>4</v>
      </c>
      <c r="B46" s="73" t="s">
        <v>69</v>
      </c>
      <c r="C46" s="70" t="s">
        <v>72</v>
      </c>
      <c r="D46" s="67"/>
      <c r="E46" s="64" t="s">
        <v>28</v>
      </c>
      <c r="F46" s="64">
        <v>7000</v>
      </c>
      <c r="G46" s="64">
        <f t="shared" si="8"/>
        <v>1858.2</v>
      </c>
      <c r="H46" s="64">
        <v>1920</v>
      </c>
      <c r="I46" s="64">
        <f>($I$42-$I$48)/5</f>
        <v>1858.2</v>
      </c>
      <c r="J46" s="64"/>
      <c r="K46" s="64"/>
      <c r="L46" s="64"/>
      <c r="M46" s="77" t="s">
        <v>41</v>
      </c>
      <c r="N46" s="169"/>
      <c r="O46" s="81">
        <f t="shared" si="9"/>
        <v>4666.666666666667</v>
      </c>
      <c r="P46" s="29">
        <v>9000</v>
      </c>
      <c r="Q46" s="79">
        <v>1352</v>
      </c>
      <c r="S46" s="32">
        <v>1858</v>
      </c>
    </row>
    <row r="47" spans="1:19" s="32" customFormat="1" ht="46.8" x14ac:dyDescent="0.25">
      <c r="A47" s="72">
        <v>5</v>
      </c>
      <c r="B47" s="73" t="s">
        <v>70</v>
      </c>
      <c r="C47" s="70" t="s">
        <v>71</v>
      </c>
      <c r="D47" s="67"/>
      <c r="E47" s="64" t="s">
        <v>28</v>
      </c>
      <c r="F47" s="64">
        <v>7000</v>
      </c>
      <c r="G47" s="64">
        <f t="shared" si="8"/>
        <v>1858.2</v>
      </c>
      <c r="H47" s="64">
        <v>1920</v>
      </c>
      <c r="I47" s="64">
        <f>($I$42-$I$48)/5</f>
        <v>1858.2</v>
      </c>
      <c r="J47" s="64"/>
      <c r="K47" s="64"/>
      <c r="L47" s="64"/>
      <c r="M47" s="77" t="s">
        <v>43</v>
      </c>
      <c r="N47" s="170"/>
      <c r="O47" s="81">
        <f t="shared" si="9"/>
        <v>4666.666666666667</v>
      </c>
      <c r="P47" s="29">
        <v>5000</v>
      </c>
      <c r="Q47" s="79">
        <v>1352</v>
      </c>
      <c r="S47" s="32">
        <v>1858</v>
      </c>
    </row>
    <row r="48" spans="1:19" s="32" customFormat="1" ht="31.2" x14ac:dyDescent="0.25">
      <c r="A48" s="72">
        <v>6</v>
      </c>
      <c r="B48" s="78" t="s">
        <v>91</v>
      </c>
      <c r="C48" s="70" t="s">
        <v>89</v>
      </c>
      <c r="D48" s="70"/>
      <c r="E48" s="61" t="s">
        <v>92</v>
      </c>
      <c r="F48" s="64">
        <v>12000</v>
      </c>
      <c r="G48" s="64"/>
      <c r="H48" s="64">
        <v>250</v>
      </c>
      <c r="I48" s="64">
        <v>3917</v>
      </c>
      <c r="J48" s="64"/>
      <c r="K48" s="98"/>
      <c r="L48" s="98"/>
      <c r="M48" s="144" t="s">
        <v>95</v>
      </c>
      <c r="N48" s="143"/>
      <c r="O48" s="82">
        <f>I48</f>
        <v>3917</v>
      </c>
      <c r="P48" s="29"/>
      <c r="Q48" s="79"/>
      <c r="S48" s="32">
        <v>3917</v>
      </c>
    </row>
    <row r="49" spans="1:17" s="123" customFormat="1" ht="15.6" x14ac:dyDescent="0.25">
      <c r="A49" s="116">
        <v>7</v>
      </c>
      <c r="B49" s="117" t="s">
        <v>117</v>
      </c>
      <c r="C49" s="111"/>
      <c r="D49" s="111"/>
      <c r="E49" s="112"/>
      <c r="F49" s="112">
        <f>F42-F43-F44-F45-F46-F47-F48</f>
        <v>7737</v>
      </c>
      <c r="G49" s="112"/>
      <c r="H49" s="112"/>
      <c r="I49" s="112"/>
      <c r="J49" s="112"/>
      <c r="K49" s="118"/>
      <c r="L49" s="118"/>
      <c r="M49" s="144" t="s">
        <v>112</v>
      </c>
      <c r="N49" s="119"/>
      <c r="O49" s="120"/>
      <c r="P49" s="121"/>
      <c r="Q49" s="122"/>
    </row>
    <row r="50" spans="1:17" s="5" customFormat="1" ht="31.2" x14ac:dyDescent="0.25">
      <c r="A50" s="34" t="s">
        <v>20</v>
      </c>
      <c r="B50" s="53" t="s">
        <v>13</v>
      </c>
      <c r="C50" s="54"/>
      <c r="D50" s="55"/>
      <c r="E50" s="45"/>
      <c r="F50" s="36">
        <v>42885</v>
      </c>
      <c r="G50" s="36" t="e">
        <f>SUM(#REF!)</f>
        <v>#REF!</v>
      </c>
      <c r="H50" s="36">
        <v>7739</v>
      </c>
      <c r="I50" s="36">
        <v>10374</v>
      </c>
      <c r="J50" s="56"/>
      <c r="K50" s="56">
        <f>(F50-H50-I50)/2</f>
        <v>12386</v>
      </c>
      <c r="L50" s="56">
        <f>K50</f>
        <v>12386</v>
      </c>
      <c r="M50" s="57" t="s">
        <v>112</v>
      </c>
      <c r="N50" s="11"/>
      <c r="O50" s="25"/>
    </row>
    <row r="51" spans="1:17" s="5" customFormat="1" ht="31.2" x14ac:dyDescent="0.25">
      <c r="A51" s="34" t="s">
        <v>21</v>
      </c>
      <c r="B51" s="53" t="s">
        <v>110</v>
      </c>
      <c r="C51" s="145"/>
      <c r="D51" s="145"/>
      <c r="E51" s="36"/>
      <c r="F51" s="36">
        <f t="shared" ref="F51:H51" si="10">F52</f>
        <v>218186</v>
      </c>
      <c r="G51" s="36">
        <f t="shared" si="10"/>
        <v>70491.5</v>
      </c>
      <c r="H51" s="36">
        <f t="shared" si="10"/>
        <v>39273</v>
      </c>
      <c r="I51" s="36">
        <f>I52</f>
        <v>55128</v>
      </c>
      <c r="J51" s="36"/>
      <c r="K51" s="36"/>
      <c r="L51" s="36"/>
      <c r="M51" s="35"/>
      <c r="N51" s="17"/>
    </row>
    <row r="52" spans="1:17" ht="31.2" x14ac:dyDescent="0.25">
      <c r="A52" s="34"/>
      <c r="B52" s="53" t="s">
        <v>111</v>
      </c>
      <c r="C52" s="145"/>
      <c r="D52" s="145"/>
      <c r="E52" s="45"/>
      <c r="F52" s="36">
        <v>218186</v>
      </c>
      <c r="G52" s="36">
        <f t="shared" ref="G52" si="11">SUM(G54:G59)</f>
        <v>70491.5</v>
      </c>
      <c r="H52" s="36">
        <f>H53+H57</f>
        <v>39273</v>
      </c>
      <c r="I52" s="36">
        <v>55128</v>
      </c>
      <c r="J52" s="36"/>
      <c r="K52" s="36">
        <f>(F52-H52-I52)/2</f>
        <v>61892.5</v>
      </c>
      <c r="L52" s="36">
        <f>K52</f>
        <v>61892.5</v>
      </c>
      <c r="M52" s="35"/>
      <c r="N52" s="16"/>
      <c r="P52" s="1">
        <f>39273-9500-4773</f>
        <v>25000</v>
      </c>
    </row>
    <row r="53" spans="1:17" ht="15.6" x14ac:dyDescent="0.25">
      <c r="A53" s="34" t="s">
        <v>22</v>
      </c>
      <c r="B53" s="53" t="s">
        <v>97</v>
      </c>
      <c r="C53" s="145"/>
      <c r="D53" s="145"/>
      <c r="E53" s="45"/>
      <c r="F53" s="36">
        <f>F52-F57</f>
        <v>128186</v>
      </c>
      <c r="G53" s="36"/>
      <c r="H53" s="36">
        <f>SUM(H54:H56)</f>
        <v>25000</v>
      </c>
      <c r="I53" s="36">
        <f>I52-I57</f>
        <v>39764.5</v>
      </c>
      <c r="J53" s="36"/>
      <c r="K53" s="124">
        <f>(F53-H53-I53)/2</f>
        <v>31710.75</v>
      </c>
      <c r="L53" s="124">
        <f>K53</f>
        <v>31710.75</v>
      </c>
      <c r="M53" s="140"/>
      <c r="N53" s="16"/>
    </row>
    <row r="54" spans="1:17" s="27" customFormat="1" ht="15.75" customHeight="1" x14ac:dyDescent="0.25">
      <c r="A54" s="48">
        <v>1</v>
      </c>
      <c r="B54" s="49" t="s">
        <v>5</v>
      </c>
      <c r="C54" s="58"/>
      <c r="D54" s="58"/>
      <c r="E54" s="45"/>
      <c r="F54" s="46">
        <f>'[1]DA 9 -TDA 1 PA2'!$G$10</f>
        <v>6409.3</v>
      </c>
      <c r="G54" s="46">
        <f>I54+J54</f>
        <v>1988.2249999999999</v>
      </c>
      <c r="H54" s="46">
        <v>1136</v>
      </c>
      <c r="I54" s="46">
        <f>'[1]DA 9 -TDA 1 PA2'!$I$10</f>
        <v>1988.2249999999999</v>
      </c>
      <c r="J54" s="46"/>
      <c r="K54" s="99"/>
      <c r="L54" s="99"/>
      <c r="M54" s="171" t="s">
        <v>78</v>
      </c>
      <c r="N54" s="28" t="s">
        <v>62</v>
      </c>
      <c r="O54" s="27">
        <v>1136</v>
      </c>
      <c r="P54" s="27">
        <v>1988</v>
      </c>
    </row>
    <row r="55" spans="1:17" s="27" customFormat="1" ht="15.6" x14ac:dyDescent="0.25">
      <c r="A55" s="48">
        <v>2</v>
      </c>
      <c r="B55" s="49" t="s">
        <v>6</v>
      </c>
      <c r="C55" s="48"/>
      <c r="D55" s="48"/>
      <c r="E55" s="45"/>
      <c r="F55" s="46">
        <f>'[1]DA 9 -TDA 1 PA2'!$G$13</f>
        <v>96139.5</v>
      </c>
      <c r="G55" s="46">
        <f t="shared" ref="G55:G56" si="12">I55+J55</f>
        <v>29823.375</v>
      </c>
      <c r="H55" s="46">
        <v>19318</v>
      </c>
      <c r="I55" s="46">
        <f>'[1]DA 9 -TDA 1 PA2'!$I$13</f>
        <v>29823.375</v>
      </c>
      <c r="J55" s="46"/>
      <c r="K55" s="100"/>
      <c r="L55" s="100"/>
      <c r="M55" s="172"/>
      <c r="N55" s="26" t="s">
        <v>58</v>
      </c>
      <c r="O55" s="27">
        <v>19318</v>
      </c>
      <c r="P55" s="27">
        <v>29823</v>
      </c>
    </row>
    <row r="56" spans="1:17" s="27" customFormat="1" ht="15.6" x14ac:dyDescent="0.25">
      <c r="A56" s="48">
        <v>3</v>
      </c>
      <c r="B56" s="49" t="s">
        <v>7</v>
      </c>
      <c r="C56" s="48"/>
      <c r="D56" s="48"/>
      <c r="E56" s="45"/>
      <c r="F56" s="46">
        <f>'[1]DA 9 -TDA 1 PA2'!$G$36</f>
        <v>25637.200000000001</v>
      </c>
      <c r="G56" s="46">
        <f t="shared" si="12"/>
        <v>7952.9</v>
      </c>
      <c r="H56" s="46">
        <v>4546</v>
      </c>
      <c r="I56" s="46">
        <f>'[1]DA 9 -TDA 1 PA2'!$I$36</f>
        <v>7952.9</v>
      </c>
      <c r="J56" s="46"/>
      <c r="K56" s="101"/>
      <c r="L56" s="101"/>
      <c r="M56" s="173"/>
      <c r="N56" s="26" t="s">
        <v>49</v>
      </c>
      <c r="O56" s="27">
        <v>4545</v>
      </c>
      <c r="P56" s="27">
        <v>7953</v>
      </c>
    </row>
    <row r="57" spans="1:17" s="123" customFormat="1" ht="15.6" x14ac:dyDescent="0.25">
      <c r="A57" s="130" t="s">
        <v>36</v>
      </c>
      <c r="B57" s="131" t="s">
        <v>98</v>
      </c>
      <c r="C57" s="130"/>
      <c r="D57" s="130"/>
      <c r="E57" s="89"/>
      <c r="F57" s="89">
        <f>SUM(F58:F60)</f>
        <v>90000</v>
      </c>
      <c r="G57" s="89">
        <f t="shared" ref="G57:I57" si="13">SUM(G58:G60)</f>
        <v>15363.5</v>
      </c>
      <c r="H57" s="89">
        <f t="shared" si="13"/>
        <v>14273</v>
      </c>
      <c r="I57" s="89">
        <f t="shared" si="13"/>
        <v>15363.5</v>
      </c>
      <c r="J57" s="89"/>
      <c r="K57" s="132"/>
      <c r="L57" s="132"/>
      <c r="M57" s="133"/>
      <c r="N57" s="134"/>
    </row>
    <row r="58" spans="1:17" s="27" customFormat="1" ht="46.8" x14ac:dyDescent="0.25">
      <c r="A58" s="72">
        <v>1</v>
      </c>
      <c r="B58" s="73" t="s">
        <v>79</v>
      </c>
      <c r="C58" s="70" t="s">
        <v>80</v>
      </c>
      <c r="D58" s="67"/>
      <c r="E58" s="64" t="s">
        <v>28</v>
      </c>
      <c r="F58" s="64">
        <v>30000</v>
      </c>
      <c r="G58" s="64">
        <f>I58</f>
        <v>10250</v>
      </c>
      <c r="H58" s="64">
        <v>9500</v>
      </c>
      <c r="I58" s="64">
        <f>'[1]DA 9 -TDA 1 PA2'!$I$44</f>
        <v>10250</v>
      </c>
      <c r="J58" s="64"/>
      <c r="K58" s="98"/>
      <c r="L58" s="98"/>
      <c r="M58" s="174" t="s">
        <v>42</v>
      </c>
      <c r="N58" s="26"/>
      <c r="O58" s="27">
        <v>9500</v>
      </c>
      <c r="P58" s="27">
        <v>10250</v>
      </c>
    </row>
    <row r="59" spans="1:17" s="27" customFormat="1" ht="46.8" x14ac:dyDescent="0.3">
      <c r="A59" s="72">
        <v>2</v>
      </c>
      <c r="B59" s="73" t="s">
        <v>81</v>
      </c>
      <c r="C59" s="70" t="s">
        <v>73</v>
      </c>
      <c r="D59" s="74"/>
      <c r="E59" s="64" t="s">
        <v>28</v>
      </c>
      <c r="F59" s="64">
        <v>15000</v>
      </c>
      <c r="G59" s="64">
        <f>I59</f>
        <v>5113.5</v>
      </c>
      <c r="H59" s="64">
        <f>14273-9500</f>
        <v>4773</v>
      </c>
      <c r="I59" s="64">
        <f>'[1]DA 9 -TDA 1 PA2'!$I$45</f>
        <v>5113.5</v>
      </c>
      <c r="J59" s="75"/>
      <c r="K59" s="102"/>
      <c r="L59" s="102"/>
      <c r="M59" s="175"/>
      <c r="N59" s="26"/>
      <c r="O59" s="27">
        <v>4773</v>
      </c>
      <c r="P59" s="27">
        <v>5114</v>
      </c>
    </row>
    <row r="60" spans="1:17" s="115" customFormat="1" ht="15.6" x14ac:dyDescent="0.3">
      <c r="A60" s="116">
        <v>3</v>
      </c>
      <c r="B60" s="125" t="s">
        <v>107</v>
      </c>
      <c r="C60" s="111"/>
      <c r="D60" s="126"/>
      <c r="E60" s="112"/>
      <c r="F60" s="112">
        <v>45000</v>
      </c>
      <c r="G60" s="112"/>
      <c r="H60" s="112"/>
      <c r="I60" s="112"/>
      <c r="J60" s="127"/>
      <c r="K60" s="128"/>
      <c r="L60" s="128"/>
      <c r="M60" s="129" t="s">
        <v>112</v>
      </c>
      <c r="N60" s="114"/>
    </row>
    <row r="61" spans="1:17" s="5" customFormat="1" ht="46.8" x14ac:dyDescent="0.25">
      <c r="A61" s="34" t="s">
        <v>90</v>
      </c>
      <c r="B61" s="53" t="s">
        <v>14</v>
      </c>
      <c r="C61" s="145"/>
      <c r="D61" s="145"/>
      <c r="E61" s="36"/>
      <c r="F61" s="36">
        <f>F62</f>
        <v>5180</v>
      </c>
      <c r="G61" s="36">
        <f>G62</f>
        <v>1647.5315315315315</v>
      </c>
      <c r="H61" s="36">
        <f t="shared" ref="H61:I61" si="14">H62</f>
        <v>932</v>
      </c>
      <c r="I61" s="36">
        <f t="shared" si="14"/>
        <v>1647.5315315315315</v>
      </c>
      <c r="J61" s="36"/>
      <c r="K61" s="36">
        <f>K62</f>
        <v>1300.2342342342342</v>
      </c>
      <c r="L61" s="36">
        <f>L62</f>
        <v>1300.2342342342342</v>
      </c>
      <c r="M61" s="35"/>
      <c r="N61" s="17"/>
    </row>
    <row r="62" spans="1:17" s="10" customFormat="1" ht="46.8" x14ac:dyDescent="0.25">
      <c r="A62" s="59"/>
      <c r="B62" s="53" t="s">
        <v>15</v>
      </c>
      <c r="C62" s="145"/>
      <c r="D62" s="145"/>
      <c r="E62" s="36"/>
      <c r="F62" s="36">
        <v>5180</v>
      </c>
      <c r="G62" s="36">
        <f t="shared" ref="G62:H62" si="15">SUM(G63:G67)</f>
        <v>1647.5315315315315</v>
      </c>
      <c r="H62" s="36">
        <f t="shared" si="15"/>
        <v>932</v>
      </c>
      <c r="I62" s="36">
        <f>SUM(I63:I67)</f>
        <v>1647.5315315315315</v>
      </c>
      <c r="J62" s="36"/>
      <c r="K62" s="36">
        <f>(F62-H62-I62)/2</f>
        <v>1300.2342342342342</v>
      </c>
      <c r="L62" s="36">
        <f>K62</f>
        <v>1300.2342342342342</v>
      </c>
      <c r="M62" s="35"/>
      <c r="N62" s="17"/>
    </row>
    <row r="63" spans="1:17" ht="15.75" customHeight="1" x14ac:dyDescent="0.25">
      <c r="A63" s="43">
        <v>1</v>
      </c>
      <c r="B63" s="44" t="s">
        <v>3</v>
      </c>
      <c r="C63" s="43"/>
      <c r="D63" s="60" t="s">
        <v>31</v>
      </c>
      <c r="E63" s="45"/>
      <c r="F63" s="45">
        <f>'[1]DA 10 - TDA 2'!$H$8</f>
        <v>1400</v>
      </c>
      <c r="G63" s="45">
        <f t="shared" ref="G63:G67" si="16">I63+J63</f>
        <v>445.40540540540542</v>
      </c>
      <c r="H63" s="45">
        <v>254</v>
      </c>
      <c r="I63" s="45">
        <f>'[1]DA 10 - TDA 2'!$J$8</f>
        <v>445.40540540540542</v>
      </c>
      <c r="J63" s="45"/>
      <c r="K63" s="45"/>
      <c r="L63" s="45"/>
      <c r="M63" s="168" t="s">
        <v>78</v>
      </c>
      <c r="N63" s="14" t="s">
        <v>31</v>
      </c>
      <c r="P63" s="1">
        <v>445</v>
      </c>
    </row>
    <row r="64" spans="1:17" ht="15.6" x14ac:dyDescent="0.25">
      <c r="A64" s="43">
        <v>2</v>
      </c>
      <c r="B64" s="44" t="s">
        <v>4</v>
      </c>
      <c r="C64" s="43"/>
      <c r="D64" s="60" t="s">
        <v>50</v>
      </c>
      <c r="E64" s="45"/>
      <c r="F64" s="45">
        <f>'[1]DA 10 - TDA 2'!$H$12</f>
        <v>497.77777777777777</v>
      </c>
      <c r="G64" s="45">
        <f t="shared" si="16"/>
        <v>158.36636636636638</v>
      </c>
      <c r="H64" s="45">
        <v>85</v>
      </c>
      <c r="I64" s="45">
        <f>'[1]DA 10 - TDA 2'!$J$12</f>
        <v>158.36636636636638</v>
      </c>
      <c r="J64" s="45"/>
      <c r="K64" s="45"/>
      <c r="L64" s="45"/>
      <c r="M64" s="168"/>
      <c r="N64" s="14" t="s">
        <v>63</v>
      </c>
      <c r="P64" s="1">
        <v>158</v>
      </c>
    </row>
    <row r="65" spans="1:20" ht="15.6" x14ac:dyDescent="0.25">
      <c r="A65" s="43">
        <v>3</v>
      </c>
      <c r="B65" s="44" t="s">
        <v>5</v>
      </c>
      <c r="C65" s="43"/>
      <c r="D65" s="60" t="s">
        <v>51</v>
      </c>
      <c r="E65" s="45"/>
      <c r="F65" s="45">
        <f>'[1]DA 10 - TDA 2'!$H$15</f>
        <v>948.88888888888903</v>
      </c>
      <c r="G65" s="45">
        <f t="shared" si="16"/>
        <v>301.88588588588584</v>
      </c>
      <c r="H65" s="45">
        <v>169</v>
      </c>
      <c r="I65" s="45">
        <f>'[1]DA 10 - TDA 2'!$J$15</f>
        <v>301.88588588588584</v>
      </c>
      <c r="J65" s="45"/>
      <c r="K65" s="45"/>
      <c r="L65" s="45"/>
      <c r="M65" s="168"/>
      <c r="N65" s="14" t="s">
        <v>64</v>
      </c>
      <c r="P65" s="1">
        <v>302</v>
      </c>
    </row>
    <row r="66" spans="1:20" ht="15.6" x14ac:dyDescent="0.25">
      <c r="A66" s="43">
        <v>4</v>
      </c>
      <c r="B66" s="44" t="s">
        <v>6</v>
      </c>
      <c r="C66" s="43"/>
      <c r="D66" s="60" t="s">
        <v>52</v>
      </c>
      <c r="E66" s="45"/>
      <c r="F66" s="45">
        <f>'[1]DA 10 - TDA 2'!$H$20</f>
        <v>1866.6666666666667</v>
      </c>
      <c r="G66" s="45">
        <f t="shared" si="16"/>
        <v>593.87387387387389</v>
      </c>
      <c r="H66" s="45">
        <v>339</v>
      </c>
      <c r="I66" s="45">
        <f>'[1]DA 10 - TDA 2'!$J$20</f>
        <v>593.87387387387389</v>
      </c>
      <c r="J66" s="45"/>
      <c r="K66" s="45"/>
      <c r="L66" s="45"/>
      <c r="M66" s="168"/>
      <c r="N66" s="14" t="s">
        <v>65</v>
      </c>
      <c r="P66" s="1">
        <v>594</v>
      </c>
    </row>
    <row r="67" spans="1:20" ht="15.6" x14ac:dyDescent="0.25">
      <c r="A67" s="43">
        <v>5</v>
      </c>
      <c r="B67" s="44" t="s">
        <v>7</v>
      </c>
      <c r="C67" s="43"/>
      <c r="D67" s="60" t="s">
        <v>50</v>
      </c>
      <c r="E67" s="45"/>
      <c r="F67" s="45">
        <f>'[1]DA 10 - TDA 2'!$H$26</f>
        <v>466.66666666666669</v>
      </c>
      <c r="G67" s="45">
        <f t="shared" si="16"/>
        <v>148</v>
      </c>
      <c r="H67" s="45">
        <v>85</v>
      </c>
      <c r="I67" s="45">
        <v>148</v>
      </c>
      <c r="J67" s="45"/>
      <c r="K67" s="45"/>
      <c r="L67" s="45"/>
      <c r="M67" s="168"/>
      <c r="N67" s="14" t="s">
        <v>63</v>
      </c>
      <c r="P67" s="1">
        <v>148</v>
      </c>
    </row>
    <row r="78" spans="1:20" s="12" customFormat="1" x14ac:dyDescent="0.25">
      <c r="A78" s="1"/>
      <c r="B78" s="1"/>
      <c r="C78" s="13"/>
      <c r="E78" s="1"/>
      <c r="F78" s="1"/>
      <c r="G78" s="1"/>
      <c r="H78" s="1"/>
      <c r="I78" s="3"/>
      <c r="J78" s="1"/>
      <c r="K78" s="1"/>
      <c r="L78" s="1"/>
      <c r="M78" s="15"/>
      <c r="N78" s="1"/>
      <c r="O78" s="1"/>
      <c r="P78" s="1"/>
      <c r="Q78" s="1"/>
      <c r="R78" s="1"/>
      <c r="S78" s="1"/>
      <c r="T78" s="1"/>
    </row>
    <row r="79" spans="1:20" s="12" customFormat="1" x14ac:dyDescent="0.25">
      <c r="A79" s="1"/>
      <c r="B79" s="1"/>
      <c r="C79" s="13"/>
      <c r="E79" s="1"/>
      <c r="F79" s="1"/>
      <c r="G79" s="1"/>
      <c r="H79" s="1"/>
      <c r="I79" s="3"/>
      <c r="J79" s="1"/>
      <c r="K79" s="1"/>
      <c r="L79" s="1"/>
      <c r="M79" s="15"/>
      <c r="N79" s="1"/>
      <c r="O79" s="1"/>
      <c r="P79" s="1"/>
      <c r="Q79" s="1"/>
      <c r="R79" s="1"/>
      <c r="S79" s="1"/>
      <c r="T79" s="1"/>
    </row>
    <row r="80" spans="1:20" s="12" customFormat="1" x14ac:dyDescent="0.25">
      <c r="A80" s="1"/>
      <c r="B80" s="1"/>
      <c r="C80" s="13"/>
      <c r="E80" s="1"/>
      <c r="F80" s="1"/>
      <c r="G80" s="1"/>
      <c r="H80" s="1"/>
      <c r="I80" s="3"/>
      <c r="J80" s="1"/>
      <c r="K80" s="1"/>
      <c r="L80" s="1"/>
      <c r="M80" s="15"/>
      <c r="N80" s="1"/>
      <c r="O80" s="1"/>
      <c r="P80" s="1"/>
      <c r="Q80" s="1"/>
      <c r="R80" s="1"/>
      <c r="S80" s="1"/>
      <c r="T80" s="1"/>
    </row>
  </sheetData>
  <mergeCells count="22">
    <mergeCell ref="N5:N6"/>
    <mergeCell ref="A1:M1"/>
    <mergeCell ref="A2:M2"/>
    <mergeCell ref="A3:M3"/>
    <mergeCell ref="I4:M4"/>
    <mergeCell ref="A5:A6"/>
    <mergeCell ref="B5:B6"/>
    <mergeCell ref="C5:C6"/>
    <mergeCell ref="D5:D6"/>
    <mergeCell ref="E5:E6"/>
    <mergeCell ref="F5:F6"/>
    <mergeCell ref="H5:H6"/>
    <mergeCell ref="I5:I6"/>
    <mergeCell ref="K5:K6"/>
    <mergeCell ref="L5:L6"/>
    <mergeCell ref="M5:M6"/>
    <mergeCell ref="M63:M67"/>
    <mergeCell ref="M23:M27"/>
    <mergeCell ref="M32:M36"/>
    <mergeCell ref="N43:N47"/>
    <mergeCell ref="M54:M56"/>
    <mergeCell ref="M58:M59"/>
  </mergeCells>
  <pageMargins left="0.45" right="0.2" top="0.75" bottom="0.75" header="0.3" footer="0.3"/>
  <pageSetup paperSize="9"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Tờ trình</vt:lpstr>
      <vt:lpstr>NQ</vt:lpstr>
      <vt:lpstr>NQ!Print_Titles</vt:lpstr>
      <vt:lpstr>'Tờ trình'!Print_Titles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cp:lastModifiedBy>
  <cp:lastPrinted>2022-12-06T07:09:08Z</cp:lastPrinted>
  <dcterms:created xsi:type="dcterms:W3CDTF">2022-07-27T10:09:40Z</dcterms:created>
  <dcterms:modified xsi:type="dcterms:W3CDTF">2022-12-08T07:06:32Z</dcterms:modified>
</cp:coreProperties>
</file>