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TRUNG\CONG VIEC\NAM 2020\KH 2021-2025\KH 2021 họp sau thẩm tra Ban KTNS\"/>
    </mc:Choice>
  </mc:AlternateContent>
  <bookViews>
    <workbookView xWindow="0" yWindow="0" windowWidth="20490" windowHeight="7650" firstSheet="2" activeTab="3"/>
  </bookViews>
  <sheets>
    <sheet name="TIEN DAT" sheetId="47" r:id="rId1"/>
    <sheet name="DATA" sheetId="25" r:id="rId2"/>
    <sheet name="1NGUON" sheetId="24" r:id="rId3"/>
    <sheet name="2CO CAU" sheetId="30" r:id="rId4"/>
    <sheet name="3PBO HUYEN" sheetId="31" r:id="rId5"/>
    <sheet name="4DMPL" sheetId="32" r:id="rId6"/>
    <sheet name="4.1KHCN " sheetId="26" r:id="rId7"/>
    <sheet name="4.2GDĐT" sheetId="27" r:id="rId8"/>
    <sheet name="4.3Y TẾ" sheetId="28" r:id="rId9"/>
    <sheet name="4.4NỢ XDCB" sheetId="29" r:id="rId10"/>
    <sheet name="4.5ODA" sheetId="33" r:id="rId11"/>
    <sheet name="4.6TRONG DIEM" sheetId="37" r:id="rId12"/>
    <sheet name="4.7CHUYEN TIEP" sheetId="36" r:id="rId13"/>
    <sheet name="ODAKH NSNN" sheetId="4" state="hidden" r:id="rId14"/>
    <sheet name="NC07 TH TPCP" sheetId="5" state="hidden" r:id="rId15"/>
    <sheet name="NC08 TPCP KH" sheetId="6" state="hidden" r:id="rId16"/>
    <sheet name="NC11 PPP" sheetId="7" state="hidden" r:id="rId17"/>
    <sheet name="BM18 BC nam DP" sheetId="8" state="hidden" r:id="rId18"/>
    <sheet name="Quy2THDP" sheetId="10" state="hidden" r:id="rId19"/>
    <sheet name="Quy2TPCPDP" sheetId="12" state="hidden" r:id="rId20"/>
    <sheet name="Quy2von khac Dp" sheetId="14" state="hidden" r:id="rId21"/>
  </sheets>
  <externalReferences>
    <externalReference r:id="rId22"/>
    <externalReference r:id="rId23"/>
    <externalReference r:id="rId24"/>
    <externalReference r:id="rId25"/>
  </externalReferences>
  <definedNames>
    <definedName name="____a1" hidden="1">{"'Sheet1'!$L$16"}</definedName>
    <definedName name="____B1" hidden="1">{"'Sheet1'!$L$16"}</definedName>
    <definedName name="____ban2" hidden="1">{"'Sheet1'!$L$16"}</definedName>
    <definedName name="____h1" hidden="1">{"'Sheet1'!$L$16"}</definedName>
    <definedName name="____hu1" hidden="1">{"'Sheet1'!$L$16"}</definedName>
    <definedName name="____hu2" hidden="1">{"'Sheet1'!$L$16"}</definedName>
    <definedName name="____hu5" hidden="1">{"'Sheet1'!$L$16"}</definedName>
    <definedName name="____hu6" hidden="1">{"'Sheet1'!$L$16"}</definedName>
    <definedName name="____M36" hidden="1">{"'Sheet1'!$L$16"}</definedName>
    <definedName name="____PA3" hidden="1">{"'Sheet1'!$L$16"}</definedName>
    <definedName name="____Pl2" hidden="1">{"'Sheet1'!$L$16"}</definedName>
    <definedName name="____Tru21" hidden="1">{"'Sheet1'!$L$16"}</definedName>
    <definedName name="___a1" hidden="1">{"'Sheet1'!$L$16"}</definedName>
    <definedName name="___B1" hidden="1">{"'Sheet1'!$L$16"}</definedName>
    <definedName name="___ban2" hidden="1">{"'Sheet1'!$L$16"}</definedName>
    <definedName name="___h1" hidden="1">{"'Sheet1'!$L$16"}</definedName>
    <definedName name="___hsm2">1.1289</definedName>
    <definedName name="___hu1" hidden="1">{"'Sheet1'!$L$16"}</definedName>
    <definedName name="___hu2" hidden="1">{"'Sheet1'!$L$16"}</definedName>
    <definedName name="___hu5" hidden="1">{"'Sheet1'!$L$16"}</definedName>
    <definedName name="___hu6" hidden="1">{"'Sheet1'!$L$16"}</definedName>
    <definedName name="___isc1">0.035</definedName>
    <definedName name="___isc2">0.02</definedName>
    <definedName name="___isc3">0.054</definedName>
    <definedName name="___M36" hidden="1">{"'Sheet1'!$L$16"}</definedName>
    <definedName name="___NSO2" hidden="1">{"'Sheet1'!$L$16"}</definedName>
    <definedName name="___PA3" hidden="1">{"'Sheet1'!$L$16"}</definedName>
    <definedName name="___Pl2" hidden="1">{"'Sheet1'!$L$16"}</definedName>
    <definedName name="___PL3" localSheetId="2" hidden="1">#REF!</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hidden="1">{"'Sheet1'!$L$16"}</definedName>
    <definedName name="__a1" hidden="1">{"'Sheet1'!$L$16"}</definedName>
    <definedName name="__B1" hidden="1">{"'Sheet1'!$L$16"}</definedName>
    <definedName name="__ban2" hidden="1">{"'Sheet1'!$L$16"}</definedName>
    <definedName name="__h1" hidden="1">{"'Sheet1'!$L$16"}</definedName>
    <definedName name="__hsm2">1.1289</definedName>
    <definedName name="__hu1" hidden="1">{"'Sheet1'!$L$16"}</definedName>
    <definedName name="__hu2" hidden="1">{"'Sheet1'!$L$16"}</definedName>
    <definedName name="__hu5" hidden="1">{"'Sheet1'!$L$16"}</definedName>
    <definedName name="__hu6" hidden="1">{"'Sheet1'!$L$16"}</definedName>
    <definedName name="__isc1">0.035</definedName>
    <definedName name="__isc2">0.02</definedName>
    <definedName name="__isc3">0.054</definedName>
    <definedName name="__M36" hidden="1">{"'Sheet1'!$L$16"}</definedName>
    <definedName name="__NSO2" hidden="1">{"'Sheet1'!$L$16"}</definedName>
    <definedName name="__PA3" hidden="1">{"'Sheet1'!$L$16"}</definedName>
    <definedName name="__Pl2"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hidden="1">{"'Sheet1'!$L$16"}</definedName>
    <definedName name="_40x4">5100</definedName>
    <definedName name="_a1" hidden="1">{"'Sheet1'!$L$16"}</definedName>
    <definedName name="_B1" hidden="1">{"'Sheet1'!$L$16"}</definedName>
    <definedName name="_ban2" hidden="1">{"'Sheet1'!$L$16"}</definedName>
    <definedName name="_Fill" localSheetId="2" hidden="1">#REF!</definedName>
    <definedName name="_Fill" hidden="1">#REF!</definedName>
    <definedName name="_xlnm._FilterDatabase" localSheetId="6" hidden="1">'4.1KHCN '!$C$4:$C$17</definedName>
    <definedName name="_xlnm._FilterDatabase" localSheetId="7" hidden="1">'4.2GDĐT'!$C$4:$C$102</definedName>
    <definedName name="_xlnm._FilterDatabase" localSheetId="8" hidden="1">'4.3Y TẾ'!$C$4:$C$24</definedName>
    <definedName name="_xlnm._FilterDatabase" localSheetId="10" hidden="1">'4.5ODA'!$C$4:$C$26</definedName>
    <definedName name="_xlnm._FilterDatabase" localSheetId="11" hidden="1">'4.6TRONG DIEM'!$C$4:$C$16</definedName>
    <definedName name="_xlnm._FilterDatabase" localSheetId="12" hidden="1">'4.7CHUYEN TIEP'!$C$4:$C$105</definedName>
    <definedName name="_xlnm._FilterDatabase" hidden="1">#REF!</definedName>
    <definedName name="_ftn1" localSheetId="18">Quy2THDP!#REF!</definedName>
    <definedName name="_ftnref1" localSheetId="18">Quy2THDP!$E$10</definedName>
    <definedName name="_h1" hidden="1">{"'Sheet1'!$L$16"}</definedName>
    <definedName name="_hsm2">1.1289</definedName>
    <definedName name="_hu1" hidden="1">{"'Sheet1'!$L$16"}</definedName>
    <definedName name="_hu2" hidden="1">{"'Sheet1'!$L$16"}</definedName>
    <definedName name="_hu5" hidden="1">{"'Sheet1'!$L$16"}</definedName>
    <definedName name="_hu6" hidden="1">{"'Sheet1'!$L$16"}</definedName>
    <definedName name="_isc1">0.035</definedName>
    <definedName name="_isc2">0.02</definedName>
    <definedName name="_isc3">0.054</definedName>
    <definedName name="_Key1" localSheetId="2" hidden="1">#REF!</definedName>
    <definedName name="_Key1" hidden="1">#REF!</definedName>
    <definedName name="_Key2" localSheetId="2" hidden="1">#REF!</definedName>
    <definedName name="_Key2" hidden="1">#REF!</definedName>
    <definedName name="_M36" hidden="1">{"'Sheet1'!$L$16"}</definedName>
    <definedName name="_NSO2" hidden="1">{"'Sheet1'!$L$16"}</definedName>
    <definedName name="_Order1" hidden="1">255</definedName>
    <definedName name="_Order2" hidden="1">255</definedName>
    <definedName name="_PA3" hidden="1">{"'Sheet1'!$L$16"}</definedName>
    <definedName name="_Pl2" hidden="1">{"'Sheet1'!$L$16"}</definedName>
    <definedName name="_PL3" localSheetId="2" hidden="1">#REF!</definedName>
    <definedName name="_PL3" hidden="1">#REF!</definedName>
    <definedName name="_SOC10">0.3456</definedName>
    <definedName name="_SOC8">0.2827</definedName>
    <definedName name="_Sort" localSheetId="2" hidden="1">#REF!</definedName>
    <definedName name="_Sort" hidden="1">#REF!</definedName>
    <definedName name="_Sta1">531.877</definedName>
    <definedName name="_Sta2">561.952</definedName>
    <definedName name="_Sta3">712.202</definedName>
    <definedName name="_Sta4">762.202</definedName>
    <definedName name="_Tru21" hidden="1">{"'Sheet1'!$L$16"}</definedName>
    <definedName name="a" hidden="1">{"'Sheet1'!$L$16"}</definedName>
    <definedName name="ABC" localSheetId="2" hidden="1">#REF!</definedName>
    <definedName name="ABC" hidden="1">#REF!</definedName>
    <definedName name="anscount" hidden="1">3</definedName>
    <definedName name="ATGT" hidden="1">{"'Sheet1'!$L$16"}</definedName>
    <definedName name="B.nuamat">7.25</definedName>
    <definedName name="bdd">1.5</definedName>
    <definedName name="Bm">3.5</definedName>
    <definedName name="Bn">6.5</definedName>
    <definedName name="BQP">'[1]BANCO (3)'!$N$124</definedName>
    <definedName name="Bulongma">8700</definedName>
    <definedName name="C.doc1">540</definedName>
    <definedName name="C.doc2">740</definedName>
    <definedName name="CACAU">298161</definedName>
    <definedName name="CDTK_tim">31.77</definedName>
    <definedName name="CLVC3">0.1</definedName>
    <definedName name="CoCauN" hidden="1">{"'Sheet1'!$L$16"}</definedName>
    <definedName name="Code" localSheetId="2" hidden="1">#REF!</definedName>
    <definedName name="Code" hidden="1">#REF!</definedName>
    <definedName name="Cotsatma">9726</definedName>
    <definedName name="Cotthepma">9726</definedName>
    <definedName name="CP" localSheetId="2" hidden="1">#REF!</definedName>
    <definedName name="CP" hidden="1">#REF!</definedName>
    <definedName name="CTCT1" hidden="1">{"'Sheet1'!$L$16"}</definedName>
    <definedName name="chitietbgiang2" hidden="1">{"'Sheet1'!$L$16"}</definedName>
    <definedName name="chung">66</definedName>
    <definedName name="dam">78000</definedName>
    <definedName name="data1" localSheetId="2" hidden="1">#REF!</definedName>
    <definedName name="data1" hidden="1">#REF!</definedName>
    <definedName name="data2" localSheetId="2" hidden="1">#REF!</definedName>
    <definedName name="data2" hidden="1">#REF!</definedName>
    <definedName name="data3" localSheetId="2" hidden="1">#REF!</definedName>
    <definedName name="data3" hidden="1">#REF!</definedName>
    <definedName name="DataFilter" localSheetId="2">[2]!DataFilter</definedName>
    <definedName name="DataFilter">[2]!DataFilter</definedName>
    <definedName name="DataSort" localSheetId="2">[2]!DataSort</definedName>
    <definedName name="DataSort">[2]!DataSort</definedName>
    <definedName name="DCL_22">12117600</definedName>
    <definedName name="DCL_35">25490000</definedName>
    <definedName name="dddem">0.1</definedName>
    <definedName name="Discount" localSheetId="2" hidden="1">#REF!</definedName>
    <definedName name="Discount" hidden="1">#REF!</definedName>
    <definedName name="display_area_2" localSheetId="2" hidden="1">#REF!</definedName>
    <definedName name="display_area_2" hidden="1">#REF!</definedName>
    <definedName name="docdoc">0.03125</definedName>
    <definedName name="dotcong">1</definedName>
    <definedName name="drf" localSheetId="2" hidden="1">#REF!</definedName>
    <definedName name="drf" hidden="1">#REF!</definedName>
    <definedName name="ds" hidden="1">{#N/A,#N/A,FALSE,"Chi tiÆt"}</definedName>
    <definedName name="dsh" localSheetId="2" hidden="1">#REF!</definedName>
    <definedName name="dsh" hidden="1">#REF!</definedName>
    <definedName name="DuphongBCT">'[1]BANCO (3)'!$K$128</definedName>
    <definedName name="DuphongBNG">'[1]BANCO (3)'!$K$126</definedName>
    <definedName name="DuphongBQP">'[1]BANCO (3)'!$K$125</definedName>
    <definedName name="DuphongVKS">'[3]BANCO (2)'!$F$123</definedName>
    <definedName name="E.chandoc">8.875</definedName>
    <definedName name="E.PC">10.438</definedName>
    <definedName name="E.PVI">12</definedName>
    <definedName name="FCode" localSheetId="2" hidden="1">#REF!</definedName>
    <definedName name="FCode" hidden="1">#REF!</definedName>
    <definedName name="FI_12">4820</definedName>
    <definedName name="g" hidden="1">{"'Sheet1'!$L$16"}</definedName>
    <definedName name="GoBack" localSheetId="2">[2]Sheet1!GoBack</definedName>
    <definedName name="GoBack">[2]Sheet1!GoBack</definedName>
    <definedName name="h" hidden="1">{"'Sheet1'!$L$16"}</definedName>
    <definedName name="Hdao">0.3</definedName>
    <definedName name="Hdap">5.2</definedName>
    <definedName name="Heä_soá_laép_xaø_H">1.7</definedName>
    <definedName name="Heso">'[3]MT DPin (2)'!$BP$99</definedName>
    <definedName name="HiddenRows" localSheetId="2" hidden="1">#REF!</definedName>
    <definedName name="HiddenRows" hidden="1">#REF!</definedName>
    <definedName name="hoc">55000</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TH">'[1]BANCO (3)'!$K$122</definedName>
    <definedName name="hsvl">1</definedName>
    <definedName name="hsvl2">1</definedName>
    <definedName name="htlm"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hidden="1">{"'Sheet1'!$L$16"}</definedName>
    <definedName name="HUU" hidden="1">{"'Sheet1'!$L$16"}</definedName>
    <definedName name="huy" hidden="1">{"'Sheet1'!$L$16"}</definedName>
    <definedName name="j" hidden="1">{"'Sheet1'!$L$16"}</definedName>
    <definedName name="k" hidden="1">{"'Sheet1'!$L$16"}</definedName>
    <definedName name="ksbn" hidden="1">{"'Sheet1'!$L$16"}</definedName>
    <definedName name="kshn" hidden="1">{"'Sheet1'!$L$16"}</definedName>
    <definedName name="ksls" hidden="1">{"'Sheet1'!$L$16"}</definedName>
    <definedName name="khac">2</definedName>
    <definedName name="khongtruotgia" hidden="1">{"'Sheet1'!$L$16"}</definedName>
    <definedName name="l" hidden="1">{"'Sheet1'!$L$16"}</definedName>
    <definedName name="L63x6">5800</definedName>
    <definedName name="langson" hidden="1">{"'Sheet1'!$L$16"}</definedName>
    <definedName name="LBS_22">107800000</definedName>
    <definedName name="lk" localSheetId="2" hidden="1">#REF!</definedName>
    <definedName name="lk" hidden="1">#REF!</definedName>
    <definedName name="m" hidden="1">{"'Sheet1'!$L$16"}</definedName>
    <definedName name="mo" hidden="1">{"'Sheet1'!$L$16"}</definedName>
    <definedName name="moi" hidden="1">{"'Sheet1'!$L$16"}</definedName>
    <definedName name="n" hidden="1">{"'Sheet1'!$L$16"}</definedName>
    <definedName name="OrderTable" localSheetId="2" hidden="1">#REF!</definedName>
    <definedName name="OrderTable" hidden="1">#REF!</definedName>
    <definedName name="PAIII_" hidden="1">{"'Sheet1'!$L$16"}</definedName>
    <definedName name="PMS" hidden="1">{"'Sheet1'!$L$16"}</definedName>
    <definedName name="_xlnm.Print_Area" localSheetId="17">'BM18 BC nam DP'!$A$1:$M$77</definedName>
    <definedName name="_xlnm.Print_Area" localSheetId="14">'NC07 TH TPCP'!$A$1:$U$19</definedName>
    <definedName name="_xlnm.Print_Area" localSheetId="15">'NC08 TPCP KH'!$A$1:$AK$39</definedName>
    <definedName name="_xlnm.Print_Area" localSheetId="16">'NC11 PPP'!$A$1:$Q$19</definedName>
    <definedName name="_xlnm.Print_Area" localSheetId="13">'ODAKH NSNN'!$A$1:$BQ$74</definedName>
    <definedName name="_xlnm.Print_Area" localSheetId="19">Quy2TPCPDP!$A$1:$P$38</definedName>
    <definedName name="_xlnm.Print_Area" localSheetId="18">Quy2THDP!$A$1:$Q$72</definedName>
    <definedName name="_xlnm.Print_Area" localSheetId="20">'Quy2von khac Dp'!$A$1:$O$38</definedName>
    <definedName name="_xlnm.Print_Titles" localSheetId="6">'4.1KHCN '!$1:$8</definedName>
    <definedName name="_xlnm.Print_Titles" localSheetId="7">'4.2GDĐT'!$1:$9</definedName>
    <definedName name="_xlnm.Print_Titles" localSheetId="8">'4.3Y TẾ'!$1:$9</definedName>
    <definedName name="_xlnm.Print_Titles" localSheetId="10">'4.5ODA'!$1:$9</definedName>
    <definedName name="_xlnm.Print_Titles" localSheetId="11">'4.6TRONG DIEM'!$1:$9</definedName>
    <definedName name="_xlnm.Print_Titles" localSheetId="12">'4.7CHUYEN TIEP'!$1:$9</definedName>
    <definedName name="_xlnm.Print_Titles" localSheetId="17">'BM18 BC nam DP'!$6:$8</definedName>
    <definedName name="_xlnm.Print_Titles" localSheetId="14">'NC07 TH TPCP'!$6:$9</definedName>
    <definedName name="_xlnm.Print_Titles" localSheetId="15">'NC08 TPCP KH'!$6:$9</definedName>
    <definedName name="_xlnm.Print_Titles" localSheetId="13">'ODAKH NSNN'!$8:$15</definedName>
    <definedName name="_xlnm.Print_Titles" localSheetId="19">Quy2TPCPDP!$8:$12</definedName>
    <definedName name="_xlnm.Print_Titles" localSheetId="18">Quy2THDP!$9:$11</definedName>
    <definedName name="_xlnm.Print_Titles" localSheetId="20">'Quy2von khac Dp'!$7:$11</definedName>
    <definedName name="ProdForm" localSheetId="2" hidden="1">#REF!</definedName>
    <definedName name="ProdForm" hidden="1">#REF!</definedName>
    <definedName name="Product" localSheetId="2" hidden="1">#REF!</definedName>
    <definedName name="Product" hidden="1">#REF!</definedName>
    <definedName name="rate">14000</definedName>
    <definedName name="RCArea" localSheetId="2" hidden="1">#REF!</definedName>
    <definedName name="RCArea" hidden="1">#REF!</definedName>
    <definedName name="S.dinh">640</definedName>
    <definedName name="Spanner_Auto_File">"C:\My Documents\tinh cdo.x2a"</definedName>
    <definedName name="SpecialPrice" localSheetId="2" hidden="1">#REF!</definedName>
    <definedName name="SpecialPrice" hidden="1">#REF!</definedName>
    <definedName name="t" hidden="1">{"'Sheet1'!$L$16"}</definedName>
    <definedName name="Tang">100</definedName>
    <definedName name="TaxTV">10%</definedName>
    <definedName name="TaxXL">5%</definedName>
    <definedName name="tbl_ProdInfo" localSheetId="2" hidden="1">#REF!</definedName>
    <definedName name="tbl_ProdInfo" hidden="1">#REF!</definedName>
    <definedName name="Tiepdiama">9500</definedName>
    <definedName name="ttttt" hidden="1">{"'Sheet1'!$L$16"}</definedName>
    <definedName name="TTTTTTTTT" hidden="1">{"'Sheet1'!$L$16"}</definedName>
    <definedName name="ttttttttttt" hidden="1">{"'Sheet1'!$L$16"}</definedName>
    <definedName name="tuyennhanh" hidden="1">{"'Sheet1'!$L$16"}</definedName>
    <definedName name="tytrong16so5nam">'[1]PLI CTrinh'!$CN$10</definedName>
    <definedName name="tha" hidden="1">{"'Sheet1'!$L$16"}</definedName>
    <definedName name="thepma">10500</definedName>
    <definedName name="thue">6</definedName>
    <definedName name="u" hidden="1">{"'Sheet1'!$L$16"}</definedName>
    <definedName name="ư" hidden="1">{"'Sheet1'!$L$16"}</definedName>
    <definedName name="v" hidden="1">{"'Sheet1'!$L$16"}</definedName>
    <definedName name="VAÄT_LIEÄU">"nhandongia"</definedName>
    <definedName name="vcoto" hidden="1">{"'Sheet1'!$L$16"}</definedName>
    <definedName name="Viet" hidden="1">{"'Sheet1'!$L$16"}</definedName>
    <definedName name="WIRE1">5</definedName>
    <definedName name="wrn.aaa." hidden="1">{#N/A,#N/A,FALSE,"Sheet1";#N/A,#N/A,FALSE,"Sheet1";#N/A,#N/A,FALSE,"Sheet1"}</definedName>
    <definedName name="wrn.cong." hidden="1">{#N/A,#N/A,FALSE,"Sheet1"}</definedName>
    <definedName name="wrn.chi._.tiÆt." hidden="1">{#N/A,#N/A,FALSE,"Chi tiÆt"}</definedName>
    <definedName name="wrn.vd." hidden="1">{#N/A,#N/A,TRUE,"BT M200 da 10x20"}</definedName>
    <definedName name="XBCNCKT">5600</definedName>
    <definedName name="XCCT">0.5</definedName>
    <definedName name="xls" hidden="1">{"'Sheet1'!$L$16"}</definedName>
    <definedName name="xlttbninh" hidden="1">{"'Sheet1'!$L$16"}</definedName>
    <definedName name="XTKKTTC">7500</definedName>
  </definedNames>
  <calcPr calcId="162913"/>
</workbook>
</file>

<file path=xl/calcChain.xml><?xml version="1.0" encoding="utf-8"?>
<calcChain xmlns="http://schemas.openxmlformats.org/spreadsheetml/2006/main">
  <c r="P10" i="37" l="1"/>
  <c r="H8" i="24" l="1"/>
  <c r="I8" i="24"/>
  <c r="I9" i="24" s="1"/>
  <c r="I15" i="24"/>
  <c r="M27" i="33" l="1"/>
  <c r="K24" i="33"/>
  <c r="L24" i="33"/>
  <c r="K25" i="33"/>
  <c r="L25" i="33"/>
  <c r="K26" i="33"/>
  <c r="L26" i="33"/>
  <c r="K27" i="33"/>
  <c r="L27" i="33"/>
  <c r="I27" i="33"/>
  <c r="J27" i="33"/>
  <c r="C27" i="33"/>
  <c r="D27" i="33"/>
  <c r="E27" i="33"/>
  <c r="F27" i="33"/>
  <c r="G27" i="33"/>
  <c r="H27" i="33"/>
  <c r="N27" i="33" l="1"/>
  <c r="O27" i="33"/>
  <c r="M26" i="33" l="1"/>
  <c r="M23" i="33"/>
  <c r="M20" i="33"/>
  <c r="M14" i="33"/>
  <c r="M13" i="33"/>
  <c r="M11" i="29" l="1"/>
  <c r="T104" i="36"/>
  <c r="U104" i="36"/>
  <c r="C104" i="36"/>
  <c r="D104" i="36"/>
  <c r="E104" i="36"/>
  <c r="F104" i="36"/>
  <c r="G104" i="36"/>
  <c r="H104" i="36"/>
  <c r="V104" i="36" l="1"/>
  <c r="N14" i="37" l="1"/>
  <c r="O14" i="37" l="1"/>
  <c r="U13" i="28" l="1"/>
  <c r="V13" i="28"/>
  <c r="U12" i="28"/>
  <c r="V12" i="28"/>
  <c r="V11" i="28"/>
  <c r="U11" i="28"/>
  <c r="U136" i="36" l="1"/>
  <c r="T136" i="36"/>
  <c r="M10" i="29" l="1"/>
  <c r="C15" i="30" s="1"/>
  <c r="C32" i="30"/>
  <c r="C30" i="30"/>
  <c r="C28" i="30"/>
  <c r="U150" i="36"/>
  <c r="T150" i="36"/>
  <c r="L150" i="36"/>
  <c r="K150" i="36"/>
  <c r="H150" i="36"/>
  <c r="G150" i="36"/>
  <c r="F150" i="36"/>
  <c r="E150" i="36"/>
  <c r="D150" i="36"/>
  <c r="C150" i="36"/>
  <c r="U149" i="36"/>
  <c r="T149" i="36"/>
  <c r="L149" i="36"/>
  <c r="K149" i="36"/>
  <c r="H149" i="36"/>
  <c r="G149" i="36"/>
  <c r="V149" i="36" s="1"/>
  <c r="F149" i="36"/>
  <c r="E149" i="36"/>
  <c r="D149" i="36"/>
  <c r="C149" i="36"/>
  <c r="U148" i="36"/>
  <c r="T148" i="36"/>
  <c r="L148" i="36"/>
  <c r="K148" i="36"/>
  <c r="H148" i="36"/>
  <c r="G148" i="36"/>
  <c r="V148" i="36" s="1"/>
  <c r="F148" i="36"/>
  <c r="E148" i="36"/>
  <c r="D148" i="36"/>
  <c r="C148" i="36"/>
  <c r="U147" i="36"/>
  <c r="T147" i="36"/>
  <c r="L147" i="36"/>
  <c r="K147" i="36"/>
  <c r="H147" i="36"/>
  <c r="G147" i="36"/>
  <c r="V147" i="36" s="1"/>
  <c r="F147" i="36"/>
  <c r="E147" i="36"/>
  <c r="D147" i="36"/>
  <c r="C147" i="36"/>
  <c r="U146" i="36"/>
  <c r="T146" i="36"/>
  <c r="L146" i="36"/>
  <c r="K146" i="36"/>
  <c r="H146" i="36"/>
  <c r="G146" i="36"/>
  <c r="V146" i="36" s="1"/>
  <c r="F146" i="36"/>
  <c r="E146" i="36"/>
  <c r="D146" i="36"/>
  <c r="C146" i="36"/>
  <c r="U145" i="36"/>
  <c r="T145" i="36"/>
  <c r="L145" i="36"/>
  <c r="K145" i="36"/>
  <c r="H145" i="36"/>
  <c r="G145" i="36"/>
  <c r="V145" i="36" s="1"/>
  <c r="F145" i="36"/>
  <c r="E145" i="36"/>
  <c r="D145" i="36"/>
  <c r="C145" i="36"/>
  <c r="U144" i="36"/>
  <c r="T144" i="36"/>
  <c r="L144" i="36"/>
  <c r="K144" i="36"/>
  <c r="H144" i="36"/>
  <c r="G144" i="36"/>
  <c r="V144" i="36" s="1"/>
  <c r="F144" i="36"/>
  <c r="E144" i="36"/>
  <c r="D144" i="36"/>
  <c r="C144" i="36"/>
  <c r="U143" i="36"/>
  <c r="T143" i="36"/>
  <c r="L143" i="36"/>
  <c r="K143" i="36"/>
  <c r="H143" i="36"/>
  <c r="G143" i="36"/>
  <c r="V143" i="36" s="1"/>
  <c r="F143" i="36"/>
  <c r="E143" i="36"/>
  <c r="D143" i="36"/>
  <c r="C143" i="36"/>
  <c r="U142" i="36"/>
  <c r="T142" i="36"/>
  <c r="L142" i="36"/>
  <c r="K142" i="36"/>
  <c r="H142" i="36"/>
  <c r="G142" i="36"/>
  <c r="V142" i="36" s="1"/>
  <c r="F142" i="36"/>
  <c r="E142" i="36"/>
  <c r="D142" i="36"/>
  <c r="C142" i="36"/>
  <c r="U141" i="36"/>
  <c r="T141" i="36"/>
  <c r="L141" i="36"/>
  <c r="K141" i="36"/>
  <c r="H141" i="36"/>
  <c r="G141" i="36"/>
  <c r="F141" i="36"/>
  <c r="E141" i="36"/>
  <c r="D141" i="36"/>
  <c r="C141" i="36"/>
  <c r="U140" i="36"/>
  <c r="S140" i="36"/>
  <c r="P140" i="36"/>
  <c r="O140" i="36"/>
  <c r="N140" i="36"/>
  <c r="M140" i="36"/>
  <c r="U139" i="36"/>
  <c r="T139" i="36"/>
  <c r="L139" i="36"/>
  <c r="K139" i="36"/>
  <c r="H139" i="36"/>
  <c r="V139" i="36" s="1"/>
  <c r="G139" i="36"/>
  <c r="F139" i="36"/>
  <c r="E139" i="36"/>
  <c r="D139" i="36"/>
  <c r="C139" i="36"/>
  <c r="U138" i="36"/>
  <c r="T138" i="36"/>
  <c r="L138" i="36"/>
  <c r="K138" i="36"/>
  <c r="H138" i="36"/>
  <c r="G138" i="36"/>
  <c r="F138" i="36"/>
  <c r="E138" i="36"/>
  <c r="D138" i="36"/>
  <c r="C138" i="36"/>
  <c r="U137" i="36"/>
  <c r="T137" i="36"/>
  <c r="L137" i="36"/>
  <c r="K137" i="36"/>
  <c r="H137" i="36"/>
  <c r="V137" i="36" s="1"/>
  <c r="G137" i="36"/>
  <c r="F137" i="36"/>
  <c r="E137" i="36"/>
  <c r="D137" i="36"/>
  <c r="C137" i="36"/>
  <c r="L136" i="36"/>
  <c r="K136" i="36"/>
  <c r="H136" i="36"/>
  <c r="V136" i="36" s="1"/>
  <c r="G136" i="36"/>
  <c r="F136" i="36"/>
  <c r="E136" i="36"/>
  <c r="D136" i="36"/>
  <c r="C136" i="36"/>
  <c r="U135" i="36"/>
  <c r="T135" i="36"/>
  <c r="L135" i="36"/>
  <c r="K135" i="36"/>
  <c r="H135" i="36"/>
  <c r="G135" i="36"/>
  <c r="F135" i="36"/>
  <c r="E135" i="36"/>
  <c r="D135" i="36"/>
  <c r="C135" i="36"/>
  <c r="U134" i="36"/>
  <c r="T134" i="36"/>
  <c r="L134" i="36"/>
  <c r="K134" i="36"/>
  <c r="G134" i="36"/>
  <c r="F134" i="36"/>
  <c r="E134" i="36"/>
  <c r="D134" i="36"/>
  <c r="C134" i="36"/>
  <c r="U133" i="36"/>
  <c r="T133" i="36"/>
  <c r="L133" i="36"/>
  <c r="K133" i="36"/>
  <c r="H133" i="36"/>
  <c r="G133" i="36"/>
  <c r="F133" i="36"/>
  <c r="E133" i="36"/>
  <c r="D133" i="36"/>
  <c r="C133" i="36"/>
  <c r="U132" i="36"/>
  <c r="T132" i="36"/>
  <c r="L132" i="36"/>
  <c r="K132" i="36"/>
  <c r="H132" i="36"/>
  <c r="V132" i="36" s="1"/>
  <c r="G132" i="36"/>
  <c r="F132" i="36"/>
  <c r="E132" i="36"/>
  <c r="D132" i="36"/>
  <c r="C132" i="36"/>
  <c r="U131" i="36"/>
  <c r="T131" i="36"/>
  <c r="L131" i="36"/>
  <c r="K131" i="36"/>
  <c r="G131" i="36"/>
  <c r="F131" i="36"/>
  <c r="E131" i="36"/>
  <c r="D131" i="36"/>
  <c r="C131" i="36"/>
  <c r="U130" i="36"/>
  <c r="T130" i="36"/>
  <c r="L130" i="36"/>
  <c r="K130" i="36"/>
  <c r="G130" i="36"/>
  <c r="F130" i="36"/>
  <c r="E130" i="36"/>
  <c r="D130" i="36"/>
  <c r="C130" i="36"/>
  <c r="U129" i="36"/>
  <c r="T129" i="36"/>
  <c r="L129" i="36"/>
  <c r="K129" i="36"/>
  <c r="H129" i="36"/>
  <c r="V129" i="36" s="1"/>
  <c r="G129" i="36"/>
  <c r="F129" i="36"/>
  <c r="E129" i="36"/>
  <c r="D129" i="36"/>
  <c r="C129" i="36"/>
  <c r="U128" i="36"/>
  <c r="T128" i="36"/>
  <c r="L128" i="36"/>
  <c r="K128" i="36"/>
  <c r="H128" i="36"/>
  <c r="G128" i="36"/>
  <c r="F128" i="36"/>
  <c r="E128" i="36"/>
  <c r="D128" i="36"/>
  <c r="C128" i="36"/>
  <c r="U127" i="36"/>
  <c r="T127" i="36"/>
  <c r="L127" i="36"/>
  <c r="K127" i="36"/>
  <c r="H127" i="36"/>
  <c r="V127" i="36" s="1"/>
  <c r="G127" i="36"/>
  <c r="F127" i="36"/>
  <c r="E127" i="36"/>
  <c r="D127" i="36"/>
  <c r="C127" i="36"/>
  <c r="U126" i="36"/>
  <c r="T126" i="36"/>
  <c r="L126" i="36"/>
  <c r="K126" i="36"/>
  <c r="H126" i="36"/>
  <c r="G126" i="36"/>
  <c r="F126" i="36"/>
  <c r="E126" i="36"/>
  <c r="D126" i="36"/>
  <c r="C126" i="36"/>
  <c r="U125" i="36"/>
  <c r="T125" i="36"/>
  <c r="L125" i="36"/>
  <c r="K125" i="36"/>
  <c r="H125" i="36"/>
  <c r="V125" i="36" s="1"/>
  <c r="G125" i="36"/>
  <c r="F125" i="36"/>
  <c r="E125" i="36"/>
  <c r="D125" i="36"/>
  <c r="C125" i="36"/>
  <c r="U124" i="36"/>
  <c r="T124" i="36"/>
  <c r="L124" i="36"/>
  <c r="K124" i="36"/>
  <c r="H124" i="36"/>
  <c r="V124" i="36" s="1"/>
  <c r="G124" i="36"/>
  <c r="F124" i="36"/>
  <c r="E124" i="36"/>
  <c r="D124" i="36"/>
  <c r="C124" i="36"/>
  <c r="U123" i="36"/>
  <c r="T123" i="36"/>
  <c r="L123" i="36"/>
  <c r="K123" i="36"/>
  <c r="H123" i="36"/>
  <c r="G123" i="36"/>
  <c r="F123" i="36"/>
  <c r="E123" i="36"/>
  <c r="D123" i="36"/>
  <c r="C123" i="36"/>
  <c r="U122" i="36"/>
  <c r="T122" i="36"/>
  <c r="L122" i="36"/>
  <c r="K122" i="36"/>
  <c r="H122" i="36"/>
  <c r="V122" i="36" s="1"/>
  <c r="G122" i="36"/>
  <c r="F122" i="36"/>
  <c r="E122" i="36"/>
  <c r="D122" i="36"/>
  <c r="C122" i="36"/>
  <c r="U121" i="36"/>
  <c r="T121" i="36"/>
  <c r="L121" i="36"/>
  <c r="K121" i="36"/>
  <c r="H121" i="36"/>
  <c r="G121" i="36"/>
  <c r="F121" i="36"/>
  <c r="E121" i="36"/>
  <c r="D121" i="36"/>
  <c r="C121" i="36"/>
  <c r="U120" i="36"/>
  <c r="T120" i="36"/>
  <c r="L120" i="36"/>
  <c r="K120" i="36"/>
  <c r="H120" i="36"/>
  <c r="V120" i="36" s="1"/>
  <c r="G120" i="36"/>
  <c r="F120" i="36"/>
  <c r="E120" i="36"/>
  <c r="D120" i="36"/>
  <c r="C120" i="36"/>
  <c r="U119" i="36"/>
  <c r="T119" i="36"/>
  <c r="L119" i="36"/>
  <c r="K119" i="36"/>
  <c r="H119" i="36"/>
  <c r="V119" i="36" s="1"/>
  <c r="G119" i="36"/>
  <c r="F119" i="36"/>
  <c r="E119" i="36"/>
  <c r="D119" i="36"/>
  <c r="C119" i="36"/>
  <c r="U118" i="36"/>
  <c r="T118" i="36"/>
  <c r="L118" i="36"/>
  <c r="K118" i="36"/>
  <c r="H118" i="36"/>
  <c r="G118" i="36"/>
  <c r="F118" i="36"/>
  <c r="E118" i="36"/>
  <c r="D118" i="36"/>
  <c r="C118" i="36"/>
  <c r="U117" i="36"/>
  <c r="T117" i="36"/>
  <c r="L117" i="36"/>
  <c r="K117" i="36"/>
  <c r="H117" i="36"/>
  <c r="V117" i="36" s="1"/>
  <c r="G117" i="36"/>
  <c r="F117" i="36"/>
  <c r="E117" i="36"/>
  <c r="D117" i="36"/>
  <c r="C117" i="36"/>
  <c r="U116" i="36"/>
  <c r="T116" i="36"/>
  <c r="L116" i="36"/>
  <c r="K116" i="36"/>
  <c r="H116" i="36"/>
  <c r="G116" i="36"/>
  <c r="F116" i="36"/>
  <c r="E116" i="36"/>
  <c r="D116" i="36"/>
  <c r="C116" i="36"/>
  <c r="U115" i="36"/>
  <c r="T115" i="36"/>
  <c r="L115" i="36"/>
  <c r="K115" i="36"/>
  <c r="H115" i="36"/>
  <c r="V115" i="36" s="1"/>
  <c r="G115" i="36"/>
  <c r="F115" i="36"/>
  <c r="E115" i="36"/>
  <c r="D115" i="36"/>
  <c r="C115" i="36"/>
  <c r="U114" i="36"/>
  <c r="T114" i="36"/>
  <c r="L114" i="36"/>
  <c r="K114" i="36"/>
  <c r="H114" i="36"/>
  <c r="V114" i="36" s="1"/>
  <c r="G114" i="36"/>
  <c r="F114" i="36"/>
  <c r="E114" i="36"/>
  <c r="D114" i="36"/>
  <c r="C114" i="36"/>
  <c r="U113" i="36"/>
  <c r="T113" i="36"/>
  <c r="L113" i="36"/>
  <c r="K113" i="36"/>
  <c r="H113" i="36"/>
  <c r="G113" i="36"/>
  <c r="F113" i="36"/>
  <c r="E113" i="36"/>
  <c r="D113" i="36"/>
  <c r="C113" i="36"/>
  <c r="U112" i="36"/>
  <c r="T112" i="36"/>
  <c r="L112" i="36"/>
  <c r="K112" i="36"/>
  <c r="H112" i="36"/>
  <c r="V112" i="36" s="1"/>
  <c r="G112" i="36"/>
  <c r="F112" i="36"/>
  <c r="E112" i="36"/>
  <c r="D112" i="36"/>
  <c r="C112" i="36"/>
  <c r="U111" i="36"/>
  <c r="T111" i="36"/>
  <c r="L111" i="36"/>
  <c r="K111" i="36"/>
  <c r="H111" i="36"/>
  <c r="G111" i="36"/>
  <c r="F111" i="36"/>
  <c r="E111" i="36"/>
  <c r="D111" i="36"/>
  <c r="C111" i="36"/>
  <c r="U110" i="36"/>
  <c r="T110" i="36"/>
  <c r="L110" i="36"/>
  <c r="K110" i="36"/>
  <c r="H110" i="36"/>
  <c r="V110" i="36" s="1"/>
  <c r="G110" i="36"/>
  <c r="F110" i="36"/>
  <c r="E110" i="36"/>
  <c r="D110" i="36"/>
  <c r="C110" i="36"/>
  <c r="U109" i="36"/>
  <c r="T109" i="36"/>
  <c r="L109" i="36"/>
  <c r="K109" i="36"/>
  <c r="H109" i="36"/>
  <c r="V109" i="36" s="1"/>
  <c r="G109" i="36"/>
  <c r="F109" i="36"/>
  <c r="E109" i="36"/>
  <c r="D109" i="36"/>
  <c r="C109" i="36"/>
  <c r="H108" i="36"/>
  <c r="G108" i="36"/>
  <c r="F108" i="36"/>
  <c r="E108" i="36"/>
  <c r="D108" i="36"/>
  <c r="C108" i="36"/>
  <c r="H107" i="36"/>
  <c r="G107" i="36"/>
  <c r="F107" i="36"/>
  <c r="E107" i="36"/>
  <c r="D107" i="36"/>
  <c r="C107" i="36"/>
  <c r="T106" i="36"/>
  <c r="H106" i="36"/>
  <c r="G106" i="36"/>
  <c r="F106" i="36"/>
  <c r="E106" i="36"/>
  <c r="D106" i="36"/>
  <c r="C106" i="36"/>
  <c r="L62" i="36"/>
  <c r="L63" i="36"/>
  <c r="L64" i="36"/>
  <c r="L65" i="36"/>
  <c r="L66" i="36"/>
  <c r="K67" i="36"/>
  <c r="L67" i="36"/>
  <c r="L68" i="36"/>
  <c r="L69" i="36"/>
  <c r="L70" i="36"/>
  <c r="L71" i="36"/>
  <c r="L72" i="36"/>
  <c r="L73" i="36"/>
  <c r="L74" i="36"/>
  <c r="L75" i="36"/>
  <c r="L76" i="36"/>
  <c r="L77" i="36"/>
  <c r="L78" i="36"/>
  <c r="L79" i="36"/>
  <c r="L80" i="36"/>
  <c r="L81" i="36"/>
  <c r="L82" i="36"/>
  <c r="L83" i="36"/>
  <c r="L84" i="36"/>
  <c r="L85" i="36"/>
  <c r="L86" i="36"/>
  <c r="L87" i="36"/>
  <c r="L88" i="36"/>
  <c r="L89" i="36"/>
  <c r="L90" i="36"/>
  <c r="L91" i="36"/>
  <c r="L92" i="36"/>
  <c r="L93" i="36"/>
  <c r="L94" i="36"/>
  <c r="L95" i="36"/>
  <c r="L96" i="36"/>
  <c r="L97" i="36"/>
  <c r="L98" i="36"/>
  <c r="L99" i="36"/>
  <c r="L100" i="36"/>
  <c r="L102" i="36"/>
  <c r="L103" i="36"/>
  <c r="L105" i="36"/>
  <c r="C11" i="30"/>
  <c r="D12" i="24"/>
  <c r="D11" i="24"/>
  <c r="V141" i="36" l="1"/>
  <c r="L140" i="36"/>
  <c r="V150" i="36"/>
  <c r="M135" i="36"/>
  <c r="V135" i="36"/>
  <c r="M138" i="36"/>
  <c r="V138" i="36"/>
  <c r="M116" i="36"/>
  <c r="V116" i="36"/>
  <c r="M118" i="36"/>
  <c r="V118" i="36"/>
  <c r="M126" i="36"/>
  <c r="V126" i="36"/>
  <c r="M128" i="36"/>
  <c r="V128" i="36"/>
  <c r="M133" i="36"/>
  <c r="V133" i="36"/>
  <c r="M111" i="36"/>
  <c r="V111" i="36"/>
  <c r="M113" i="36"/>
  <c r="V113" i="36"/>
  <c r="M121" i="36"/>
  <c r="V121" i="36"/>
  <c r="M123" i="36"/>
  <c r="V123" i="36"/>
  <c r="T140" i="36"/>
  <c r="V140" i="36"/>
  <c r="H140" i="36"/>
  <c r="G140" i="36"/>
  <c r="K140" i="36"/>
  <c r="M137" i="36"/>
  <c r="M139" i="36"/>
  <c r="M132" i="36"/>
  <c r="M125" i="36"/>
  <c r="M127" i="36"/>
  <c r="M129" i="36"/>
  <c r="M120" i="36"/>
  <c r="M122" i="36"/>
  <c r="M124" i="36"/>
  <c r="M115" i="36"/>
  <c r="M117" i="36"/>
  <c r="M119" i="36"/>
  <c r="M110" i="36"/>
  <c r="M112" i="36"/>
  <c r="M114" i="36"/>
  <c r="M109" i="36"/>
  <c r="N10" i="36"/>
  <c r="N2" i="36" s="1"/>
  <c r="N15" i="37" l="1"/>
  <c r="O15" i="37"/>
  <c r="N16" i="37"/>
  <c r="O16" i="37"/>
  <c r="H25" i="33"/>
  <c r="H22" i="33"/>
  <c r="H24" i="33"/>
  <c r="H21" i="33"/>
  <c r="H20" i="33"/>
  <c r="H19" i="33"/>
  <c r="H17" i="33"/>
  <c r="H18" i="33"/>
  <c r="H13" i="33"/>
  <c r="H14" i="33"/>
  <c r="H15" i="33"/>
  <c r="G24" i="33"/>
  <c r="G25" i="33"/>
  <c r="G21" i="33"/>
  <c r="G22" i="33"/>
  <c r="G23" i="33"/>
  <c r="G20" i="33"/>
  <c r="G18" i="33"/>
  <c r="G19" i="33"/>
  <c r="G13" i="33"/>
  <c r="G14" i="33"/>
  <c r="G15" i="33"/>
  <c r="G16" i="33"/>
  <c r="G17" i="33"/>
  <c r="O26" i="33"/>
  <c r="N26" i="33"/>
  <c r="P16" i="37" l="1"/>
  <c r="C34" i="30" s="1"/>
  <c r="U105" i="36" l="1"/>
  <c r="T105" i="36"/>
  <c r="U103" i="36"/>
  <c r="T103" i="36"/>
  <c r="U102" i="36"/>
  <c r="T102" i="36"/>
  <c r="U101" i="36"/>
  <c r="T101" i="36"/>
  <c r="U100" i="36"/>
  <c r="T100" i="36"/>
  <c r="U99" i="36"/>
  <c r="T99" i="36"/>
  <c r="U98" i="36"/>
  <c r="T98" i="36"/>
  <c r="U97" i="36"/>
  <c r="T97" i="36"/>
  <c r="U96" i="36"/>
  <c r="T96" i="36"/>
  <c r="U95" i="36"/>
  <c r="T95" i="36"/>
  <c r="U94" i="36"/>
  <c r="T94" i="36"/>
  <c r="U93" i="36"/>
  <c r="T93" i="36"/>
  <c r="U92" i="36"/>
  <c r="T92" i="36"/>
  <c r="U91" i="36"/>
  <c r="T91" i="36"/>
  <c r="U90" i="36"/>
  <c r="T90" i="36"/>
  <c r="U89" i="36"/>
  <c r="T89" i="36"/>
  <c r="U88" i="36"/>
  <c r="T88" i="36"/>
  <c r="U87" i="36"/>
  <c r="T87" i="36"/>
  <c r="U86" i="36"/>
  <c r="T86" i="36"/>
  <c r="U85" i="36"/>
  <c r="T85" i="36"/>
  <c r="U84" i="36"/>
  <c r="T84" i="36"/>
  <c r="U83" i="36"/>
  <c r="T83" i="36"/>
  <c r="U82" i="36"/>
  <c r="T82" i="36"/>
  <c r="U81" i="36"/>
  <c r="T81" i="36"/>
  <c r="U80" i="36"/>
  <c r="T80" i="36"/>
  <c r="U79" i="36"/>
  <c r="T79" i="36"/>
  <c r="U78" i="36"/>
  <c r="T78" i="36"/>
  <c r="U77" i="36"/>
  <c r="T77" i="36"/>
  <c r="U76" i="36"/>
  <c r="T76" i="36"/>
  <c r="U75" i="36"/>
  <c r="T75" i="36"/>
  <c r="U74" i="36"/>
  <c r="T74" i="36"/>
  <c r="U73" i="36"/>
  <c r="T73" i="36"/>
  <c r="U72" i="36"/>
  <c r="T72" i="36"/>
  <c r="U71" i="36"/>
  <c r="T71" i="36"/>
  <c r="U70" i="36"/>
  <c r="T70" i="36"/>
  <c r="U69" i="36"/>
  <c r="T69" i="36"/>
  <c r="U68" i="36"/>
  <c r="T68" i="36"/>
  <c r="U67" i="36"/>
  <c r="T67" i="36"/>
  <c r="U66" i="36"/>
  <c r="T66" i="36"/>
  <c r="U65" i="36"/>
  <c r="T65" i="36"/>
  <c r="U64" i="36"/>
  <c r="T64" i="36"/>
  <c r="U63" i="36"/>
  <c r="T63" i="36"/>
  <c r="U62" i="36"/>
  <c r="T62" i="36"/>
  <c r="T11" i="36"/>
  <c r="U11" i="36"/>
  <c r="T12" i="36"/>
  <c r="U12" i="36"/>
  <c r="T13" i="36"/>
  <c r="U13" i="36"/>
  <c r="T14" i="36"/>
  <c r="U14" i="36"/>
  <c r="T15" i="36"/>
  <c r="U15" i="36"/>
  <c r="T16" i="36"/>
  <c r="U16" i="36"/>
  <c r="T17" i="36"/>
  <c r="U17" i="36"/>
  <c r="T18" i="36"/>
  <c r="U18" i="36"/>
  <c r="T19" i="36"/>
  <c r="U19" i="36"/>
  <c r="T20" i="36"/>
  <c r="U20" i="36"/>
  <c r="T21" i="36"/>
  <c r="U21" i="36"/>
  <c r="T22" i="36"/>
  <c r="U22" i="36"/>
  <c r="T23" i="36"/>
  <c r="U23" i="36"/>
  <c r="T24" i="36"/>
  <c r="U24" i="36"/>
  <c r="T25" i="36"/>
  <c r="U25" i="36"/>
  <c r="T26" i="36"/>
  <c r="U26" i="36"/>
  <c r="T27" i="36"/>
  <c r="U27" i="36"/>
  <c r="T28" i="36"/>
  <c r="U28" i="36"/>
  <c r="T29" i="36"/>
  <c r="U29" i="36"/>
  <c r="T30" i="36"/>
  <c r="U30" i="36"/>
  <c r="T31" i="36"/>
  <c r="U31" i="36"/>
  <c r="T32" i="36"/>
  <c r="U32" i="36"/>
  <c r="T33" i="36"/>
  <c r="U33" i="36"/>
  <c r="T34" i="36"/>
  <c r="U34" i="36"/>
  <c r="T35" i="36"/>
  <c r="U35" i="36"/>
  <c r="T36" i="36"/>
  <c r="U36" i="36"/>
  <c r="T37" i="36"/>
  <c r="U37" i="36"/>
  <c r="T38" i="36"/>
  <c r="U38" i="36"/>
  <c r="T39" i="36"/>
  <c r="U39" i="36"/>
  <c r="T40" i="36"/>
  <c r="U40" i="36"/>
  <c r="T41" i="36"/>
  <c r="U41" i="36"/>
  <c r="T42" i="36"/>
  <c r="U42" i="36"/>
  <c r="T43" i="36"/>
  <c r="U43" i="36"/>
  <c r="T44" i="36"/>
  <c r="U44" i="36"/>
  <c r="T45" i="36"/>
  <c r="U45" i="36"/>
  <c r="T46" i="36"/>
  <c r="U46" i="36"/>
  <c r="T47" i="36"/>
  <c r="U47" i="36"/>
  <c r="T48" i="36"/>
  <c r="U48" i="36"/>
  <c r="T49" i="36"/>
  <c r="U49" i="36"/>
  <c r="T50" i="36"/>
  <c r="U50" i="36"/>
  <c r="T51" i="36"/>
  <c r="U51" i="36"/>
  <c r="T52" i="36"/>
  <c r="U52" i="36"/>
  <c r="T53" i="36"/>
  <c r="U53" i="36"/>
  <c r="T54" i="36"/>
  <c r="U54" i="36"/>
  <c r="T55" i="36"/>
  <c r="U55" i="36"/>
  <c r="T56" i="36"/>
  <c r="U56" i="36"/>
  <c r="T57" i="36"/>
  <c r="U57" i="36"/>
  <c r="T58" i="36"/>
  <c r="U58" i="36"/>
  <c r="T59" i="36"/>
  <c r="U59" i="36"/>
  <c r="T60" i="36"/>
  <c r="V60" i="36" s="1"/>
  <c r="U60" i="36"/>
  <c r="T61" i="36"/>
  <c r="U61" i="36"/>
  <c r="V24" i="28"/>
  <c r="U24" i="28"/>
  <c r="V23" i="28"/>
  <c r="U23" i="28"/>
  <c r="V22" i="28"/>
  <c r="U22" i="28"/>
  <c r="V21" i="28"/>
  <c r="U21" i="28"/>
  <c r="V20" i="28"/>
  <c r="U20" i="28"/>
  <c r="V19" i="28"/>
  <c r="U19" i="28"/>
  <c r="V18" i="28"/>
  <c r="U18" i="28"/>
  <c r="V17" i="28"/>
  <c r="U17" i="28"/>
  <c r="V16" i="28"/>
  <c r="U16" i="28"/>
  <c r="U15" i="28"/>
  <c r="V15" i="28"/>
  <c r="V14" i="28"/>
  <c r="U14" i="28"/>
  <c r="V10" i="28" l="1"/>
  <c r="U10" i="28"/>
  <c r="U101" i="27" l="1"/>
  <c r="T101" i="27"/>
  <c r="U100" i="27"/>
  <c r="T100" i="27"/>
  <c r="U99" i="27"/>
  <c r="T99" i="27"/>
  <c r="U97" i="27"/>
  <c r="T97" i="27"/>
  <c r="U95" i="27"/>
  <c r="T95" i="27"/>
  <c r="U94" i="27"/>
  <c r="T94" i="27"/>
  <c r="U93" i="27"/>
  <c r="T93" i="27"/>
  <c r="U92" i="27"/>
  <c r="T92" i="27"/>
  <c r="U91" i="27"/>
  <c r="T91" i="27"/>
  <c r="U90" i="27"/>
  <c r="T90" i="27"/>
  <c r="U89" i="27"/>
  <c r="T89" i="27"/>
  <c r="U88" i="27"/>
  <c r="T88" i="27"/>
  <c r="U87" i="27"/>
  <c r="T87" i="27"/>
  <c r="U86" i="27"/>
  <c r="T86" i="27"/>
  <c r="U85" i="27"/>
  <c r="T85" i="27"/>
  <c r="U84" i="27"/>
  <c r="T84" i="27"/>
  <c r="U83" i="27"/>
  <c r="T83" i="27"/>
  <c r="U82" i="27"/>
  <c r="T82" i="27"/>
  <c r="U81" i="27"/>
  <c r="T81" i="27"/>
  <c r="U80" i="27"/>
  <c r="T80" i="27"/>
  <c r="U78" i="27"/>
  <c r="T78" i="27"/>
  <c r="U77" i="27"/>
  <c r="T77" i="27"/>
  <c r="U75" i="27"/>
  <c r="T75" i="27"/>
  <c r="U74" i="27"/>
  <c r="T74" i="27"/>
  <c r="U73" i="27"/>
  <c r="T73" i="27"/>
  <c r="U72" i="27"/>
  <c r="T72" i="27"/>
  <c r="U71" i="27"/>
  <c r="T71" i="27"/>
  <c r="U70" i="27"/>
  <c r="T70" i="27"/>
  <c r="U69" i="27"/>
  <c r="T69" i="27"/>
  <c r="U68" i="27"/>
  <c r="T68" i="27"/>
  <c r="U67" i="27"/>
  <c r="T67" i="27"/>
  <c r="U66" i="27"/>
  <c r="T66" i="27"/>
  <c r="U65" i="27"/>
  <c r="T65" i="27"/>
  <c r="U64" i="27"/>
  <c r="T64" i="27"/>
  <c r="U63" i="27"/>
  <c r="T63" i="27"/>
  <c r="U62" i="27"/>
  <c r="T62" i="27"/>
  <c r="U61" i="27"/>
  <c r="T61" i="27"/>
  <c r="U60" i="27"/>
  <c r="T60" i="27"/>
  <c r="U59" i="27"/>
  <c r="T59" i="27"/>
  <c r="U58" i="27"/>
  <c r="T58" i="27"/>
  <c r="U57" i="27"/>
  <c r="T57" i="27"/>
  <c r="U56" i="27"/>
  <c r="T56" i="27"/>
  <c r="U55" i="27"/>
  <c r="T55" i="27"/>
  <c r="U54" i="27"/>
  <c r="T54" i="27"/>
  <c r="U53" i="27"/>
  <c r="T53" i="27"/>
  <c r="U52" i="27"/>
  <c r="T52" i="27"/>
  <c r="U51" i="27"/>
  <c r="T51" i="27"/>
  <c r="U50" i="27"/>
  <c r="T50" i="27"/>
  <c r="U49" i="27"/>
  <c r="T49" i="27"/>
  <c r="U48" i="27"/>
  <c r="T48" i="27"/>
  <c r="U47" i="27"/>
  <c r="T47" i="27"/>
  <c r="U46" i="27"/>
  <c r="T46" i="27"/>
  <c r="U45" i="27"/>
  <c r="T45" i="27"/>
  <c r="U44" i="27"/>
  <c r="T44" i="27"/>
  <c r="U43" i="27"/>
  <c r="T43" i="27"/>
  <c r="U42" i="27"/>
  <c r="T42" i="27"/>
  <c r="U41" i="27"/>
  <c r="T41" i="27"/>
  <c r="U40" i="27"/>
  <c r="T40" i="27"/>
  <c r="U39" i="27"/>
  <c r="T39" i="27"/>
  <c r="U38" i="27"/>
  <c r="T38" i="27"/>
  <c r="U37" i="27"/>
  <c r="T37" i="27"/>
  <c r="T12" i="27" l="1"/>
  <c r="U12" i="27"/>
  <c r="T13" i="27"/>
  <c r="U13" i="27"/>
  <c r="T14" i="27"/>
  <c r="U14" i="27"/>
  <c r="T15" i="27"/>
  <c r="U15" i="27"/>
  <c r="T16" i="27"/>
  <c r="U16" i="27"/>
  <c r="T17" i="27"/>
  <c r="U17" i="27"/>
  <c r="T18" i="27"/>
  <c r="U18" i="27"/>
  <c r="T19" i="27"/>
  <c r="U19" i="27"/>
  <c r="T20" i="27"/>
  <c r="U20" i="27"/>
  <c r="T21" i="27"/>
  <c r="U21" i="27"/>
  <c r="T22" i="27"/>
  <c r="U22" i="27"/>
  <c r="T23" i="27"/>
  <c r="U23" i="27"/>
  <c r="T24" i="27"/>
  <c r="U24" i="27"/>
  <c r="T25" i="27"/>
  <c r="U25" i="27"/>
  <c r="T26" i="27"/>
  <c r="U26" i="27"/>
  <c r="T27" i="27"/>
  <c r="U27" i="27"/>
  <c r="T28" i="27"/>
  <c r="U28" i="27"/>
  <c r="T29" i="27"/>
  <c r="U29" i="27"/>
  <c r="T30" i="27"/>
  <c r="U30" i="27"/>
  <c r="T31" i="27"/>
  <c r="U31" i="27"/>
  <c r="T32" i="27"/>
  <c r="U32" i="27"/>
  <c r="T33" i="27"/>
  <c r="U33" i="27"/>
  <c r="T34" i="27"/>
  <c r="U34" i="27"/>
  <c r="T35" i="27"/>
  <c r="U35" i="27"/>
  <c r="T36" i="27"/>
  <c r="U36" i="27"/>
  <c r="U17" i="26"/>
  <c r="T17" i="26"/>
  <c r="U16" i="26"/>
  <c r="T16" i="26"/>
  <c r="U15" i="26"/>
  <c r="T15" i="26"/>
  <c r="U14" i="26"/>
  <c r="T14" i="26"/>
  <c r="T12" i="26"/>
  <c r="U12" i="26"/>
  <c r="T13" i="26"/>
  <c r="U13" i="26"/>
  <c r="U11" i="26"/>
  <c r="T11" i="26"/>
  <c r="T10" i="26" l="1"/>
  <c r="U10" i="26"/>
  <c r="U11" i="27"/>
  <c r="T11" i="27"/>
  <c r="P76" i="27" l="1"/>
  <c r="O76" i="27"/>
  <c r="P102" i="27"/>
  <c r="O102" i="27"/>
  <c r="P98" i="27"/>
  <c r="O98" i="27"/>
  <c r="P96" i="27"/>
  <c r="O96" i="27"/>
  <c r="B9" i="36" l="1"/>
  <c r="C9" i="36" s="1"/>
  <c r="D9" i="36" s="1"/>
  <c r="E9" i="36" s="1"/>
  <c r="F9" i="36" s="1"/>
  <c r="G9" i="36" s="1"/>
  <c r="H9" i="36" s="1"/>
  <c r="I9" i="36" s="1"/>
  <c r="J9" i="36" s="1"/>
  <c r="K9" i="36" s="1"/>
  <c r="L9" i="36" s="1"/>
  <c r="M9" i="36" s="1"/>
  <c r="M11" i="37" l="1"/>
  <c r="M12" i="37"/>
  <c r="N12" i="37" s="1"/>
  <c r="M13" i="37"/>
  <c r="N13" i="37" s="1"/>
  <c r="N11" i="37" l="1"/>
  <c r="N10" i="37" s="1"/>
  <c r="O11" i="37"/>
  <c r="O12" i="37"/>
  <c r="C29" i="30"/>
  <c r="O13" i="37"/>
  <c r="S102" i="27"/>
  <c r="S98" i="27"/>
  <c r="S96" i="27"/>
  <c r="O10" i="37" l="1"/>
  <c r="U98" i="27"/>
  <c r="T98" i="27"/>
  <c r="U96" i="27"/>
  <c r="T96" i="27"/>
  <c r="U102" i="27"/>
  <c r="T102" i="27"/>
  <c r="S76" i="27"/>
  <c r="U76" i="27" l="1"/>
  <c r="T76" i="27"/>
  <c r="P79" i="27"/>
  <c r="O79" i="27"/>
  <c r="S79" i="27"/>
  <c r="U79" i="27" l="1"/>
  <c r="U10" i="27" s="1"/>
  <c r="T79" i="27"/>
  <c r="T10" i="27" s="1"/>
  <c r="P529" i="25" l="1"/>
  <c r="AD529" i="25" s="1"/>
  <c r="AE529" i="25" s="1"/>
  <c r="AY529" i="25"/>
  <c r="P10" i="36" l="1"/>
  <c r="O10" i="36"/>
  <c r="S10" i="36"/>
  <c r="P10" i="28" l="1"/>
  <c r="R11" i="27"/>
  <c r="Q11" i="27"/>
  <c r="P11" i="27"/>
  <c r="O11" i="27"/>
  <c r="S11" i="27"/>
  <c r="T10" i="28" l="1"/>
  <c r="S10" i="28"/>
  <c r="R10" i="28"/>
  <c r="O10" i="27"/>
  <c r="R10" i="27"/>
  <c r="Q10" i="28"/>
  <c r="Q10" i="27"/>
  <c r="P10" i="27"/>
  <c r="S10" i="27"/>
  <c r="Q10" i="26"/>
  <c r="P10" i="26" l="1"/>
  <c r="O10" i="26"/>
  <c r="S10" i="26"/>
  <c r="R10" i="26"/>
  <c r="H14" i="37"/>
  <c r="M10" i="37" l="1"/>
  <c r="F24" i="28"/>
  <c r="F23" i="28"/>
  <c r="F22" i="28"/>
  <c r="F21" i="28"/>
  <c r="F20" i="28"/>
  <c r="F44" i="27"/>
  <c r="F45" i="27"/>
  <c r="F46" i="27"/>
  <c r="F47" i="27"/>
  <c r="F93" i="27"/>
  <c r="F94" i="27"/>
  <c r="F95" i="27"/>
  <c r="F96" i="27"/>
  <c r="F97" i="27"/>
  <c r="F98" i="27"/>
  <c r="F99" i="27"/>
  <c r="F100" i="27"/>
  <c r="F101" i="27"/>
  <c r="F102" i="27"/>
  <c r="F15" i="26"/>
  <c r="F16" i="26"/>
  <c r="F17" i="26"/>
  <c r="AE266" i="25" l="1"/>
  <c r="C102" i="27"/>
  <c r="D102" i="27"/>
  <c r="E102" i="27"/>
  <c r="G102" i="27"/>
  <c r="I102" i="27"/>
  <c r="J102" i="27"/>
  <c r="K102" i="27"/>
  <c r="L102" i="27"/>
  <c r="P266" i="25"/>
  <c r="C44" i="27"/>
  <c r="D44" i="27"/>
  <c r="E44" i="27"/>
  <c r="G44" i="27"/>
  <c r="H44" i="27"/>
  <c r="V44" i="27" s="1"/>
  <c r="K44" i="27"/>
  <c r="L44" i="27"/>
  <c r="F42" i="27"/>
  <c r="F41" i="27"/>
  <c r="F43" i="27"/>
  <c r="C41" i="27"/>
  <c r="D41" i="27"/>
  <c r="E41" i="27"/>
  <c r="G41" i="27"/>
  <c r="H41" i="27"/>
  <c r="K41" i="27"/>
  <c r="L41" i="27"/>
  <c r="C42" i="27"/>
  <c r="D42" i="27"/>
  <c r="E42" i="27"/>
  <c r="G42" i="27"/>
  <c r="H42" i="27"/>
  <c r="K42" i="27"/>
  <c r="L42" i="27"/>
  <c r="C43" i="27"/>
  <c r="D43" i="27"/>
  <c r="E43" i="27"/>
  <c r="G43" i="27"/>
  <c r="H43" i="27"/>
  <c r="K43" i="27"/>
  <c r="L43" i="27"/>
  <c r="M41" i="27" l="1"/>
  <c r="V41" i="27"/>
  <c r="M42" i="27"/>
  <c r="V42" i="27"/>
  <c r="M43" i="27"/>
  <c r="V43" i="27"/>
  <c r="M44" i="27"/>
  <c r="T266" i="25"/>
  <c r="H102" i="27"/>
  <c r="V102" i="27" s="1"/>
  <c r="M102" i="27" l="1"/>
  <c r="AD607" i="25"/>
  <c r="AE607" i="25" s="1"/>
  <c r="AM607" i="25" l="1"/>
  <c r="J137" i="36"/>
  <c r="AL607" i="25"/>
  <c r="I137" i="36"/>
  <c r="C101" i="27"/>
  <c r="D101" i="27"/>
  <c r="E101" i="27"/>
  <c r="G101" i="27"/>
  <c r="H101" i="27"/>
  <c r="V101" i="27" s="1"/>
  <c r="I101" i="27"/>
  <c r="J101" i="27"/>
  <c r="K101" i="27"/>
  <c r="L101" i="27"/>
  <c r="AL265" i="25"/>
  <c r="AE265" i="25"/>
  <c r="AM265" i="25" s="1"/>
  <c r="T265" i="25"/>
  <c r="C99" i="27" l="1"/>
  <c r="D99" i="27"/>
  <c r="E99" i="27"/>
  <c r="G99" i="27"/>
  <c r="H99" i="27"/>
  <c r="V99" i="27" s="1"/>
  <c r="K99" i="27"/>
  <c r="L99" i="27"/>
  <c r="M99" i="27" l="1"/>
  <c r="C100" i="27"/>
  <c r="D100" i="27"/>
  <c r="E100" i="27"/>
  <c r="G100" i="27"/>
  <c r="H100" i="27"/>
  <c r="V100" i="27" s="1"/>
  <c r="K100" i="27"/>
  <c r="L100" i="27"/>
  <c r="T264" i="25"/>
  <c r="AD264" i="25" s="1"/>
  <c r="M100" i="27" l="1"/>
  <c r="J100" i="27"/>
  <c r="AL264" i="25"/>
  <c r="I100" i="27"/>
  <c r="AE264" i="25"/>
  <c r="AM264" i="25" s="1"/>
  <c r="AD624" i="25" l="1"/>
  <c r="AD625" i="25"/>
  <c r="I149" i="36" s="1"/>
  <c r="AD627" i="25"/>
  <c r="I147" i="36" s="1"/>
  <c r="AD626" i="25"/>
  <c r="I150" i="36" s="1"/>
  <c r="AD628" i="25"/>
  <c r="I148" i="36" s="1"/>
  <c r="T629" i="25"/>
  <c r="AD629" i="25" s="1"/>
  <c r="I135" i="36" s="1"/>
  <c r="T630" i="25"/>
  <c r="AD630" i="25" s="1"/>
  <c r="I136" i="36" s="1"/>
  <c r="AD622" i="25"/>
  <c r="I144" i="36" s="1"/>
  <c r="I146" i="36" l="1"/>
  <c r="AE624" i="25"/>
  <c r="J146" i="36" s="1"/>
  <c r="AD623" i="25"/>
  <c r="I145" i="36" s="1"/>
  <c r="AE630" i="25"/>
  <c r="AE627" i="25"/>
  <c r="J147" i="36" s="1"/>
  <c r="AE629" i="25"/>
  <c r="J135" i="36" s="1"/>
  <c r="AL629" i="25"/>
  <c r="AL624" i="25"/>
  <c r="AM627" i="25"/>
  <c r="AL627" i="25"/>
  <c r="AE628" i="25"/>
  <c r="J148" i="36" s="1"/>
  <c r="AL628" i="25"/>
  <c r="AL625" i="25"/>
  <c r="AE626" i="25"/>
  <c r="J150" i="36" s="1"/>
  <c r="AL626" i="25"/>
  <c r="AE625" i="25"/>
  <c r="J149" i="36" s="1"/>
  <c r="AE623" i="25"/>
  <c r="J145" i="36" s="1"/>
  <c r="AL623" i="25"/>
  <c r="AE622" i="25"/>
  <c r="J144" i="36" s="1"/>
  <c r="AL622" i="25"/>
  <c r="J136" i="36" l="1"/>
  <c r="AM624" i="25"/>
  <c r="AM629" i="25"/>
  <c r="AM628" i="25"/>
  <c r="AM626" i="25"/>
  <c r="AM625" i="25"/>
  <c r="AM623" i="25"/>
  <c r="AM622" i="25"/>
  <c r="L201" i="47" l="1"/>
  <c r="G201" i="47"/>
  <c r="I201" i="47" s="1"/>
  <c r="L200" i="47"/>
  <c r="G200" i="47"/>
  <c r="I200" i="47" s="1"/>
  <c r="L199" i="47"/>
  <c r="G199" i="47"/>
  <c r="I199" i="47" s="1"/>
  <c r="M199" i="47" s="1"/>
  <c r="L198" i="47"/>
  <c r="G198" i="47"/>
  <c r="I198" i="47" s="1"/>
  <c r="M198" i="47" s="1"/>
  <c r="L197" i="47"/>
  <c r="G197" i="47"/>
  <c r="I197" i="47" s="1"/>
  <c r="L196" i="47"/>
  <c r="G196" i="47"/>
  <c r="I196" i="47" s="1"/>
  <c r="L195" i="47"/>
  <c r="G195" i="47"/>
  <c r="I195" i="47" s="1"/>
  <c r="M195" i="47" s="1"/>
  <c r="K194" i="47"/>
  <c r="J194" i="47"/>
  <c r="H194" i="47"/>
  <c r="F194" i="47"/>
  <c r="E194" i="47"/>
  <c r="D194" i="47"/>
  <c r="G193" i="47"/>
  <c r="I193" i="47" s="1"/>
  <c r="G192" i="47"/>
  <c r="I192" i="47" s="1"/>
  <c r="G191" i="47"/>
  <c r="I191" i="47" s="1"/>
  <c r="G190" i="47"/>
  <c r="I190" i="47" s="1"/>
  <c r="L190" i="47" s="1"/>
  <c r="G189" i="47"/>
  <c r="I189" i="47" s="1"/>
  <c r="L189" i="47" s="1"/>
  <c r="G188" i="47"/>
  <c r="I188" i="47" s="1"/>
  <c r="L188" i="47" s="1"/>
  <c r="G187" i="47"/>
  <c r="I187" i="47" s="1"/>
  <c r="G186" i="47"/>
  <c r="I186" i="47" s="1"/>
  <c r="F185" i="47"/>
  <c r="G185" i="47" s="1"/>
  <c r="I185" i="47" s="1"/>
  <c r="F184" i="47"/>
  <c r="G184" i="47" s="1"/>
  <c r="I184" i="47" s="1"/>
  <c r="F183" i="47"/>
  <c r="F182" i="47"/>
  <c r="G182" i="47" s="1"/>
  <c r="I182" i="47" s="1"/>
  <c r="F181" i="47"/>
  <c r="G181" i="47" s="1"/>
  <c r="I181" i="47" s="1"/>
  <c r="K180" i="47"/>
  <c r="J180" i="47"/>
  <c r="H180" i="47"/>
  <c r="E180" i="47"/>
  <c r="D180" i="47"/>
  <c r="F179" i="47"/>
  <c r="G179" i="47" s="1"/>
  <c r="F178" i="47"/>
  <c r="G178" i="47" s="1"/>
  <c r="F177" i="47"/>
  <c r="G177" i="47" s="1"/>
  <c r="I177" i="47" s="1"/>
  <c r="F176" i="47"/>
  <c r="G176" i="47" s="1"/>
  <c r="I176" i="47" s="1"/>
  <c r="M176" i="47" s="1"/>
  <c r="F175" i="47"/>
  <c r="G175" i="47" s="1"/>
  <c r="F174" i="47"/>
  <c r="G174" i="47" s="1"/>
  <c r="F173" i="47"/>
  <c r="G173" i="47" s="1"/>
  <c r="F172" i="47"/>
  <c r="G172" i="47" s="1"/>
  <c r="F171" i="47"/>
  <c r="G171" i="47" s="1"/>
  <c r="F170" i="47"/>
  <c r="G170" i="47" s="1"/>
  <c r="F169" i="47"/>
  <c r="G169" i="47" s="1"/>
  <c r="I169" i="47" s="1"/>
  <c r="F168" i="47"/>
  <c r="G168" i="47" s="1"/>
  <c r="I168" i="47" s="1"/>
  <c r="M168" i="47" s="1"/>
  <c r="F167" i="47"/>
  <c r="G167" i="47" s="1"/>
  <c r="F166" i="47"/>
  <c r="G166" i="47" s="1"/>
  <c r="F165" i="47"/>
  <c r="G165" i="47" s="1"/>
  <c r="F164" i="47"/>
  <c r="G164" i="47" s="1"/>
  <c r="F163" i="47"/>
  <c r="F162" i="47"/>
  <c r="G162" i="47" s="1"/>
  <c r="F161" i="47"/>
  <c r="G161" i="47" s="1"/>
  <c r="I161" i="47" s="1"/>
  <c r="F160" i="47"/>
  <c r="G160" i="47" s="1"/>
  <c r="G159" i="47"/>
  <c r="I159" i="47" s="1"/>
  <c r="K158" i="47"/>
  <c r="H158" i="47"/>
  <c r="E158" i="47"/>
  <c r="D158" i="47"/>
  <c r="F157" i="47"/>
  <c r="G157" i="47" s="1"/>
  <c r="I157" i="47" s="1"/>
  <c r="F156" i="47"/>
  <c r="G156" i="47" s="1"/>
  <c r="I156" i="47" s="1"/>
  <c r="M156" i="47" s="1"/>
  <c r="F155" i="47"/>
  <c r="G155" i="47" s="1"/>
  <c r="I155" i="47" s="1"/>
  <c r="F154" i="47"/>
  <c r="F153" i="47"/>
  <c r="G153" i="47" s="1"/>
  <c r="I153" i="47" s="1"/>
  <c r="F152" i="47"/>
  <c r="G152" i="47" s="1"/>
  <c r="I152" i="47" s="1"/>
  <c r="F151" i="47"/>
  <c r="G151" i="47" s="1"/>
  <c r="I151" i="47" s="1"/>
  <c r="F150" i="47"/>
  <c r="G150" i="47" s="1"/>
  <c r="I150" i="47" s="1"/>
  <c r="G149" i="47"/>
  <c r="I149" i="47" s="1"/>
  <c r="M149" i="47" s="1"/>
  <c r="K148" i="47"/>
  <c r="J148" i="47"/>
  <c r="H148" i="47"/>
  <c r="D148" i="47"/>
  <c r="F147" i="47"/>
  <c r="G147" i="47" s="1"/>
  <c r="I147" i="47" s="1"/>
  <c r="M147" i="47" s="1"/>
  <c r="F146" i="47"/>
  <c r="G146" i="47" s="1"/>
  <c r="I146" i="47" s="1"/>
  <c r="F145" i="47"/>
  <c r="G145" i="47" s="1"/>
  <c r="I145" i="47" s="1"/>
  <c r="F144" i="47"/>
  <c r="G144" i="47" s="1"/>
  <c r="I144" i="47" s="1"/>
  <c r="F143" i="47"/>
  <c r="G143" i="47" s="1"/>
  <c r="I143" i="47" s="1"/>
  <c r="F142" i="47"/>
  <c r="G142" i="47" s="1"/>
  <c r="I142" i="47" s="1"/>
  <c r="F141" i="47"/>
  <c r="G141" i="47" s="1"/>
  <c r="I141" i="47" s="1"/>
  <c r="F140" i="47"/>
  <c r="G140" i="47" s="1"/>
  <c r="I140" i="47" s="1"/>
  <c r="K139" i="47"/>
  <c r="J139" i="47"/>
  <c r="H139" i="47"/>
  <c r="E139" i="47"/>
  <c r="D139" i="47"/>
  <c r="F138" i="47"/>
  <c r="G138" i="47" s="1"/>
  <c r="I138" i="47" s="1"/>
  <c r="F137" i="47"/>
  <c r="G137" i="47" s="1"/>
  <c r="I137" i="47" s="1"/>
  <c r="F136" i="47"/>
  <c r="G136" i="47" s="1"/>
  <c r="I136" i="47" s="1"/>
  <c r="F135" i="47"/>
  <c r="G135" i="47" s="1"/>
  <c r="I135" i="47" s="1"/>
  <c r="F134" i="47"/>
  <c r="G134" i="47" s="1"/>
  <c r="I134" i="47" s="1"/>
  <c r="F133" i="47"/>
  <c r="G133" i="47" s="1"/>
  <c r="I133" i="47" s="1"/>
  <c r="M133" i="47" s="1"/>
  <c r="F132" i="47"/>
  <c r="G132" i="47" s="1"/>
  <c r="I132" i="47" s="1"/>
  <c r="M132" i="47" s="1"/>
  <c r="K131" i="47"/>
  <c r="J131" i="47"/>
  <c r="H131" i="47"/>
  <c r="E131" i="47"/>
  <c r="D131" i="47"/>
  <c r="F128" i="47"/>
  <c r="G128" i="47" s="1"/>
  <c r="I128" i="47" s="1"/>
  <c r="L128" i="47" s="1"/>
  <c r="F127" i="47"/>
  <c r="G127" i="47" s="1"/>
  <c r="I127" i="47" s="1"/>
  <c r="L127" i="47" s="1"/>
  <c r="F126" i="47"/>
  <c r="F125" i="47"/>
  <c r="G125" i="47" s="1"/>
  <c r="I125" i="47" s="1"/>
  <c r="G124" i="47"/>
  <c r="I124" i="47" s="1"/>
  <c r="M124" i="47" s="1"/>
  <c r="G123" i="47"/>
  <c r="I123" i="47" s="1"/>
  <c r="G122" i="47"/>
  <c r="I122" i="47" s="1"/>
  <c r="G121" i="47"/>
  <c r="I121" i="47" s="1"/>
  <c r="G120" i="47"/>
  <c r="I120" i="47" s="1"/>
  <c r="M120" i="47" s="1"/>
  <c r="G119" i="47"/>
  <c r="I119" i="47" s="1"/>
  <c r="G118" i="47"/>
  <c r="I118" i="47" s="1"/>
  <c r="K117" i="47"/>
  <c r="J117" i="47"/>
  <c r="H117" i="47"/>
  <c r="E117" i="47"/>
  <c r="D117" i="47"/>
  <c r="F116" i="47"/>
  <c r="G116" i="47" s="1"/>
  <c r="I116" i="47" s="1"/>
  <c r="F115" i="47"/>
  <c r="G115" i="47" s="1"/>
  <c r="I115" i="47" s="1"/>
  <c r="F114" i="47"/>
  <c r="G114" i="47" s="1"/>
  <c r="I114" i="47" s="1"/>
  <c r="F113" i="47"/>
  <c r="G113" i="47" s="1"/>
  <c r="I113" i="47" s="1"/>
  <c r="L113" i="47" s="1"/>
  <c r="F112" i="47"/>
  <c r="G112" i="47" s="1"/>
  <c r="I112" i="47" s="1"/>
  <c r="L112" i="47" s="1"/>
  <c r="F111" i="47"/>
  <c r="G111" i="47" s="1"/>
  <c r="I111" i="47" s="1"/>
  <c r="F110" i="47"/>
  <c r="G110" i="47" s="1"/>
  <c r="I110" i="47" s="1"/>
  <c r="F109" i="47"/>
  <c r="G109" i="47" s="1"/>
  <c r="I109" i="47" s="1"/>
  <c r="F108" i="47"/>
  <c r="G108" i="47" s="1"/>
  <c r="I108" i="47" s="1"/>
  <c r="F107" i="47"/>
  <c r="G107" i="47" s="1"/>
  <c r="I107" i="47" s="1"/>
  <c r="F106" i="47"/>
  <c r="G106" i="47" s="1"/>
  <c r="I106" i="47" s="1"/>
  <c r="F105" i="47"/>
  <c r="G105" i="47" s="1"/>
  <c r="I105" i="47" s="1"/>
  <c r="L105" i="47" s="1"/>
  <c r="F104" i="47"/>
  <c r="G104" i="47" s="1"/>
  <c r="I104" i="47" s="1"/>
  <c r="L104" i="47" s="1"/>
  <c r="F103" i="47"/>
  <c r="F102" i="47"/>
  <c r="G102" i="47" s="1"/>
  <c r="K101" i="47"/>
  <c r="J101" i="47"/>
  <c r="H101" i="47"/>
  <c r="E101" i="47"/>
  <c r="D101" i="47"/>
  <c r="F99" i="47"/>
  <c r="G99" i="47" s="1"/>
  <c r="G98" i="47" s="1"/>
  <c r="K98" i="47"/>
  <c r="J98" i="47"/>
  <c r="H98" i="47"/>
  <c r="F98" i="47"/>
  <c r="E98" i="47"/>
  <c r="D98" i="47"/>
  <c r="F97" i="47"/>
  <c r="G97" i="47" s="1"/>
  <c r="I97" i="47" s="1"/>
  <c r="L97" i="47" s="1"/>
  <c r="F96" i="47"/>
  <c r="G96" i="47" s="1"/>
  <c r="I96" i="47" s="1"/>
  <c r="M96" i="47" s="1"/>
  <c r="F95" i="47"/>
  <c r="G95" i="47" s="1"/>
  <c r="I95" i="47" s="1"/>
  <c r="M95" i="47" s="1"/>
  <c r="F94" i="47"/>
  <c r="G94" i="47" s="1"/>
  <c r="I94" i="47" s="1"/>
  <c r="F93" i="47"/>
  <c r="G93" i="47" s="1"/>
  <c r="I93" i="47" s="1"/>
  <c r="F92" i="47"/>
  <c r="G92" i="47" s="1"/>
  <c r="I92" i="47" s="1"/>
  <c r="F91" i="47"/>
  <c r="G91" i="47" s="1"/>
  <c r="I91" i="47" s="1"/>
  <c r="F90" i="47"/>
  <c r="G90" i="47" s="1"/>
  <c r="I90" i="47" s="1"/>
  <c r="F89" i="47"/>
  <c r="G89" i="47" s="1"/>
  <c r="I89" i="47" s="1"/>
  <c r="F88" i="47"/>
  <c r="G88" i="47" s="1"/>
  <c r="I88" i="47" s="1"/>
  <c r="F87" i="47"/>
  <c r="G87" i="47" s="1"/>
  <c r="I87" i="47" s="1"/>
  <c r="M87" i="47" s="1"/>
  <c r="F86" i="47"/>
  <c r="G86" i="47" s="1"/>
  <c r="I86" i="47" s="1"/>
  <c r="F85" i="47"/>
  <c r="F84" i="47"/>
  <c r="G84" i="47" s="1"/>
  <c r="I84" i="47" s="1"/>
  <c r="F83" i="47"/>
  <c r="G83" i="47" s="1"/>
  <c r="I83" i="47" s="1"/>
  <c r="F82" i="47"/>
  <c r="G82" i="47" s="1"/>
  <c r="I82" i="47" s="1"/>
  <c r="F81" i="47"/>
  <c r="G81" i="47" s="1"/>
  <c r="I81" i="47" s="1"/>
  <c r="L81" i="47" s="1"/>
  <c r="K80" i="47"/>
  <c r="J80" i="47"/>
  <c r="H80" i="47"/>
  <c r="E80" i="47"/>
  <c r="D80" i="47"/>
  <c r="F77" i="47"/>
  <c r="G77" i="47" s="1"/>
  <c r="I77" i="47" s="1"/>
  <c r="F76" i="47"/>
  <c r="G76" i="47" s="1"/>
  <c r="I76" i="47" s="1"/>
  <c r="F75" i="47"/>
  <c r="G75" i="47" s="1"/>
  <c r="I75" i="47" s="1"/>
  <c r="F74" i="47"/>
  <c r="G74" i="47" s="1"/>
  <c r="I74" i="47" s="1"/>
  <c r="F73" i="47"/>
  <c r="G73" i="47" s="1"/>
  <c r="I73" i="47" s="1"/>
  <c r="M73" i="47" s="1"/>
  <c r="F72" i="47"/>
  <c r="G72" i="47" s="1"/>
  <c r="I72" i="47" s="1"/>
  <c r="F71" i="47"/>
  <c r="G71" i="47" s="1"/>
  <c r="I71" i="47" s="1"/>
  <c r="L71" i="47" s="1"/>
  <c r="F70" i="47"/>
  <c r="G70" i="47" s="1"/>
  <c r="I70" i="47" s="1"/>
  <c r="M70" i="47" s="1"/>
  <c r="F69" i="47"/>
  <c r="G69" i="47" s="1"/>
  <c r="I69" i="47" s="1"/>
  <c r="F68" i="47"/>
  <c r="G68" i="47" s="1"/>
  <c r="I68" i="47" s="1"/>
  <c r="F67" i="47"/>
  <c r="G67" i="47" s="1"/>
  <c r="I67" i="47" s="1"/>
  <c r="F66" i="47"/>
  <c r="G66" i="47" s="1"/>
  <c r="I66" i="47" s="1"/>
  <c r="F65" i="47"/>
  <c r="G65" i="47" s="1"/>
  <c r="I65" i="47" s="1"/>
  <c r="M65" i="47" s="1"/>
  <c r="F64" i="47"/>
  <c r="K63" i="47"/>
  <c r="K62" i="47" s="1"/>
  <c r="J63" i="47"/>
  <c r="J62" i="47" s="1"/>
  <c r="H63" i="47"/>
  <c r="H62" i="47" s="1"/>
  <c r="E63" i="47"/>
  <c r="E62" i="47" s="1"/>
  <c r="D63" i="47"/>
  <c r="D62" i="47" s="1"/>
  <c r="G61" i="47"/>
  <c r="I61" i="47" s="1"/>
  <c r="G60" i="47"/>
  <c r="I60" i="47" s="1"/>
  <c r="G59" i="47"/>
  <c r="I59" i="47" s="1"/>
  <c r="M59" i="47" s="1"/>
  <c r="G58" i="47"/>
  <c r="I58" i="47" s="1"/>
  <c r="M58" i="47" s="1"/>
  <c r="G57" i="47"/>
  <c r="I57" i="47" s="1"/>
  <c r="G56" i="47"/>
  <c r="I56" i="47" s="1"/>
  <c r="F55" i="47"/>
  <c r="G55" i="47" s="1"/>
  <c r="I55" i="47" s="1"/>
  <c r="M55" i="47" s="1"/>
  <c r="F54" i="47"/>
  <c r="G54" i="47" s="1"/>
  <c r="I54" i="47" s="1"/>
  <c r="F53" i="47"/>
  <c r="G53" i="47" s="1"/>
  <c r="I53" i="47" s="1"/>
  <c r="L53" i="47" s="1"/>
  <c r="F52" i="47"/>
  <c r="G52" i="47" s="1"/>
  <c r="F51" i="47"/>
  <c r="G51" i="47" s="1"/>
  <c r="I51" i="47" s="1"/>
  <c r="D50" i="47"/>
  <c r="F49" i="47"/>
  <c r="G49" i="47" s="1"/>
  <c r="I49" i="47" s="1"/>
  <c r="M49" i="47" s="1"/>
  <c r="F48" i="47"/>
  <c r="G48" i="47" s="1"/>
  <c r="I48" i="47" s="1"/>
  <c r="F47" i="47"/>
  <c r="G47" i="47" s="1"/>
  <c r="I47" i="47" s="1"/>
  <c r="M47" i="47" s="1"/>
  <c r="F46" i="47"/>
  <c r="G46" i="47" s="1"/>
  <c r="I46" i="47" s="1"/>
  <c r="F45" i="47"/>
  <c r="G45" i="47" s="1"/>
  <c r="I45" i="47" s="1"/>
  <c r="M45" i="47" s="1"/>
  <c r="F44" i="47"/>
  <c r="G44" i="47" s="1"/>
  <c r="I44" i="47" s="1"/>
  <c r="F43" i="47"/>
  <c r="G43" i="47" s="1"/>
  <c r="I43" i="47" s="1"/>
  <c r="M43" i="47" s="1"/>
  <c r="F42" i="47"/>
  <c r="G42" i="47" s="1"/>
  <c r="I42" i="47" s="1"/>
  <c r="F41" i="47"/>
  <c r="G41" i="47" s="1"/>
  <c r="I41" i="47" s="1"/>
  <c r="M41" i="47" s="1"/>
  <c r="D40" i="47"/>
  <c r="F39" i="47"/>
  <c r="G39" i="47" s="1"/>
  <c r="I39" i="47" s="1"/>
  <c r="F38" i="47"/>
  <c r="G38" i="47" s="1"/>
  <c r="K37" i="47"/>
  <c r="J37" i="47"/>
  <c r="H37" i="47"/>
  <c r="E37" i="47"/>
  <c r="D37" i="47"/>
  <c r="F36" i="47"/>
  <c r="G36" i="47" s="1"/>
  <c r="I36" i="47" s="1"/>
  <c r="F35" i="47"/>
  <c r="G35" i="47" s="1"/>
  <c r="D34" i="47"/>
  <c r="G33" i="47"/>
  <c r="G32" i="47"/>
  <c r="G31" i="47"/>
  <c r="G30" i="47"/>
  <c r="G29" i="47"/>
  <c r="G28" i="47"/>
  <c r="F27" i="47"/>
  <c r="G27" i="47" s="1"/>
  <c r="F26" i="47"/>
  <c r="G26" i="47" s="1"/>
  <c r="F25" i="47"/>
  <c r="G25" i="47" s="1"/>
  <c r="F24" i="47"/>
  <c r="G24" i="47" s="1"/>
  <c r="F23" i="47"/>
  <c r="G23" i="47" s="1"/>
  <c r="F22" i="47"/>
  <c r="G22" i="47" s="1"/>
  <c r="F21" i="47"/>
  <c r="G21" i="47" s="1"/>
  <c r="F20" i="47"/>
  <c r="G20" i="47" s="1"/>
  <c r="F19" i="47"/>
  <c r="G19" i="47" s="1"/>
  <c r="F18" i="47"/>
  <c r="G18" i="47" s="1"/>
  <c r="F17" i="47"/>
  <c r="G17" i="47" s="1"/>
  <c r="F16" i="47"/>
  <c r="G16" i="47" s="1"/>
  <c r="F15" i="47"/>
  <c r="G15" i="47" s="1"/>
  <c r="H14" i="47"/>
  <c r="H15" i="47" s="1"/>
  <c r="H16" i="47" s="1"/>
  <c r="H17" i="47" s="1"/>
  <c r="H18" i="47" s="1"/>
  <c r="F14" i="47"/>
  <c r="G14" i="47" s="1"/>
  <c r="D13" i="47"/>
  <c r="J9" i="47"/>
  <c r="H9" i="47"/>
  <c r="G8" i="47"/>
  <c r="F8" i="47"/>
  <c r="D8" i="47"/>
  <c r="D7" i="47"/>
  <c r="F6" i="47"/>
  <c r="D6" i="47"/>
  <c r="F5" i="47"/>
  <c r="D5" i="47"/>
  <c r="D4" i="47"/>
  <c r="F3" i="47"/>
  <c r="D3" i="47"/>
  <c r="D2" i="47"/>
  <c r="E1" i="47"/>
  <c r="E9" i="47" s="1"/>
  <c r="D1" i="47"/>
  <c r="E79" i="47" l="1"/>
  <c r="I16" i="47"/>
  <c r="H79" i="47"/>
  <c r="J100" i="47"/>
  <c r="L159" i="47"/>
  <c r="I14" i="47"/>
  <c r="E100" i="47"/>
  <c r="F7" i="47"/>
  <c r="J79" i="47"/>
  <c r="J130" i="47"/>
  <c r="J129" i="47" s="1"/>
  <c r="L147" i="47"/>
  <c r="I131" i="47"/>
  <c r="F50" i="47"/>
  <c r="H100" i="47"/>
  <c r="E130" i="47"/>
  <c r="E129" i="47" s="1"/>
  <c r="I8" i="47"/>
  <c r="M142" i="47"/>
  <c r="L142" i="47"/>
  <c r="I160" i="47"/>
  <c r="L160" i="47"/>
  <c r="L187" i="47"/>
  <c r="M187" i="47"/>
  <c r="M143" i="47"/>
  <c r="L143" i="47"/>
  <c r="M146" i="47"/>
  <c r="L146" i="47"/>
  <c r="M150" i="47"/>
  <c r="L150" i="47"/>
  <c r="L172" i="47"/>
  <c r="I172" i="47"/>
  <c r="M172" i="47" s="1"/>
  <c r="L193" i="47"/>
  <c r="M193" i="47"/>
  <c r="G131" i="47"/>
  <c r="I173" i="47"/>
  <c r="L173" i="47"/>
  <c r="L164" i="47"/>
  <c r="I164" i="47"/>
  <c r="M164" i="47" s="1"/>
  <c r="M185" i="47"/>
  <c r="L185" i="47"/>
  <c r="I165" i="47"/>
  <c r="M165" i="47" s="1"/>
  <c r="N165" i="47" s="1"/>
  <c r="L165" i="47"/>
  <c r="M186" i="47"/>
  <c r="L186" i="47"/>
  <c r="F34" i="47"/>
  <c r="K130" i="47"/>
  <c r="K129" i="47" s="1"/>
  <c r="F139" i="47"/>
  <c r="L168" i="47"/>
  <c r="L176" i="47"/>
  <c r="N176" i="47" s="1"/>
  <c r="M189" i="47"/>
  <c r="D9" i="47"/>
  <c r="E12" i="47"/>
  <c r="F40" i="47"/>
  <c r="K79" i="47"/>
  <c r="D79" i="47"/>
  <c r="D100" i="47"/>
  <c r="K100" i="47"/>
  <c r="H130" i="47"/>
  <c r="H129" i="47" s="1"/>
  <c r="N199" i="47"/>
  <c r="G1" i="47"/>
  <c r="D130" i="47"/>
  <c r="D129" i="47" s="1"/>
  <c r="L8" i="47"/>
  <c r="L58" i="47"/>
  <c r="N58" i="47" s="1"/>
  <c r="I99" i="47"/>
  <c r="L99" i="47" s="1"/>
  <c r="H12" i="47"/>
  <c r="L120" i="47"/>
  <c r="N120" i="47" s="1"/>
  <c r="L124" i="47"/>
  <c r="N124" i="47" s="1"/>
  <c r="L161" i="47"/>
  <c r="L169" i="47"/>
  <c r="L177" i="47"/>
  <c r="M188" i="47"/>
  <c r="N188" i="47" s="1"/>
  <c r="L90" i="47"/>
  <c r="M90" i="47"/>
  <c r="N90" i="47" s="1"/>
  <c r="M39" i="47"/>
  <c r="L39" i="47"/>
  <c r="L68" i="47"/>
  <c r="M68" i="47"/>
  <c r="L76" i="47"/>
  <c r="M76" i="47"/>
  <c r="L14" i="47"/>
  <c r="M14" i="47"/>
  <c r="L16" i="47"/>
  <c r="M16" i="47"/>
  <c r="H19" i="47"/>
  <c r="I18" i="47"/>
  <c r="I17" i="47"/>
  <c r="G34" i="47"/>
  <c r="I35" i="47"/>
  <c r="L66" i="47"/>
  <c r="L86" i="47"/>
  <c r="N86" i="47" s="1"/>
  <c r="M86" i="47"/>
  <c r="M89" i="47"/>
  <c r="M109" i="47"/>
  <c r="M116" i="47"/>
  <c r="F117" i="47"/>
  <c r="G126" i="47"/>
  <c r="M141" i="47"/>
  <c r="L141" i="47"/>
  <c r="M144" i="47"/>
  <c r="L144" i="47"/>
  <c r="N144" i="47" s="1"/>
  <c r="L174" i="47"/>
  <c r="I174" i="47"/>
  <c r="M44" i="47"/>
  <c r="M48" i="47"/>
  <c r="M56" i="47"/>
  <c r="L56" i="47"/>
  <c r="M60" i="47"/>
  <c r="L60" i="47"/>
  <c r="L69" i="47"/>
  <c r="L72" i="47"/>
  <c r="M72" i="47"/>
  <c r="M75" i="47"/>
  <c r="M83" i="47"/>
  <c r="L83" i="47"/>
  <c r="M93" i="47"/>
  <c r="L93" i="47"/>
  <c r="M111" i="47"/>
  <c r="L111" i="47"/>
  <c r="M114" i="47"/>
  <c r="L114" i="47"/>
  <c r="F13" i="47"/>
  <c r="L36" i="47"/>
  <c r="F37" i="47"/>
  <c r="G40" i="47"/>
  <c r="L43" i="47"/>
  <c r="N43" i="47" s="1"/>
  <c r="L44" i="47"/>
  <c r="L47" i="47"/>
  <c r="L48" i="47"/>
  <c r="N48" i="47" s="1"/>
  <c r="I52" i="47"/>
  <c r="I50" i="47" s="1"/>
  <c r="G50" i="47"/>
  <c r="L55" i="47"/>
  <c r="N55" i="47" s="1"/>
  <c r="L59" i="47"/>
  <c r="N59" i="47" s="1"/>
  <c r="F63" i="47"/>
  <c r="F62" i="47" s="1"/>
  <c r="G64" i="47"/>
  <c r="L65" i="47"/>
  <c r="N65" i="47" s="1"/>
  <c r="M66" i="47"/>
  <c r="M69" i="47"/>
  <c r="N69" i="47" s="1"/>
  <c r="M71" i="47"/>
  <c r="N71" i="47" s="1"/>
  <c r="L75" i="47"/>
  <c r="M77" i="47"/>
  <c r="L77" i="47"/>
  <c r="N77" i="47" s="1"/>
  <c r="L89" i="47"/>
  <c r="M91" i="47"/>
  <c r="L91" i="47"/>
  <c r="L94" i="47"/>
  <c r="M94" i="47"/>
  <c r="M97" i="47"/>
  <c r="N97" i="47" s="1"/>
  <c r="I102" i="47"/>
  <c r="M104" i="47"/>
  <c r="N104" i="47" s="1"/>
  <c r="L109" i="47"/>
  <c r="M113" i="47"/>
  <c r="N113" i="47" s="1"/>
  <c r="M115" i="47"/>
  <c r="L115" i="47"/>
  <c r="L116" i="47"/>
  <c r="M118" i="47"/>
  <c r="L118" i="47"/>
  <c r="M122" i="47"/>
  <c r="L122" i="47"/>
  <c r="M128" i="47"/>
  <c r="N128" i="47" s="1"/>
  <c r="M136" i="47"/>
  <c r="L136" i="47"/>
  <c r="I139" i="47"/>
  <c r="F1" i="47"/>
  <c r="F2" i="47"/>
  <c r="G13" i="47"/>
  <c r="I15" i="47"/>
  <c r="M36" i="47"/>
  <c r="G37" i="47"/>
  <c r="I40" i="47"/>
  <c r="L42" i="47"/>
  <c r="M46" i="47"/>
  <c r="N47" i="47"/>
  <c r="L51" i="47"/>
  <c r="L54" i="47"/>
  <c r="M54" i="47"/>
  <c r="M67" i="47"/>
  <c r="L74" i="47"/>
  <c r="L82" i="47"/>
  <c r="M82" i="47"/>
  <c r="L84" i="47"/>
  <c r="M84" i="47"/>
  <c r="L88" i="47"/>
  <c r="F101" i="47"/>
  <c r="F100" i="47" s="1"/>
  <c r="G103" i="47"/>
  <c r="G101" i="47" s="1"/>
  <c r="M106" i="47"/>
  <c r="L106" i="47"/>
  <c r="M108" i="47"/>
  <c r="M152" i="47"/>
  <c r="L152" i="47"/>
  <c r="L155" i="47"/>
  <c r="M155" i="47"/>
  <c r="G163" i="47"/>
  <c r="G158" i="47" s="1"/>
  <c r="F158" i="47"/>
  <c r="G183" i="47"/>
  <c r="F180" i="47"/>
  <c r="F4" i="47"/>
  <c r="I38" i="47"/>
  <c r="L41" i="47"/>
  <c r="N41" i="47" s="1"/>
  <c r="M42" i="47"/>
  <c r="L45" i="47"/>
  <c r="N45" i="47" s="1"/>
  <c r="L46" i="47"/>
  <c r="L49" i="47"/>
  <c r="N49" i="47" s="1"/>
  <c r="M51" i="47"/>
  <c r="M53" i="47"/>
  <c r="N53" i="47" s="1"/>
  <c r="L57" i="47"/>
  <c r="M57" i="47"/>
  <c r="L61" i="47"/>
  <c r="M61" i="47"/>
  <c r="L67" i="47"/>
  <c r="L70" i="47"/>
  <c r="N70" i="47" s="1"/>
  <c r="M74" i="47"/>
  <c r="M81" i="47"/>
  <c r="N81" i="47" s="1"/>
  <c r="G85" i="47"/>
  <c r="G80" i="47" s="1"/>
  <c r="G79" i="47" s="1"/>
  <c r="F80" i="47"/>
  <c r="F79" i="47" s="1"/>
  <c r="M88" i="47"/>
  <c r="N88" i="47" s="1"/>
  <c r="L92" i="47"/>
  <c r="M92" i="47"/>
  <c r="L96" i="47"/>
  <c r="N96" i="47" s="1"/>
  <c r="M105" i="47"/>
  <c r="N105" i="47" s="1"/>
  <c r="M107" i="47"/>
  <c r="L107" i="47"/>
  <c r="L108" i="47"/>
  <c r="M110" i="47"/>
  <c r="L110" i="47"/>
  <c r="M112" i="47"/>
  <c r="N112" i="47" s="1"/>
  <c r="L119" i="47"/>
  <c r="M119" i="47"/>
  <c r="M121" i="47"/>
  <c r="L121" i="47"/>
  <c r="L123" i="47"/>
  <c r="M123" i="47"/>
  <c r="M125" i="47"/>
  <c r="L125" i="47"/>
  <c r="M127" i="47"/>
  <c r="N127" i="47"/>
  <c r="I179" i="47"/>
  <c r="L179" i="47"/>
  <c r="N147" i="47"/>
  <c r="M160" i="47"/>
  <c r="L170" i="47"/>
  <c r="I170" i="47"/>
  <c r="I175" i="47"/>
  <c r="L175" i="47"/>
  <c r="M181" i="47"/>
  <c r="L181" i="47"/>
  <c r="L184" i="47"/>
  <c r="M184" i="47"/>
  <c r="M134" i="47"/>
  <c r="L135" i="47"/>
  <c r="M135" i="47"/>
  <c r="L137" i="47"/>
  <c r="M137" i="47"/>
  <c r="M140" i="47"/>
  <c r="L140" i="47"/>
  <c r="M145" i="47"/>
  <c r="L145" i="47"/>
  <c r="L151" i="47"/>
  <c r="M151" i="47"/>
  <c r="L153" i="47"/>
  <c r="M153" i="47"/>
  <c r="L157" i="47"/>
  <c r="L166" i="47"/>
  <c r="I166" i="47"/>
  <c r="I171" i="47"/>
  <c r="L171" i="47"/>
  <c r="M191" i="47"/>
  <c r="L191" i="47"/>
  <c r="L73" i="47"/>
  <c r="N73" i="47" s="1"/>
  <c r="L87" i="47"/>
  <c r="N87" i="47" s="1"/>
  <c r="L95" i="47"/>
  <c r="N95" i="47" s="1"/>
  <c r="L132" i="47"/>
  <c r="L133" i="47"/>
  <c r="N133" i="47" s="1"/>
  <c r="L134" i="47"/>
  <c r="M138" i="47"/>
  <c r="L138" i="47"/>
  <c r="G154" i="47"/>
  <c r="I154" i="47" s="1"/>
  <c r="I148" i="47" s="1"/>
  <c r="F148" i="47"/>
  <c r="M157" i="47"/>
  <c r="L162" i="47"/>
  <c r="I162" i="47"/>
  <c r="I167" i="47"/>
  <c r="L167" i="47"/>
  <c r="L178" i="47"/>
  <c r="I178" i="47"/>
  <c r="L182" i="47"/>
  <c r="M182" i="47"/>
  <c r="F131" i="47"/>
  <c r="M161" i="47"/>
  <c r="N161" i="47" s="1"/>
  <c r="N168" i="47"/>
  <c r="M169" i="47"/>
  <c r="M173" i="47"/>
  <c r="M177" i="47"/>
  <c r="N189" i="47"/>
  <c r="M192" i="47"/>
  <c r="L192" i="47"/>
  <c r="G194" i="47"/>
  <c r="I194" i="47"/>
  <c r="M197" i="47"/>
  <c r="N197" i="47" s="1"/>
  <c r="N198" i="47"/>
  <c r="N195" i="47"/>
  <c r="M201" i="47"/>
  <c r="N201" i="47" s="1"/>
  <c r="G139" i="47"/>
  <c r="G130" i="47" s="1"/>
  <c r="L149" i="47"/>
  <c r="L156" i="47"/>
  <c r="N156" i="47" s="1"/>
  <c r="L194" i="47"/>
  <c r="M190" i="47"/>
  <c r="N190" i="47" s="1"/>
  <c r="M196" i="47"/>
  <c r="M200" i="47"/>
  <c r="N200" i="47" s="1"/>
  <c r="N74" i="47" l="1"/>
  <c r="N169" i="47"/>
  <c r="N186" i="47"/>
  <c r="N185" i="47"/>
  <c r="N106" i="47"/>
  <c r="N83" i="47"/>
  <c r="N56" i="47"/>
  <c r="N141" i="47"/>
  <c r="N172" i="47"/>
  <c r="N187" i="47"/>
  <c r="J12" i="47"/>
  <c r="N155" i="47"/>
  <c r="I130" i="47"/>
  <c r="N68" i="47"/>
  <c r="N82" i="47"/>
  <c r="N54" i="47"/>
  <c r="N164" i="47"/>
  <c r="N182" i="47"/>
  <c r="N46" i="47"/>
  <c r="N152" i="47"/>
  <c r="N89" i="47"/>
  <c r="N93" i="47"/>
  <c r="N66" i="47"/>
  <c r="N177" i="47"/>
  <c r="N193" i="47"/>
  <c r="N150" i="47"/>
  <c r="N160" i="47"/>
  <c r="N108" i="47"/>
  <c r="N118" i="47"/>
  <c r="N142" i="47"/>
  <c r="N173" i="47"/>
  <c r="F130" i="47"/>
  <c r="F129" i="47" s="1"/>
  <c r="F12" i="47" s="1"/>
  <c r="N157" i="47"/>
  <c r="N181" i="47"/>
  <c r="N92" i="47"/>
  <c r="M40" i="47"/>
  <c r="N153" i="47"/>
  <c r="N125" i="47"/>
  <c r="N121" i="47"/>
  <c r="N107" i="47"/>
  <c r="N67" i="47"/>
  <c r="N72" i="47"/>
  <c r="N146" i="47"/>
  <c r="N134" i="47"/>
  <c r="N123" i="47"/>
  <c r="N151" i="47"/>
  <c r="N140" i="47"/>
  <c r="N135" i="47"/>
  <c r="N110" i="47"/>
  <c r="G5" i="47"/>
  <c r="D12" i="47"/>
  <c r="N122" i="47"/>
  <c r="N91" i="47"/>
  <c r="N60" i="47"/>
  <c r="N143" i="47"/>
  <c r="N138" i="47"/>
  <c r="N57" i="47"/>
  <c r="N192" i="47"/>
  <c r="N191" i="47"/>
  <c r="N145" i="47"/>
  <c r="N184" i="47"/>
  <c r="N119" i="47"/>
  <c r="N42" i="47"/>
  <c r="N109" i="47"/>
  <c r="N44" i="47"/>
  <c r="N36" i="47"/>
  <c r="N84" i="47"/>
  <c r="N136" i="47"/>
  <c r="N111" i="47"/>
  <c r="N116" i="47"/>
  <c r="N16" i="47"/>
  <c r="N76" i="47"/>
  <c r="N39" i="47"/>
  <c r="M99" i="47"/>
  <c r="M98" i="47" s="1"/>
  <c r="I98" i="47"/>
  <c r="K12" i="47"/>
  <c r="N137" i="47"/>
  <c r="G148" i="47"/>
  <c r="G129" i="47" s="1"/>
  <c r="N94" i="47"/>
  <c r="N75" i="47"/>
  <c r="N114" i="47"/>
  <c r="N14" i="47"/>
  <c r="M167" i="47"/>
  <c r="N167" i="47" s="1"/>
  <c r="M171" i="47"/>
  <c r="N171" i="47" s="1"/>
  <c r="L139" i="47"/>
  <c r="M179" i="47"/>
  <c r="N179" i="47" s="1"/>
  <c r="M38" i="47"/>
  <c r="M37" i="47" s="1"/>
  <c r="I37" i="47"/>
  <c r="L38" i="47"/>
  <c r="L37" i="47" s="1"/>
  <c r="I163" i="47"/>
  <c r="I158" i="47" s="1"/>
  <c r="L163" i="47"/>
  <c r="L158" i="47" s="1"/>
  <c r="G3" i="47"/>
  <c r="N51" i="47"/>
  <c r="N115" i="47"/>
  <c r="M102" i="47"/>
  <c r="L102" i="47"/>
  <c r="L35" i="47"/>
  <c r="L34" i="47" s="1"/>
  <c r="I34" i="47"/>
  <c r="M35" i="47"/>
  <c r="M34" i="47" s="1"/>
  <c r="M17" i="47"/>
  <c r="L17" i="47"/>
  <c r="M178" i="47"/>
  <c r="N178" i="47" s="1"/>
  <c r="M170" i="47"/>
  <c r="N170" i="47" s="1"/>
  <c r="M131" i="47"/>
  <c r="L18" i="47"/>
  <c r="M18" i="47"/>
  <c r="I129" i="47"/>
  <c r="M8" i="47"/>
  <c r="N196" i="47"/>
  <c r="N8" i="47" s="1"/>
  <c r="M162" i="47"/>
  <c r="N162" i="47" s="1"/>
  <c r="M154" i="47"/>
  <c r="M148" i="47" s="1"/>
  <c r="L154" i="47"/>
  <c r="L148" i="47" s="1"/>
  <c r="L131" i="47"/>
  <c r="M166" i="47"/>
  <c r="N166" i="47" s="1"/>
  <c r="M139" i="47"/>
  <c r="I183" i="47"/>
  <c r="G180" i="47"/>
  <c r="G7" i="47"/>
  <c r="I85" i="47"/>
  <c r="G2" i="47"/>
  <c r="F9" i="47"/>
  <c r="R9" i="47" s="1"/>
  <c r="G63" i="47"/>
  <c r="G62" i="47" s="1"/>
  <c r="I64" i="47"/>
  <c r="G6" i="47"/>
  <c r="H20" i="47"/>
  <c r="I19" i="47"/>
  <c r="N149" i="47"/>
  <c r="L98" i="47"/>
  <c r="N132" i="47"/>
  <c r="N131" i="47" s="1"/>
  <c r="M194" i="47"/>
  <c r="M175" i="47"/>
  <c r="N175" i="47" s="1"/>
  <c r="N61" i="47"/>
  <c r="L40" i="47"/>
  <c r="I103" i="47"/>
  <c r="I101" i="47" s="1"/>
  <c r="G4" i="47"/>
  <c r="M15" i="47"/>
  <c r="L15" i="47"/>
  <c r="L52" i="47"/>
  <c r="L50" i="47" s="1"/>
  <c r="M52" i="47"/>
  <c r="M50" i="47" s="1"/>
  <c r="M174" i="47"/>
  <c r="N174" i="47" s="1"/>
  <c r="I126" i="47"/>
  <c r="G117" i="47"/>
  <c r="G100" i="47" s="1"/>
  <c r="Y450" i="25"/>
  <c r="N52" i="47" l="1"/>
  <c r="N99" i="47"/>
  <c r="N98" i="47" s="1"/>
  <c r="N40" i="47"/>
  <c r="L130" i="47"/>
  <c r="L129" i="47" s="1"/>
  <c r="N139" i="47"/>
  <c r="N130" i="47" s="1"/>
  <c r="G12" i="47"/>
  <c r="N154" i="47"/>
  <c r="N148" i="47" s="1"/>
  <c r="N18" i="47"/>
  <c r="K8" i="47"/>
  <c r="N35" i="47"/>
  <c r="N34" i="47" s="1"/>
  <c r="M130" i="47"/>
  <c r="M129" i="47" s="1"/>
  <c r="N17" i="47"/>
  <c r="N38" i="47"/>
  <c r="N37" i="47" s="1"/>
  <c r="N15" i="47"/>
  <c r="M103" i="47"/>
  <c r="M101" i="47" s="1"/>
  <c r="L103" i="47"/>
  <c r="N194" i="47"/>
  <c r="L64" i="47"/>
  <c r="M64" i="47"/>
  <c r="I63" i="47"/>
  <c r="I62" i="47" s="1"/>
  <c r="I6" i="47"/>
  <c r="M126" i="47"/>
  <c r="M117" i="47" s="1"/>
  <c r="L126" i="47"/>
  <c r="L117" i="47" s="1"/>
  <c r="I117" i="47"/>
  <c r="I100" i="47" s="1"/>
  <c r="H21" i="47"/>
  <c r="I20" i="47"/>
  <c r="M85" i="47"/>
  <c r="M80" i="47" s="1"/>
  <c r="M79" i="47" s="1"/>
  <c r="L85" i="47"/>
  <c r="L80" i="47" s="1"/>
  <c r="L79" i="47" s="1"/>
  <c r="I80" i="47"/>
  <c r="I79" i="47" s="1"/>
  <c r="M19" i="47"/>
  <c r="L19" i="47"/>
  <c r="G9" i="47"/>
  <c r="M183" i="47"/>
  <c r="L183" i="47"/>
  <c r="I7" i="47"/>
  <c r="I180" i="47"/>
  <c r="N102" i="47"/>
  <c r="N50" i="47"/>
  <c r="M163" i="47"/>
  <c r="M158" i="47" s="1"/>
  <c r="I4" i="47"/>
  <c r="M4" i="47"/>
  <c r="N129" i="47" l="1"/>
  <c r="N103" i="47"/>
  <c r="N101" i="47" s="1"/>
  <c r="N183" i="47"/>
  <c r="L101" i="47"/>
  <c r="L100" i="47" s="1"/>
  <c r="N64" i="47"/>
  <c r="M100" i="47"/>
  <c r="L4" i="47"/>
  <c r="K4" i="47" s="1"/>
  <c r="N85" i="47"/>
  <c r="N80" i="47" s="1"/>
  <c r="N79" i="47" s="1"/>
  <c r="N126" i="47"/>
  <c r="N117" i="47" s="1"/>
  <c r="N63" i="47"/>
  <c r="N62" i="47" s="1"/>
  <c r="N6" i="47"/>
  <c r="N4" i="47"/>
  <c r="L7" i="47"/>
  <c r="L180" i="47"/>
  <c r="M20" i="47"/>
  <c r="L20" i="47"/>
  <c r="N163" i="47"/>
  <c r="N158" i="47" s="1"/>
  <c r="M7" i="47"/>
  <c r="M180" i="47"/>
  <c r="H22" i="47"/>
  <c r="I21" i="47"/>
  <c r="N180" i="47"/>
  <c r="N7" i="47"/>
  <c r="N19" i="47"/>
  <c r="M63" i="47"/>
  <c r="M62" i="47" s="1"/>
  <c r="M6" i="47"/>
  <c r="L6" i="47"/>
  <c r="L63" i="47"/>
  <c r="L62" i="47" s="1"/>
  <c r="P615" i="25"/>
  <c r="T617" i="25"/>
  <c r="AD617" i="25" s="1"/>
  <c r="P618" i="25"/>
  <c r="P614" i="25"/>
  <c r="T613" i="25"/>
  <c r="AD613" i="25" s="1"/>
  <c r="AD620" i="25"/>
  <c r="I142" i="36" s="1"/>
  <c r="T616" i="25"/>
  <c r="AD616" i="25" s="1"/>
  <c r="T612" i="25"/>
  <c r="AD612" i="25" s="1"/>
  <c r="T611" i="25"/>
  <c r="AD611" i="25" s="1"/>
  <c r="T610" i="25"/>
  <c r="AD610" i="25" s="1"/>
  <c r="T609" i="25"/>
  <c r="AD609" i="25" s="1"/>
  <c r="AD31" i="25"/>
  <c r="AE31" i="25" s="1"/>
  <c r="C17" i="26"/>
  <c r="D17" i="26"/>
  <c r="E17" i="26"/>
  <c r="G17" i="26"/>
  <c r="K17" i="26"/>
  <c r="L17" i="26"/>
  <c r="P32" i="25"/>
  <c r="D98" i="27"/>
  <c r="E98" i="27"/>
  <c r="G98" i="27"/>
  <c r="H98" i="27"/>
  <c r="V98" i="27" s="1"/>
  <c r="K98" i="27"/>
  <c r="L98" i="27"/>
  <c r="C98" i="27"/>
  <c r="T263" i="25"/>
  <c r="AD263" i="25" s="1"/>
  <c r="C97" i="27"/>
  <c r="D97" i="27"/>
  <c r="E97" i="27"/>
  <c r="G97" i="27"/>
  <c r="H97" i="27"/>
  <c r="V97" i="27" s="1"/>
  <c r="K97" i="27"/>
  <c r="L97" i="27"/>
  <c r="T262" i="25"/>
  <c r="AD262" i="25" s="1"/>
  <c r="I126" i="36" l="1"/>
  <c r="I133" i="36"/>
  <c r="I127" i="36"/>
  <c r="I129" i="36"/>
  <c r="T615" i="25"/>
  <c r="AD615" i="25" s="1"/>
  <c r="H131" i="36"/>
  <c r="V131" i="36" s="1"/>
  <c r="I128" i="36"/>
  <c r="T614" i="25"/>
  <c r="AD614" i="25" s="1"/>
  <c r="H130" i="36"/>
  <c r="V130" i="36" s="1"/>
  <c r="AE609" i="25"/>
  <c r="I139" i="36"/>
  <c r="I132" i="36"/>
  <c r="T618" i="25"/>
  <c r="AD618" i="25" s="1"/>
  <c r="H134" i="36"/>
  <c r="V134" i="36" s="1"/>
  <c r="N100" i="47"/>
  <c r="N20" i="47"/>
  <c r="AD32" i="25"/>
  <c r="AE32" i="25" s="1"/>
  <c r="M97" i="27"/>
  <c r="M98" i="27"/>
  <c r="H17" i="26"/>
  <c r="AD619" i="25"/>
  <c r="I141" i="36" s="1"/>
  <c r="AD621" i="25"/>
  <c r="I143" i="36" s="1"/>
  <c r="K6" i="47"/>
  <c r="K7" i="47"/>
  <c r="L21" i="47"/>
  <c r="M21" i="47"/>
  <c r="H23" i="47"/>
  <c r="I22" i="47"/>
  <c r="AL32" i="25"/>
  <c r="I17" i="26"/>
  <c r="AL609" i="25"/>
  <c r="AE263" i="25"/>
  <c r="AM263" i="25" s="1"/>
  <c r="J98" i="27"/>
  <c r="AL263" i="25"/>
  <c r="I98" i="27"/>
  <c r="AE618" i="25"/>
  <c r="J134" i="36" s="1"/>
  <c r="AL618" i="25"/>
  <c r="AE619" i="25"/>
  <c r="J141" i="36" s="1"/>
  <c r="AL619" i="25"/>
  <c r="AE615" i="25"/>
  <c r="J131" i="36" s="1"/>
  <c r="AL615" i="25"/>
  <c r="AE620" i="25"/>
  <c r="J142" i="36" s="1"/>
  <c r="AL620" i="25"/>
  <c r="AE621" i="25"/>
  <c r="J143" i="36" s="1"/>
  <c r="AL621" i="25"/>
  <c r="AE617" i="25"/>
  <c r="J133" i="36" s="1"/>
  <c r="AL617" i="25"/>
  <c r="AE616" i="25"/>
  <c r="AL616" i="25"/>
  <c r="AE614" i="25"/>
  <c r="J130" i="36" s="1"/>
  <c r="AL614" i="25"/>
  <c r="AE613" i="25"/>
  <c r="J129" i="36" s="1"/>
  <c r="AL613" i="25"/>
  <c r="AE612" i="25"/>
  <c r="J128" i="36" s="1"/>
  <c r="AL612" i="25"/>
  <c r="AE611" i="25"/>
  <c r="J127" i="36" s="1"/>
  <c r="AL611" i="25"/>
  <c r="AE610" i="25"/>
  <c r="J126" i="36" s="1"/>
  <c r="AL610" i="25"/>
  <c r="AM32" i="25"/>
  <c r="J17" i="26"/>
  <c r="AE262" i="25"/>
  <c r="AM262" i="25" s="1"/>
  <c r="J97" i="27"/>
  <c r="AL262" i="25"/>
  <c r="I97" i="27"/>
  <c r="J132" i="36" l="1"/>
  <c r="M134" i="36"/>
  <c r="I134" i="36"/>
  <c r="AM609" i="25"/>
  <c r="J139" i="36"/>
  <c r="M130" i="36"/>
  <c r="M131" i="36"/>
  <c r="J140" i="36"/>
  <c r="I140" i="36"/>
  <c r="I130" i="36"/>
  <c r="I131" i="36"/>
  <c r="M17" i="26"/>
  <c r="V17" i="26"/>
  <c r="H24" i="47"/>
  <c r="I23" i="47"/>
  <c r="L22" i="47"/>
  <c r="M22" i="47"/>
  <c r="N21" i="47"/>
  <c r="AM610" i="25"/>
  <c r="AM612" i="25"/>
  <c r="AM614" i="25"/>
  <c r="AM617" i="25"/>
  <c r="AM620" i="25"/>
  <c r="AM619" i="25"/>
  <c r="AM611" i="25"/>
  <c r="AM613" i="25"/>
  <c r="AM616" i="25"/>
  <c r="AM621" i="25"/>
  <c r="AM615" i="25"/>
  <c r="AM618" i="25"/>
  <c r="C7" i="24"/>
  <c r="C10" i="24"/>
  <c r="C5" i="24" l="1"/>
  <c r="N22" i="47"/>
  <c r="M23" i="47"/>
  <c r="L23" i="47"/>
  <c r="N23" i="47" s="1"/>
  <c r="H25" i="47"/>
  <c r="I24" i="47"/>
  <c r="C6" i="24"/>
  <c r="Q366" i="25"/>
  <c r="S366" i="25" s="1"/>
  <c r="S358" i="25"/>
  <c r="Q358" i="25"/>
  <c r="M24" i="47" l="1"/>
  <c r="L24" i="47"/>
  <c r="N24" i="47" s="1"/>
  <c r="H26" i="47"/>
  <c r="I25" i="47"/>
  <c r="T367" i="25"/>
  <c r="AH365" i="25"/>
  <c r="AI366" i="25"/>
  <c r="T366" i="25"/>
  <c r="S355" i="25"/>
  <c r="T355" i="25"/>
  <c r="T358" i="25"/>
  <c r="F24" i="33"/>
  <c r="E24" i="33"/>
  <c r="D24" i="33"/>
  <c r="C24" i="33"/>
  <c r="M25" i="47" l="1"/>
  <c r="L25" i="47"/>
  <c r="N25" i="47" s="1"/>
  <c r="H27" i="47"/>
  <c r="I26" i="47"/>
  <c r="L26" i="47" l="1"/>
  <c r="M26" i="47"/>
  <c r="N26" i="47" s="1"/>
  <c r="H28" i="47"/>
  <c r="I27" i="47"/>
  <c r="M27" i="47" l="1"/>
  <c r="L27" i="47"/>
  <c r="H29" i="47"/>
  <c r="I28" i="47"/>
  <c r="N27" i="47" l="1"/>
  <c r="M28" i="47"/>
  <c r="M2" i="47" s="1"/>
  <c r="L28" i="47"/>
  <c r="L2" i="47" s="1"/>
  <c r="I2" i="47"/>
  <c r="H30" i="47"/>
  <c r="I29" i="47"/>
  <c r="T261" i="25"/>
  <c r="AD261" i="25" s="1"/>
  <c r="AE261" i="25" s="1"/>
  <c r="AM261" i="25" s="1"/>
  <c r="K2" i="47" l="1"/>
  <c r="M29" i="47"/>
  <c r="L29" i="47"/>
  <c r="H31" i="47"/>
  <c r="I30" i="47"/>
  <c r="N28" i="47"/>
  <c r="N2" i="47" s="1"/>
  <c r="AL261" i="25"/>
  <c r="AK184" i="25"/>
  <c r="AJ184" i="25"/>
  <c r="K91" i="27" s="1"/>
  <c r="AD184" i="25"/>
  <c r="AE184" i="25" s="1"/>
  <c r="AM184" i="25" s="1"/>
  <c r="T184" i="25"/>
  <c r="L92" i="27"/>
  <c r="K92" i="27"/>
  <c r="H92" i="27"/>
  <c r="V92" i="27" s="1"/>
  <c r="G92" i="27"/>
  <c r="F92" i="27"/>
  <c r="E92" i="27"/>
  <c r="D92" i="27"/>
  <c r="C92" i="27"/>
  <c r="L91" i="27"/>
  <c r="J91" i="27"/>
  <c r="I91" i="27"/>
  <c r="H91" i="27"/>
  <c r="V91" i="27" s="1"/>
  <c r="G91" i="27"/>
  <c r="F91" i="27"/>
  <c r="E91" i="27"/>
  <c r="D91" i="27"/>
  <c r="C91" i="27"/>
  <c r="N29" i="47" l="1"/>
  <c r="M91" i="27"/>
  <c r="H32" i="47"/>
  <c r="I31" i="47"/>
  <c r="I3" i="47" s="1"/>
  <c r="L30" i="47"/>
  <c r="M30" i="47"/>
  <c r="AL184" i="25"/>
  <c r="AG359" i="25"/>
  <c r="AC366" i="25"/>
  <c r="AK366" i="25" s="1"/>
  <c r="O25" i="33" s="1"/>
  <c r="AA366" i="25"/>
  <c r="AJ366" i="25" s="1"/>
  <c r="AD366" i="25"/>
  <c r="AE366" i="25" s="1"/>
  <c r="H26" i="33"/>
  <c r="G26" i="33"/>
  <c r="F26" i="33"/>
  <c r="E26" i="33"/>
  <c r="D26" i="33"/>
  <c r="C26" i="33"/>
  <c r="J25" i="33"/>
  <c r="I25" i="33"/>
  <c r="F25" i="33"/>
  <c r="E25" i="33"/>
  <c r="D25" i="33"/>
  <c r="C25" i="33"/>
  <c r="AL370" i="25"/>
  <c r="AK370" i="25"/>
  <c r="AJ370" i="25"/>
  <c r="AL369" i="25"/>
  <c r="AK369" i="25"/>
  <c r="AJ369" i="25"/>
  <c r="AL368" i="25"/>
  <c r="AK368" i="25"/>
  <c r="AJ368" i="25"/>
  <c r="AD368" i="25"/>
  <c r="J26" i="33" s="1"/>
  <c r="AD369" i="25"/>
  <c r="AD370" i="25"/>
  <c r="AD367" i="25"/>
  <c r="AL367" i="25"/>
  <c r="AK367" i="25"/>
  <c r="O24" i="33" s="1"/>
  <c r="AJ367" i="25"/>
  <c r="N24" i="33" s="1"/>
  <c r="AH361" i="25"/>
  <c r="AH359" i="25"/>
  <c r="AH355" i="25"/>
  <c r="AH349" i="25"/>
  <c r="N30" i="47" l="1"/>
  <c r="M31" i="47"/>
  <c r="M3" i="47" s="1"/>
  <c r="L31" i="47"/>
  <c r="L3" i="47" s="1"/>
  <c r="H33" i="47"/>
  <c r="I33" i="47" s="1"/>
  <c r="I32" i="47"/>
  <c r="AM366" i="25"/>
  <c r="N25" i="33"/>
  <c r="AE367" i="25"/>
  <c r="AM367" i="25" s="1"/>
  <c r="I24" i="33"/>
  <c r="J24" i="33"/>
  <c r="AE369" i="25"/>
  <c r="AM369" i="25" s="1"/>
  <c r="AE368" i="25"/>
  <c r="AM368" i="25" s="1"/>
  <c r="AE370" i="25"/>
  <c r="AM370" i="25" s="1"/>
  <c r="I26" i="33"/>
  <c r="K3" i="47" l="1"/>
  <c r="M32" i="47"/>
  <c r="I5" i="47"/>
  <c r="L32" i="47"/>
  <c r="M33" i="47"/>
  <c r="L33" i="47"/>
  <c r="I13" i="47"/>
  <c r="I12" i="47" s="1"/>
  <c r="P2" i="47" s="1"/>
  <c r="I1" i="47"/>
  <c r="N31" i="47"/>
  <c r="N3" i="47" s="1"/>
  <c r="K76" i="27"/>
  <c r="K75" i="27"/>
  <c r="K73" i="27"/>
  <c r="K66" i="27"/>
  <c r="K65" i="27"/>
  <c r="K63" i="27"/>
  <c r="K57" i="27"/>
  <c r="K54" i="27"/>
  <c r="K49" i="27"/>
  <c r="K39" i="27"/>
  <c r="N33" i="47" l="1"/>
  <c r="M5" i="47"/>
  <c r="L1" i="47"/>
  <c r="L13" i="47"/>
  <c r="L12" i="47" s="1"/>
  <c r="L5" i="47"/>
  <c r="N1" i="47"/>
  <c r="I9" i="47"/>
  <c r="M1" i="47"/>
  <c r="M13" i="47"/>
  <c r="M12" i="47" s="1"/>
  <c r="N32" i="47"/>
  <c r="N5" i="47" s="1"/>
  <c r="AY223" i="25"/>
  <c r="K78" i="27" s="1"/>
  <c r="AY222" i="25"/>
  <c r="K77" i="27" s="1"/>
  <c r="AY220" i="25"/>
  <c r="K74" i="27" s="1"/>
  <c r="AY190" i="25"/>
  <c r="K71" i="27" s="1"/>
  <c r="AY208" i="25"/>
  <c r="K70" i="27" s="1"/>
  <c r="AY215" i="25"/>
  <c r="K69" i="27" s="1"/>
  <c r="AY214" i="25"/>
  <c r="K68" i="27" s="1"/>
  <c r="AY219" i="25"/>
  <c r="K67" i="27" s="1"/>
  <c r="AY198" i="25"/>
  <c r="K64" i="27" s="1"/>
  <c r="AY211" i="25"/>
  <c r="K62" i="27" s="1"/>
  <c r="AY210" i="25"/>
  <c r="K61" i="27" s="1"/>
  <c r="AY201" i="25"/>
  <c r="K60" i="27" s="1"/>
  <c r="AY193" i="25"/>
  <c r="K59" i="27" s="1"/>
  <c r="AY200" i="25"/>
  <c r="K58" i="27" s="1"/>
  <c r="AY217" i="25"/>
  <c r="K56" i="27" s="1"/>
  <c r="AY213" i="25"/>
  <c r="K55" i="27" s="1"/>
  <c r="AY195" i="25"/>
  <c r="K53" i="27" s="1"/>
  <c r="AY196" i="25"/>
  <c r="K72" i="27" s="1"/>
  <c r="AY199" i="25"/>
  <c r="K52" i="27" s="1"/>
  <c r="AY212" i="25"/>
  <c r="K51" i="27" s="1"/>
  <c r="AY207" i="25"/>
  <c r="K50" i="27" s="1"/>
  <c r="AY192" i="25"/>
  <c r="K48" i="27" s="1"/>
  <c r="AY188" i="25"/>
  <c r="K38" i="27" s="1"/>
  <c r="AY197" i="25"/>
  <c r="K37" i="27" s="1"/>
  <c r="K5" i="47" l="1"/>
  <c r="M9" i="47"/>
  <c r="N9" i="47"/>
  <c r="N13" i="47"/>
  <c r="N12" i="47" s="1"/>
  <c r="L9" i="47"/>
  <c r="K1" i="47"/>
  <c r="AY599" i="25"/>
  <c r="AY547" i="25"/>
  <c r="K101" i="36" s="1"/>
  <c r="AY548" i="25"/>
  <c r="K90" i="36" s="1"/>
  <c r="AY549" i="25"/>
  <c r="K100" i="36" s="1"/>
  <c r="AY533" i="25"/>
  <c r="K99" i="36" s="1"/>
  <c r="AY551" i="25"/>
  <c r="K98" i="36" s="1"/>
  <c r="AY532" i="25"/>
  <c r="K97" i="36" s="1"/>
  <c r="AY535" i="25"/>
  <c r="K96" i="36" s="1"/>
  <c r="K9" i="47" l="1"/>
  <c r="M10" i="47"/>
  <c r="L10" i="47"/>
  <c r="S9" i="47"/>
  <c r="S10" i="47" s="1"/>
  <c r="S11" i="47" s="1"/>
  <c r="P4" i="47"/>
  <c r="N10" i="47"/>
  <c r="O10" i="47" l="1"/>
  <c r="AY536" i="25"/>
  <c r="K86" i="36" s="1"/>
  <c r="AY552" i="25"/>
  <c r="K81" i="36" s="1"/>
  <c r="AY575" i="25"/>
  <c r="AY574" i="25"/>
  <c r="AY573" i="25"/>
  <c r="AY572" i="25"/>
  <c r="K79" i="36" s="1"/>
  <c r="AY570" i="25"/>
  <c r="K105" i="36" s="1"/>
  <c r="AY569" i="25"/>
  <c r="AY568" i="25"/>
  <c r="K103" i="36" s="1"/>
  <c r="AY571" i="25"/>
  <c r="K78" i="36" s="1"/>
  <c r="AY545" i="25"/>
  <c r="K93" i="36" s="1"/>
  <c r="AY544" i="25"/>
  <c r="K92" i="36" s="1"/>
  <c r="AY541" i="25"/>
  <c r="AY540" i="25"/>
  <c r="K95" i="36" s="1"/>
  <c r="AY539" i="25"/>
  <c r="K87" i="36" s="1"/>
  <c r="AY538" i="25"/>
  <c r="K80" i="36" s="1"/>
  <c r="AY542" i="25"/>
  <c r="AY543" i="25"/>
  <c r="K76" i="36" s="1"/>
  <c r="AY537" i="25"/>
  <c r="K75" i="36" s="1"/>
  <c r="AY555" i="25"/>
  <c r="AY556" i="25"/>
  <c r="K94" i="36" s="1"/>
  <c r="AY557" i="25"/>
  <c r="K82" i="36" s="1"/>
  <c r="AY558" i="25"/>
  <c r="K83" i="36" s="1"/>
  <c r="AY559" i="25"/>
  <c r="K88" i="36" s="1"/>
  <c r="AY560" i="25"/>
  <c r="K74" i="36" s="1"/>
  <c r="AY561" i="25"/>
  <c r="K91" i="36" s="1"/>
  <c r="AY562" i="25"/>
  <c r="K69" i="36" s="1"/>
  <c r="AY563" i="25"/>
  <c r="K77" i="36" s="1"/>
  <c r="AY564" i="25"/>
  <c r="K84" i="36" s="1"/>
  <c r="AY565" i="25"/>
  <c r="K85" i="36" s="1"/>
  <c r="AY566" i="25"/>
  <c r="K102" i="36" s="1"/>
  <c r="AY554" i="25"/>
  <c r="K89" i="36" s="1"/>
  <c r="AY553" i="25"/>
  <c r="K73" i="36" s="1"/>
  <c r="AY550" i="25"/>
  <c r="K72" i="36" s="1"/>
  <c r="AY546" i="25"/>
  <c r="K71" i="36" s="1"/>
  <c r="AY567" i="25"/>
  <c r="K70" i="36" s="1"/>
  <c r="AY534" i="25"/>
  <c r="K68" i="36" s="1"/>
  <c r="AY530" i="25"/>
  <c r="K62" i="36" s="1"/>
  <c r="AY526" i="25"/>
  <c r="K66" i="36" s="1"/>
  <c r="AY524" i="25"/>
  <c r="K64" i="36" s="1"/>
  <c r="AY528" i="25"/>
  <c r="K65" i="36" s="1"/>
  <c r="AY527" i="25"/>
  <c r="K63" i="36" s="1"/>
  <c r="AD243" i="25" l="1"/>
  <c r="AE243" i="25" s="1"/>
  <c r="AF176" i="25" l="1"/>
  <c r="T606" i="25" l="1"/>
  <c r="AD606" i="25" s="1"/>
  <c r="T605" i="25"/>
  <c r="AD605" i="25" s="1"/>
  <c r="U439" i="25"/>
  <c r="T439" i="25"/>
  <c r="AD304" i="25"/>
  <c r="J21" i="28" s="1"/>
  <c r="AD303" i="25"/>
  <c r="AD302" i="25"/>
  <c r="AL302" i="25" s="1"/>
  <c r="AD301" i="25"/>
  <c r="AD300" i="25"/>
  <c r="AD299" i="25"/>
  <c r="AD297" i="25"/>
  <c r="AL297" i="25" s="1"/>
  <c r="I21" i="28"/>
  <c r="H21" i="28"/>
  <c r="W21" i="28" s="1"/>
  <c r="G21" i="28"/>
  <c r="E21" i="28"/>
  <c r="D21" i="28"/>
  <c r="C21" i="28"/>
  <c r="H23" i="28"/>
  <c r="W23" i="28" s="1"/>
  <c r="G23" i="28"/>
  <c r="E23" i="28"/>
  <c r="D23" i="28"/>
  <c r="C23" i="28"/>
  <c r="J22" i="28"/>
  <c r="I22" i="28"/>
  <c r="H22" i="28"/>
  <c r="W22" i="28" s="1"/>
  <c r="G22" i="28"/>
  <c r="E22" i="28"/>
  <c r="D22" i="28"/>
  <c r="C22" i="28"/>
  <c r="J24" i="28"/>
  <c r="I24" i="28"/>
  <c r="H24" i="28"/>
  <c r="W24" i="28" s="1"/>
  <c r="G24" i="28"/>
  <c r="E24" i="28"/>
  <c r="D24" i="28"/>
  <c r="C24" i="28"/>
  <c r="I20" i="28"/>
  <c r="H20" i="28"/>
  <c r="W20" i="28" s="1"/>
  <c r="G20" i="28"/>
  <c r="E20" i="28"/>
  <c r="D20" i="28"/>
  <c r="C20" i="28"/>
  <c r="AL304" i="25"/>
  <c r="AK304" i="25"/>
  <c r="L21" i="28" s="1"/>
  <c r="AJ304" i="25"/>
  <c r="K21" i="28" s="1"/>
  <c r="AL303" i="25"/>
  <c r="AK303" i="25"/>
  <c r="AJ303" i="25"/>
  <c r="AK302" i="25"/>
  <c r="L23" i="28" s="1"/>
  <c r="AJ302" i="25"/>
  <c r="K23" i="28" s="1"/>
  <c r="AL301" i="25"/>
  <c r="AK301" i="25"/>
  <c r="AJ301" i="25"/>
  <c r="AL300" i="25"/>
  <c r="AK300" i="25"/>
  <c r="L22" i="28" s="1"/>
  <c r="AJ300" i="25"/>
  <c r="K22" i="28" s="1"/>
  <c r="AL299" i="25"/>
  <c r="AK299" i="25"/>
  <c r="L24" i="28" s="1"/>
  <c r="AJ299" i="25"/>
  <c r="K24" i="28" s="1"/>
  <c r="AK297" i="25"/>
  <c r="L20" i="28" s="1"/>
  <c r="AJ297" i="25"/>
  <c r="K20" i="28" s="1"/>
  <c r="AE304" i="25"/>
  <c r="AM304" i="25" s="1"/>
  <c r="AE303" i="25"/>
  <c r="AM303" i="25" s="1"/>
  <c r="AE301" i="25"/>
  <c r="AM301" i="25" s="1"/>
  <c r="AE300" i="25"/>
  <c r="AM300" i="25" s="1"/>
  <c r="AE299" i="25"/>
  <c r="AM299" i="25" s="1"/>
  <c r="AF292" i="25"/>
  <c r="AE605" i="25" l="1"/>
  <c r="I124" i="36"/>
  <c r="AE606" i="25"/>
  <c r="I125" i="36"/>
  <c r="M22" i="28"/>
  <c r="M21" i="28"/>
  <c r="M24" i="28"/>
  <c r="M23" i="28"/>
  <c r="I23" i="28"/>
  <c r="J20" i="28"/>
  <c r="J23" i="28"/>
  <c r="AE297" i="25"/>
  <c r="AM297" i="25" s="1"/>
  <c r="AE302" i="25"/>
  <c r="AM302" i="25" s="1"/>
  <c r="AM606" i="25"/>
  <c r="AM605" i="25"/>
  <c r="AL606" i="25"/>
  <c r="AL605" i="25"/>
  <c r="T260" i="25"/>
  <c r="AD260" i="25" s="1"/>
  <c r="L96" i="27"/>
  <c r="K96" i="27"/>
  <c r="H96" i="27"/>
  <c r="V96" i="27" s="1"/>
  <c r="G96" i="27"/>
  <c r="E96" i="27"/>
  <c r="D96" i="27"/>
  <c r="C96" i="27"/>
  <c r="L95" i="27"/>
  <c r="K95" i="27"/>
  <c r="H95" i="27"/>
  <c r="V95" i="27" s="1"/>
  <c r="G95" i="27"/>
  <c r="E95" i="27"/>
  <c r="D95" i="27"/>
  <c r="C95" i="27"/>
  <c r="L94" i="27"/>
  <c r="K94" i="27"/>
  <c r="H94" i="27"/>
  <c r="V94" i="27" s="1"/>
  <c r="G94" i="27"/>
  <c r="E94" i="27"/>
  <c r="D94" i="27"/>
  <c r="C94" i="27"/>
  <c r="L93" i="27"/>
  <c r="K93" i="27"/>
  <c r="H93" i="27"/>
  <c r="V93" i="27" s="1"/>
  <c r="G93" i="27"/>
  <c r="E93" i="27"/>
  <c r="D93" i="27"/>
  <c r="C93" i="27"/>
  <c r="L47" i="27"/>
  <c r="K47" i="27"/>
  <c r="H47" i="27"/>
  <c r="V47" i="27" s="1"/>
  <c r="G47" i="27"/>
  <c r="E47" i="27"/>
  <c r="D47" i="27"/>
  <c r="C47" i="27"/>
  <c r="L46" i="27"/>
  <c r="K46" i="27"/>
  <c r="H46" i="27"/>
  <c r="V46" i="27" s="1"/>
  <c r="G46" i="27"/>
  <c r="E46" i="27"/>
  <c r="D46" i="27"/>
  <c r="C46" i="27"/>
  <c r="L45" i="27"/>
  <c r="K45" i="27"/>
  <c r="H45" i="27"/>
  <c r="V45" i="27" s="1"/>
  <c r="G45" i="27"/>
  <c r="E45" i="27"/>
  <c r="D45" i="27"/>
  <c r="C45" i="27"/>
  <c r="T255" i="25"/>
  <c r="AD255" i="25" s="1"/>
  <c r="T256" i="25"/>
  <c r="AD256" i="25" s="1"/>
  <c r="T257" i="25"/>
  <c r="AD257" i="25" s="1"/>
  <c r="T258" i="25"/>
  <c r="AD258" i="25" s="1"/>
  <c r="T259" i="25"/>
  <c r="AD259" i="25" s="1"/>
  <c r="AE259" i="25" s="1"/>
  <c r="AM259" i="25" s="1"/>
  <c r="T249" i="25"/>
  <c r="AD249" i="25" s="1"/>
  <c r="T250" i="25"/>
  <c r="AD250" i="25" s="1"/>
  <c r="T251" i="25"/>
  <c r="AD251" i="25" s="1"/>
  <c r="T252" i="25"/>
  <c r="AD252" i="25" s="1"/>
  <c r="I45" i="27" s="1"/>
  <c r="T253" i="25"/>
  <c r="AD253" i="25" s="1"/>
  <c r="I46" i="27" s="1"/>
  <c r="T254" i="25"/>
  <c r="AD254" i="25" s="1"/>
  <c r="I47" i="27" s="1"/>
  <c r="T248" i="25"/>
  <c r="AD248" i="25" s="1"/>
  <c r="L16" i="26"/>
  <c r="K16" i="26"/>
  <c r="J16" i="26"/>
  <c r="I16" i="26"/>
  <c r="H16" i="26"/>
  <c r="G16" i="26"/>
  <c r="E16" i="26"/>
  <c r="D16" i="26"/>
  <c r="C16" i="26"/>
  <c r="L15" i="26"/>
  <c r="K15" i="26"/>
  <c r="J15" i="26"/>
  <c r="I15" i="26"/>
  <c r="H15" i="26"/>
  <c r="G15" i="26"/>
  <c r="E15" i="26"/>
  <c r="D15" i="26"/>
  <c r="C15" i="26"/>
  <c r="AL30" i="25"/>
  <c r="AM30" i="25"/>
  <c r="AL31" i="25"/>
  <c r="AM31" i="25"/>
  <c r="J125" i="36" l="1"/>
  <c r="J124" i="36"/>
  <c r="M16" i="26"/>
  <c r="V16" i="26"/>
  <c r="M15" i="26"/>
  <c r="V15" i="26"/>
  <c r="M93" i="27"/>
  <c r="M96" i="27"/>
  <c r="M95" i="27"/>
  <c r="M94" i="27"/>
  <c r="I43" i="27"/>
  <c r="J43" i="27"/>
  <c r="I42" i="27"/>
  <c r="J42" i="27"/>
  <c r="I41" i="27"/>
  <c r="J41" i="27"/>
  <c r="I44" i="27"/>
  <c r="J44" i="27"/>
  <c r="M45" i="27"/>
  <c r="M46" i="27"/>
  <c r="M47" i="27"/>
  <c r="J99" i="27"/>
  <c r="I99" i="27"/>
  <c r="AE255" i="25"/>
  <c r="AM255" i="25" s="1"/>
  <c r="AL255" i="25"/>
  <c r="AE257" i="25"/>
  <c r="AM257" i="25" s="1"/>
  <c r="AL257" i="25"/>
  <c r="AL260" i="25"/>
  <c r="AE260" i="25"/>
  <c r="AM260" i="25" s="1"/>
  <c r="I95" i="27"/>
  <c r="AE258" i="25"/>
  <c r="AM258" i="25" s="1"/>
  <c r="AL258" i="25"/>
  <c r="J95" i="27"/>
  <c r="AL256" i="25"/>
  <c r="AE256" i="25"/>
  <c r="AM256" i="25" s="1"/>
  <c r="AE250" i="25"/>
  <c r="AM250" i="25" s="1"/>
  <c r="AL259" i="25"/>
  <c r="J45" i="27"/>
  <c r="J46" i="27"/>
  <c r="J47" i="27"/>
  <c r="J93" i="27"/>
  <c r="J94" i="27"/>
  <c r="J96" i="27"/>
  <c r="I93" i="27"/>
  <c r="I94" i="27"/>
  <c r="I96" i="27"/>
  <c r="AL252" i="25"/>
  <c r="AE252" i="25"/>
  <c r="AM252" i="25" s="1"/>
  <c r="AE251" i="25"/>
  <c r="AM251" i="25" s="1"/>
  <c r="AL251" i="25"/>
  <c r="AL254" i="25"/>
  <c r="AE254" i="25"/>
  <c r="AM254" i="25" s="1"/>
  <c r="AE253" i="25"/>
  <c r="AM253" i="25" s="1"/>
  <c r="AL253" i="25"/>
  <c r="AE249" i="25"/>
  <c r="AM249" i="25" s="1"/>
  <c r="AL249" i="25"/>
  <c r="AL248" i="25"/>
  <c r="AE248" i="25"/>
  <c r="AM248" i="25" s="1"/>
  <c r="AL250" i="25"/>
  <c r="D10" i="24" l="1"/>
  <c r="V71" i="25"/>
  <c r="J14" i="28" l="1"/>
  <c r="J27" i="27" l="1"/>
  <c r="J26" i="27"/>
  <c r="J25" i="27"/>
  <c r="J24" i="27"/>
  <c r="J23" i="27"/>
  <c r="J22" i="27"/>
  <c r="J21" i="27"/>
  <c r="J20" i="27"/>
  <c r="J19" i="27"/>
  <c r="J18" i="27"/>
  <c r="J17" i="27"/>
  <c r="J16" i="27"/>
  <c r="J15" i="27"/>
  <c r="J14" i="27"/>
  <c r="J13" i="27"/>
  <c r="J12" i="27"/>
  <c r="C13" i="30" l="1"/>
  <c r="D10" i="31" l="1"/>
  <c r="D7" i="24" l="1"/>
  <c r="D6" i="24" l="1"/>
  <c r="D5" i="24"/>
  <c r="F16" i="37" l="1"/>
  <c r="E16" i="37"/>
  <c r="D16" i="37"/>
  <c r="C16" i="37"/>
  <c r="H15" i="37"/>
  <c r="P15" i="37" s="1"/>
  <c r="G15" i="37"/>
  <c r="F15" i="37"/>
  <c r="E15" i="37"/>
  <c r="D15" i="37"/>
  <c r="C15" i="37"/>
  <c r="G14" i="37"/>
  <c r="F14" i="37"/>
  <c r="E14" i="37"/>
  <c r="D14" i="37"/>
  <c r="C14" i="37"/>
  <c r="F13" i="37"/>
  <c r="E13" i="37"/>
  <c r="D13" i="37"/>
  <c r="C13" i="37"/>
  <c r="F12" i="37"/>
  <c r="E12" i="37"/>
  <c r="D12" i="37"/>
  <c r="C12" i="37"/>
  <c r="H11" i="37"/>
  <c r="G11" i="37"/>
  <c r="F11" i="37"/>
  <c r="E11" i="37"/>
  <c r="D11" i="37"/>
  <c r="C11" i="37"/>
  <c r="B9" i="37"/>
  <c r="C9" i="37" s="1"/>
  <c r="D9" i="37" s="1"/>
  <c r="E9" i="37" s="1"/>
  <c r="F9" i="37" s="1"/>
  <c r="G9" i="37" s="1"/>
  <c r="H9" i="37" s="1"/>
  <c r="I9" i="37" s="1"/>
  <c r="J9" i="37" s="1"/>
  <c r="K9" i="37" s="1"/>
  <c r="L9" i="37" s="1"/>
  <c r="M9" i="37" s="1"/>
  <c r="C15" i="36"/>
  <c r="D15" i="36"/>
  <c r="E15" i="36"/>
  <c r="F15" i="36"/>
  <c r="G15" i="36"/>
  <c r="C16" i="36"/>
  <c r="D16" i="36"/>
  <c r="E16" i="36"/>
  <c r="F16" i="36"/>
  <c r="G16" i="36"/>
  <c r="C17" i="36"/>
  <c r="D17" i="36"/>
  <c r="E17" i="36"/>
  <c r="F17" i="36"/>
  <c r="G17" i="36"/>
  <c r="H17" i="36"/>
  <c r="C18" i="36"/>
  <c r="D18" i="36"/>
  <c r="E18" i="36"/>
  <c r="F18" i="36"/>
  <c r="G18" i="36"/>
  <c r="C19" i="36"/>
  <c r="D19" i="36"/>
  <c r="E19" i="36"/>
  <c r="F19" i="36"/>
  <c r="G19" i="36"/>
  <c r="C20" i="36"/>
  <c r="D20" i="36"/>
  <c r="E20" i="36"/>
  <c r="F20" i="36"/>
  <c r="G20" i="36"/>
  <c r="H20" i="36"/>
  <c r="C21" i="36"/>
  <c r="D21" i="36"/>
  <c r="E21" i="36"/>
  <c r="F21" i="36"/>
  <c r="G21" i="36"/>
  <c r="C22" i="36"/>
  <c r="D22" i="36"/>
  <c r="E22" i="36"/>
  <c r="F22" i="36"/>
  <c r="G22" i="36"/>
  <c r="C23" i="36"/>
  <c r="D23" i="36"/>
  <c r="E23" i="36"/>
  <c r="F23" i="36"/>
  <c r="G23" i="36"/>
  <c r="C24" i="36"/>
  <c r="D24" i="36"/>
  <c r="E24" i="36"/>
  <c r="F24" i="36"/>
  <c r="G24" i="36"/>
  <c r="C25" i="36"/>
  <c r="D25" i="36"/>
  <c r="E25" i="36"/>
  <c r="F25" i="36"/>
  <c r="G25" i="36"/>
  <c r="H25" i="36"/>
  <c r="C26" i="36"/>
  <c r="D26" i="36"/>
  <c r="E26" i="36"/>
  <c r="F26" i="36"/>
  <c r="G26" i="36"/>
  <c r="C27" i="36"/>
  <c r="D27" i="36"/>
  <c r="E27" i="36"/>
  <c r="F27" i="36"/>
  <c r="G27" i="36"/>
  <c r="H27" i="36"/>
  <c r="V27" i="36" s="1"/>
  <c r="C14" i="36"/>
  <c r="D14" i="36"/>
  <c r="E14" i="36"/>
  <c r="F14" i="36"/>
  <c r="G14" i="36"/>
  <c r="H14" i="36"/>
  <c r="V14" i="36" s="1"/>
  <c r="C28" i="36"/>
  <c r="D28" i="36"/>
  <c r="E28" i="36"/>
  <c r="F28" i="36"/>
  <c r="G28" i="36"/>
  <c r="C29" i="36"/>
  <c r="D29" i="36"/>
  <c r="E29" i="36"/>
  <c r="F29" i="36"/>
  <c r="G29" i="36"/>
  <c r="H29" i="36"/>
  <c r="C30" i="36"/>
  <c r="D30" i="36"/>
  <c r="E30" i="36"/>
  <c r="F30" i="36"/>
  <c r="G30" i="36"/>
  <c r="H30" i="36"/>
  <c r="C31" i="36"/>
  <c r="D31" i="36"/>
  <c r="E31" i="36"/>
  <c r="F31" i="36"/>
  <c r="G31" i="36"/>
  <c r="C32" i="36"/>
  <c r="D32" i="36"/>
  <c r="E32" i="36"/>
  <c r="F32" i="36"/>
  <c r="G32" i="36"/>
  <c r="C33" i="36"/>
  <c r="D33" i="36"/>
  <c r="E33" i="36"/>
  <c r="F33" i="36"/>
  <c r="G33" i="36"/>
  <c r="C34" i="36"/>
  <c r="D34" i="36"/>
  <c r="E34" i="36"/>
  <c r="F34" i="36"/>
  <c r="G34" i="36"/>
  <c r="H34" i="36"/>
  <c r="C35" i="36"/>
  <c r="D35" i="36"/>
  <c r="E35" i="36"/>
  <c r="F35" i="36"/>
  <c r="G35" i="36"/>
  <c r="C36" i="36"/>
  <c r="D36" i="36"/>
  <c r="E36" i="36"/>
  <c r="F36" i="36"/>
  <c r="G36" i="36"/>
  <c r="H36" i="36"/>
  <c r="C37" i="36"/>
  <c r="D37" i="36"/>
  <c r="E37" i="36"/>
  <c r="F37" i="36"/>
  <c r="G37" i="36"/>
  <c r="C38" i="36"/>
  <c r="D38" i="36"/>
  <c r="E38" i="36"/>
  <c r="F38" i="36"/>
  <c r="G38" i="36"/>
  <c r="H38" i="36"/>
  <c r="C39" i="36"/>
  <c r="D39" i="36"/>
  <c r="E39" i="36"/>
  <c r="F39" i="36"/>
  <c r="G39" i="36"/>
  <c r="C40" i="36"/>
  <c r="D40" i="36"/>
  <c r="E40" i="36"/>
  <c r="F40" i="36"/>
  <c r="G40" i="36"/>
  <c r="H40" i="36"/>
  <c r="C41" i="36"/>
  <c r="D41" i="36"/>
  <c r="E41" i="36"/>
  <c r="F41" i="36"/>
  <c r="G41" i="36"/>
  <c r="H41" i="36"/>
  <c r="C42" i="36"/>
  <c r="D42" i="36"/>
  <c r="E42" i="36"/>
  <c r="F42" i="36"/>
  <c r="G42" i="36"/>
  <c r="H42" i="36"/>
  <c r="C43" i="36"/>
  <c r="D43" i="36"/>
  <c r="E43" i="36"/>
  <c r="F43" i="36"/>
  <c r="G43" i="36"/>
  <c r="H43" i="36"/>
  <c r="V43" i="36" s="1"/>
  <c r="C44" i="36"/>
  <c r="D44" i="36"/>
  <c r="E44" i="36"/>
  <c r="F44" i="36"/>
  <c r="G44" i="36"/>
  <c r="C45" i="36"/>
  <c r="D45" i="36"/>
  <c r="E45" i="36"/>
  <c r="F45" i="36"/>
  <c r="G45" i="36"/>
  <c r="H45" i="36"/>
  <c r="C46" i="36"/>
  <c r="D46" i="36"/>
  <c r="E46" i="36"/>
  <c r="F46" i="36"/>
  <c r="G46" i="36"/>
  <c r="H46" i="36"/>
  <c r="C47" i="36"/>
  <c r="D47" i="36"/>
  <c r="E47" i="36"/>
  <c r="F47" i="36"/>
  <c r="G47" i="36"/>
  <c r="H47" i="36"/>
  <c r="C48" i="36"/>
  <c r="D48" i="36"/>
  <c r="E48" i="36"/>
  <c r="F48" i="36"/>
  <c r="G48" i="36"/>
  <c r="H48" i="36"/>
  <c r="V48" i="36" s="1"/>
  <c r="C49" i="36"/>
  <c r="D49" i="36"/>
  <c r="E49" i="36"/>
  <c r="F49" i="36"/>
  <c r="G49" i="36"/>
  <c r="C50" i="36"/>
  <c r="D50" i="36"/>
  <c r="E50" i="36"/>
  <c r="F50" i="36"/>
  <c r="G50" i="36"/>
  <c r="H50" i="36"/>
  <c r="C51" i="36"/>
  <c r="D51" i="36"/>
  <c r="E51" i="36"/>
  <c r="F51" i="36"/>
  <c r="G51" i="36"/>
  <c r="H51" i="36"/>
  <c r="C52" i="36"/>
  <c r="D52" i="36"/>
  <c r="E52" i="36"/>
  <c r="F52" i="36"/>
  <c r="G52" i="36"/>
  <c r="C53" i="36"/>
  <c r="D53" i="36"/>
  <c r="E53" i="36"/>
  <c r="F53" i="36"/>
  <c r="G53" i="36"/>
  <c r="C54" i="36"/>
  <c r="D54" i="36"/>
  <c r="E54" i="36"/>
  <c r="F54" i="36"/>
  <c r="G54" i="36"/>
  <c r="C55" i="36"/>
  <c r="D55" i="36"/>
  <c r="E55" i="36"/>
  <c r="F55" i="36"/>
  <c r="G55" i="36"/>
  <c r="H55" i="36"/>
  <c r="V55" i="36" s="1"/>
  <c r="C56" i="36"/>
  <c r="D56" i="36"/>
  <c r="E56" i="36"/>
  <c r="F56" i="36"/>
  <c r="G56" i="36"/>
  <c r="H56" i="36"/>
  <c r="C57" i="36"/>
  <c r="D57" i="36"/>
  <c r="E57" i="36"/>
  <c r="F57" i="36"/>
  <c r="G57" i="36"/>
  <c r="C58" i="36"/>
  <c r="D58" i="36"/>
  <c r="E58" i="36"/>
  <c r="F58" i="36"/>
  <c r="G58" i="36"/>
  <c r="C59" i="36"/>
  <c r="D59" i="36"/>
  <c r="E59" i="36"/>
  <c r="F59" i="36"/>
  <c r="G59" i="36"/>
  <c r="H59" i="36"/>
  <c r="C60" i="36"/>
  <c r="D60" i="36"/>
  <c r="E60" i="36"/>
  <c r="F60" i="36"/>
  <c r="G60" i="36"/>
  <c r="H60" i="36"/>
  <c r="C61" i="36"/>
  <c r="D61" i="36"/>
  <c r="E61" i="36"/>
  <c r="F61" i="36"/>
  <c r="G61" i="36"/>
  <c r="C62" i="36"/>
  <c r="D62" i="36"/>
  <c r="E62" i="36"/>
  <c r="F62" i="36"/>
  <c r="G62" i="36"/>
  <c r="H62" i="36"/>
  <c r="C63" i="36"/>
  <c r="D63" i="36"/>
  <c r="E63" i="36"/>
  <c r="F63" i="36"/>
  <c r="G63" i="36"/>
  <c r="H63" i="36"/>
  <c r="C64" i="36"/>
  <c r="D64" i="36"/>
  <c r="E64" i="36"/>
  <c r="F64" i="36"/>
  <c r="G64" i="36"/>
  <c r="H64" i="36"/>
  <c r="C65" i="36"/>
  <c r="D65" i="36"/>
  <c r="E65" i="36"/>
  <c r="F65" i="36"/>
  <c r="G65" i="36"/>
  <c r="C66" i="36"/>
  <c r="D66" i="36"/>
  <c r="E66" i="36"/>
  <c r="F66" i="36"/>
  <c r="G66" i="36"/>
  <c r="H66" i="36"/>
  <c r="V66" i="36" s="1"/>
  <c r="C67" i="36"/>
  <c r="D67" i="36"/>
  <c r="E67" i="36"/>
  <c r="F67" i="36"/>
  <c r="G67" i="36"/>
  <c r="H67" i="36"/>
  <c r="C68" i="36"/>
  <c r="D68" i="36"/>
  <c r="E68" i="36"/>
  <c r="F68" i="36"/>
  <c r="G68" i="36"/>
  <c r="H68" i="36"/>
  <c r="C69" i="36"/>
  <c r="D69" i="36"/>
  <c r="E69" i="36"/>
  <c r="F69" i="36"/>
  <c r="G69" i="36"/>
  <c r="H69" i="36"/>
  <c r="C70" i="36"/>
  <c r="D70" i="36"/>
  <c r="E70" i="36"/>
  <c r="F70" i="36"/>
  <c r="G70" i="36"/>
  <c r="H70" i="36"/>
  <c r="C71" i="36"/>
  <c r="D71" i="36"/>
  <c r="E71" i="36"/>
  <c r="F71" i="36"/>
  <c r="G71" i="36"/>
  <c r="H71" i="36"/>
  <c r="C72" i="36"/>
  <c r="D72" i="36"/>
  <c r="E72" i="36"/>
  <c r="F72" i="36"/>
  <c r="G72" i="36"/>
  <c r="H72" i="36"/>
  <c r="C73" i="36"/>
  <c r="D73" i="36"/>
  <c r="E73" i="36"/>
  <c r="F73" i="36"/>
  <c r="G73" i="36"/>
  <c r="H73" i="36"/>
  <c r="C74" i="36"/>
  <c r="D74" i="36"/>
  <c r="E74" i="36"/>
  <c r="F74" i="36"/>
  <c r="G74" i="36"/>
  <c r="H74" i="36"/>
  <c r="C75" i="36"/>
  <c r="D75" i="36"/>
  <c r="E75" i="36"/>
  <c r="F75" i="36"/>
  <c r="G75" i="36"/>
  <c r="H75" i="36"/>
  <c r="C76" i="36"/>
  <c r="D76" i="36"/>
  <c r="E76" i="36"/>
  <c r="F76" i="36"/>
  <c r="G76" i="36"/>
  <c r="H76" i="36"/>
  <c r="C77" i="36"/>
  <c r="D77" i="36"/>
  <c r="E77" i="36"/>
  <c r="F77" i="36"/>
  <c r="G77" i="36"/>
  <c r="H77" i="36"/>
  <c r="C78" i="36"/>
  <c r="D78" i="36"/>
  <c r="E78" i="36"/>
  <c r="F78" i="36"/>
  <c r="G78" i="36"/>
  <c r="H78" i="36"/>
  <c r="C79" i="36"/>
  <c r="D79" i="36"/>
  <c r="E79" i="36"/>
  <c r="F79" i="36"/>
  <c r="G79" i="36"/>
  <c r="H79" i="36"/>
  <c r="C80" i="36"/>
  <c r="D80" i="36"/>
  <c r="E80" i="36"/>
  <c r="F80" i="36"/>
  <c r="G80" i="36"/>
  <c r="H80" i="36"/>
  <c r="C81" i="36"/>
  <c r="D81" i="36"/>
  <c r="E81" i="36"/>
  <c r="F81" i="36"/>
  <c r="G81" i="36"/>
  <c r="H81" i="36"/>
  <c r="C82" i="36"/>
  <c r="D82" i="36"/>
  <c r="E82" i="36"/>
  <c r="F82" i="36"/>
  <c r="G82" i="36"/>
  <c r="H82" i="36"/>
  <c r="C83" i="36"/>
  <c r="D83" i="36"/>
  <c r="E83" i="36"/>
  <c r="F83" i="36"/>
  <c r="G83" i="36"/>
  <c r="H83" i="36"/>
  <c r="C84" i="36"/>
  <c r="D84" i="36"/>
  <c r="E84" i="36"/>
  <c r="F84" i="36"/>
  <c r="G84" i="36"/>
  <c r="H84" i="36"/>
  <c r="C85" i="36"/>
  <c r="D85" i="36"/>
  <c r="E85" i="36"/>
  <c r="F85" i="36"/>
  <c r="G85" i="36"/>
  <c r="H85" i="36"/>
  <c r="C86" i="36"/>
  <c r="D86" i="36"/>
  <c r="E86" i="36"/>
  <c r="F86" i="36"/>
  <c r="G86" i="36"/>
  <c r="H86" i="36"/>
  <c r="C87" i="36"/>
  <c r="D87" i="36"/>
  <c r="E87" i="36"/>
  <c r="F87" i="36"/>
  <c r="G87" i="36"/>
  <c r="H87" i="36"/>
  <c r="C88" i="36"/>
  <c r="D88" i="36"/>
  <c r="E88" i="36"/>
  <c r="F88" i="36"/>
  <c r="G88" i="36"/>
  <c r="H88" i="36"/>
  <c r="C89" i="36"/>
  <c r="D89" i="36"/>
  <c r="E89" i="36"/>
  <c r="F89" i="36"/>
  <c r="G89" i="36"/>
  <c r="H89" i="36"/>
  <c r="C90" i="36"/>
  <c r="D90" i="36"/>
  <c r="E90" i="36"/>
  <c r="F90" i="36"/>
  <c r="G90" i="36"/>
  <c r="H90" i="36"/>
  <c r="C91" i="36"/>
  <c r="D91" i="36"/>
  <c r="E91" i="36"/>
  <c r="F91" i="36"/>
  <c r="G91" i="36"/>
  <c r="H91" i="36"/>
  <c r="C92" i="36"/>
  <c r="D92" i="36"/>
  <c r="E92" i="36"/>
  <c r="F92" i="36"/>
  <c r="G92" i="36"/>
  <c r="H92" i="36"/>
  <c r="C93" i="36"/>
  <c r="D93" i="36"/>
  <c r="E93" i="36"/>
  <c r="F93" i="36"/>
  <c r="G93" i="36"/>
  <c r="H93" i="36"/>
  <c r="C94" i="36"/>
  <c r="D94" i="36"/>
  <c r="E94" i="36"/>
  <c r="F94" i="36"/>
  <c r="G94" i="36"/>
  <c r="H94" i="36"/>
  <c r="C95" i="36"/>
  <c r="D95" i="36"/>
  <c r="E95" i="36"/>
  <c r="F95" i="36"/>
  <c r="G95" i="36"/>
  <c r="H95" i="36"/>
  <c r="C96" i="36"/>
  <c r="D96" i="36"/>
  <c r="E96" i="36"/>
  <c r="F96" i="36"/>
  <c r="G96" i="36"/>
  <c r="H96" i="36"/>
  <c r="C97" i="36"/>
  <c r="D97" i="36"/>
  <c r="E97" i="36"/>
  <c r="F97" i="36"/>
  <c r="G97" i="36"/>
  <c r="H97" i="36"/>
  <c r="C98" i="36"/>
  <c r="D98" i="36"/>
  <c r="E98" i="36"/>
  <c r="F98" i="36"/>
  <c r="G98" i="36"/>
  <c r="H98" i="36"/>
  <c r="C99" i="36"/>
  <c r="D99" i="36"/>
  <c r="E99" i="36"/>
  <c r="F99" i="36"/>
  <c r="G99" i="36"/>
  <c r="H99" i="36"/>
  <c r="C100" i="36"/>
  <c r="D100" i="36"/>
  <c r="E100" i="36"/>
  <c r="F100" i="36"/>
  <c r="G100" i="36"/>
  <c r="H100" i="36"/>
  <c r="C101" i="36"/>
  <c r="D101" i="36"/>
  <c r="E101" i="36"/>
  <c r="F101" i="36"/>
  <c r="G101" i="36"/>
  <c r="H101" i="36"/>
  <c r="C102" i="36"/>
  <c r="D102" i="36"/>
  <c r="E102" i="36"/>
  <c r="F102" i="36"/>
  <c r="G102" i="36"/>
  <c r="H102" i="36"/>
  <c r="C103" i="36"/>
  <c r="D103" i="36"/>
  <c r="E103" i="36"/>
  <c r="F103" i="36"/>
  <c r="G103" i="36"/>
  <c r="H103" i="36"/>
  <c r="C105" i="36"/>
  <c r="D105" i="36"/>
  <c r="E105" i="36"/>
  <c r="F105" i="36"/>
  <c r="G105" i="36"/>
  <c r="H105" i="36"/>
  <c r="H13" i="36"/>
  <c r="G13" i="36"/>
  <c r="F13" i="36"/>
  <c r="E13" i="36"/>
  <c r="D13" i="36"/>
  <c r="C13" i="36"/>
  <c r="H12" i="36"/>
  <c r="G12" i="36"/>
  <c r="F12" i="36"/>
  <c r="E12" i="36"/>
  <c r="D12" i="36"/>
  <c r="C12" i="36"/>
  <c r="H11" i="36"/>
  <c r="G11" i="36"/>
  <c r="F11" i="36"/>
  <c r="E11" i="36"/>
  <c r="D11" i="36"/>
  <c r="C11" i="36"/>
  <c r="P11" i="37" l="1"/>
  <c r="C26" i="30" s="1"/>
  <c r="C33" i="30"/>
  <c r="G10" i="36"/>
  <c r="V64" i="36"/>
  <c r="M64" i="36"/>
  <c r="V62" i="36"/>
  <c r="M62" i="36"/>
  <c r="V51" i="36"/>
  <c r="V42" i="36"/>
  <c r="V40" i="36"/>
  <c r="V29" i="36"/>
  <c r="V102" i="36"/>
  <c r="M102" i="36"/>
  <c r="V100" i="36"/>
  <c r="M100" i="36"/>
  <c r="V98" i="36"/>
  <c r="M98" i="36"/>
  <c r="V96" i="36"/>
  <c r="M96" i="36"/>
  <c r="V94" i="36"/>
  <c r="M94" i="36"/>
  <c r="V92" i="36"/>
  <c r="M92" i="36"/>
  <c r="V90" i="36"/>
  <c r="M90" i="36"/>
  <c r="V88" i="36"/>
  <c r="M88" i="36"/>
  <c r="V86" i="36"/>
  <c r="M86" i="36"/>
  <c r="V84" i="36"/>
  <c r="M84" i="36"/>
  <c r="V82" i="36"/>
  <c r="M82" i="36"/>
  <c r="V80" i="36"/>
  <c r="M80" i="36"/>
  <c r="V78" i="36"/>
  <c r="M78" i="36"/>
  <c r="V76" i="36"/>
  <c r="M76" i="36"/>
  <c r="V74" i="36"/>
  <c r="M74" i="36"/>
  <c r="V72" i="36"/>
  <c r="M72" i="36"/>
  <c r="V70" i="36"/>
  <c r="M70" i="36"/>
  <c r="V68" i="36"/>
  <c r="M68" i="36"/>
  <c r="V59" i="36"/>
  <c r="V56" i="36"/>
  <c r="V46" i="36"/>
  <c r="V34" i="36"/>
  <c r="V25" i="36"/>
  <c r="V63" i="36"/>
  <c r="M63" i="36"/>
  <c r="V50" i="36"/>
  <c r="V41" i="36"/>
  <c r="V36" i="36"/>
  <c r="V30" i="36"/>
  <c r="V105" i="36"/>
  <c r="M105" i="36"/>
  <c r="V103" i="36"/>
  <c r="M103" i="36"/>
  <c r="V101" i="36"/>
  <c r="M101" i="36"/>
  <c r="V99" i="36"/>
  <c r="M99" i="36"/>
  <c r="V97" i="36"/>
  <c r="M97" i="36"/>
  <c r="V95" i="36"/>
  <c r="M95" i="36"/>
  <c r="V93" i="36"/>
  <c r="M93" i="36"/>
  <c r="V91" i="36"/>
  <c r="M91" i="36"/>
  <c r="V89" i="36"/>
  <c r="M89" i="36"/>
  <c r="V87" i="36"/>
  <c r="M87" i="36"/>
  <c r="V85" i="36"/>
  <c r="M85" i="36"/>
  <c r="V83" i="36"/>
  <c r="M83" i="36"/>
  <c r="V81" i="36"/>
  <c r="M81" i="36"/>
  <c r="V79" i="36"/>
  <c r="M79" i="36"/>
  <c r="V77" i="36"/>
  <c r="M77" i="36"/>
  <c r="V75" i="36"/>
  <c r="M75" i="36"/>
  <c r="V73" i="36"/>
  <c r="M73" i="36"/>
  <c r="V71" i="36"/>
  <c r="M71" i="36"/>
  <c r="V69" i="36"/>
  <c r="M69" i="36"/>
  <c r="V67" i="36"/>
  <c r="M67" i="36"/>
  <c r="V47" i="36"/>
  <c r="V45" i="36"/>
  <c r="V38" i="36"/>
  <c r="V20" i="36"/>
  <c r="V17" i="36"/>
  <c r="G10" i="37"/>
  <c r="H10" i="37"/>
  <c r="F23" i="33"/>
  <c r="E23" i="33"/>
  <c r="D23" i="33"/>
  <c r="C23" i="33"/>
  <c r="F22" i="33"/>
  <c r="E22" i="33"/>
  <c r="D22" i="33"/>
  <c r="C22" i="33"/>
  <c r="F21" i="33"/>
  <c r="E21" i="33"/>
  <c r="D21" i="33"/>
  <c r="C21" i="33"/>
  <c r="F20" i="33"/>
  <c r="E20" i="33"/>
  <c r="D20" i="33"/>
  <c r="C20" i="33"/>
  <c r="F19" i="33"/>
  <c r="E19" i="33"/>
  <c r="D19" i="33"/>
  <c r="C19" i="33"/>
  <c r="F18" i="33"/>
  <c r="E18" i="33"/>
  <c r="D18" i="33"/>
  <c r="C18" i="33"/>
  <c r="F17" i="33"/>
  <c r="E17" i="33"/>
  <c r="D17" i="33"/>
  <c r="C17" i="33"/>
  <c r="F16" i="33"/>
  <c r="E16" i="33"/>
  <c r="D16" i="33"/>
  <c r="C16" i="33"/>
  <c r="F15" i="33"/>
  <c r="E15" i="33"/>
  <c r="D15" i="33"/>
  <c r="C15" i="33"/>
  <c r="F14" i="33"/>
  <c r="E14" i="33"/>
  <c r="D14" i="33"/>
  <c r="C14" i="33"/>
  <c r="F13" i="33"/>
  <c r="E13" i="33"/>
  <c r="D13" i="33"/>
  <c r="C13" i="33"/>
  <c r="H12" i="33"/>
  <c r="G12" i="33"/>
  <c r="F12" i="33"/>
  <c r="E12" i="33"/>
  <c r="D12" i="33"/>
  <c r="C12" i="33"/>
  <c r="B9" i="33"/>
  <c r="C9" i="33" s="1"/>
  <c r="D9" i="33" s="1"/>
  <c r="E9" i="33" s="1"/>
  <c r="F9" i="33" s="1"/>
  <c r="G9" i="33" s="1"/>
  <c r="H9" i="33" s="1"/>
  <c r="I9" i="33" s="1"/>
  <c r="J9" i="33" s="1"/>
  <c r="K9" i="33" s="1"/>
  <c r="L9" i="33" s="1"/>
  <c r="M9" i="33" s="1"/>
  <c r="C42" i="31"/>
  <c r="C38" i="31"/>
  <c r="C41" i="31" s="1"/>
  <c r="C34" i="31"/>
  <c r="C30" i="31"/>
  <c r="C26" i="31"/>
  <c r="C22" i="31"/>
  <c r="C25" i="31" s="1"/>
  <c r="C18" i="31"/>
  <c r="C21" i="31" s="1"/>
  <c r="C14" i="31"/>
  <c r="E13" i="31"/>
  <c r="E10" i="31" s="1"/>
  <c r="C10" i="31" s="1"/>
  <c r="D13" i="31"/>
  <c r="C20" i="24"/>
  <c r="C18" i="24"/>
  <c r="C16" i="24"/>
  <c r="C21" i="24"/>
  <c r="C17" i="24"/>
  <c r="D21" i="24"/>
  <c r="D20" i="24"/>
  <c r="D18" i="24"/>
  <c r="D16" i="24"/>
  <c r="E13" i="24"/>
  <c r="E9" i="24"/>
  <c r="E8" i="24"/>
  <c r="K10" i="29"/>
  <c r="L10" i="29"/>
  <c r="J10" i="29"/>
  <c r="I10" i="29"/>
  <c r="B9" i="29"/>
  <c r="C9" i="29" s="1"/>
  <c r="D9" i="29" s="1"/>
  <c r="E9" i="29" s="1"/>
  <c r="F9" i="29" s="1"/>
  <c r="G9" i="29" s="1"/>
  <c r="H9" i="29" s="1"/>
  <c r="I9" i="29" s="1"/>
  <c r="J9" i="29" s="1"/>
  <c r="K9" i="29" s="1"/>
  <c r="L9" i="29" s="1"/>
  <c r="G19" i="28"/>
  <c r="F19" i="28"/>
  <c r="E19" i="28"/>
  <c r="D19" i="28"/>
  <c r="C19" i="28"/>
  <c r="H18" i="28"/>
  <c r="W18" i="28" s="1"/>
  <c r="G18" i="28"/>
  <c r="F18" i="28"/>
  <c r="E18" i="28"/>
  <c r="D18" i="28"/>
  <c r="C18" i="28"/>
  <c r="H13" i="28"/>
  <c r="W13" i="28" s="1"/>
  <c r="G13" i="28"/>
  <c r="F13" i="28"/>
  <c r="C13" i="28"/>
  <c r="H17" i="28"/>
  <c r="W17" i="28" s="1"/>
  <c r="G17" i="28"/>
  <c r="F17" i="28"/>
  <c r="E17" i="28"/>
  <c r="D17" i="28"/>
  <c r="C17" i="28"/>
  <c r="H16" i="28"/>
  <c r="W16" i="28" s="1"/>
  <c r="G16" i="28"/>
  <c r="F16" i="28"/>
  <c r="E16" i="28"/>
  <c r="D16" i="28"/>
  <c r="C16" i="28"/>
  <c r="G15" i="28"/>
  <c r="F15" i="28"/>
  <c r="E15" i="28"/>
  <c r="D15" i="28"/>
  <c r="C15" i="28"/>
  <c r="H12" i="28"/>
  <c r="W12" i="28" s="1"/>
  <c r="G12" i="28"/>
  <c r="F12" i="28"/>
  <c r="C12" i="28"/>
  <c r="H11" i="28"/>
  <c r="W11" i="28" s="1"/>
  <c r="G11" i="28"/>
  <c r="F11" i="28"/>
  <c r="C11" i="28"/>
  <c r="I14" i="28"/>
  <c r="H14" i="28"/>
  <c r="W14" i="28" s="1"/>
  <c r="G14" i="28"/>
  <c r="F14" i="28"/>
  <c r="E14" i="28"/>
  <c r="D14" i="28"/>
  <c r="C14" i="28"/>
  <c r="B9" i="28"/>
  <c r="C9" i="28" s="1"/>
  <c r="D9" i="28" s="1"/>
  <c r="E9" i="28" s="1"/>
  <c r="F9" i="28" s="1"/>
  <c r="G9" i="28" s="1"/>
  <c r="H9" i="28" s="1"/>
  <c r="I9" i="28" s="1"/>
  <c r="J9" i="28" s="1"/>
  <c r="K9" i="28" s="1"/>
  <c r="L9" i="28" s="1"/>
  <c r="L88" i="27"/>
  <c r="K88" i="27"/>
  <c r="H88" i="27"/>
  <c r="V88" i="27" s="1"/>
  <c r="G88" i="27"/>
  <c r="F88" i="27"/>
  <c r="E88" i="27"/>
  <c r="D88" i="27"/>
  <c r="C88" i="27"/>
  <c r="L40" i="27"/>
  <c r="K40" i="27"/>
  <c r="H40" i="27"/>
  <c r="V40" i="27" s="1"/>
  <c r="G40" i="27"/>
  <c r="F40" i="27"/>
  <c r="E40" i="27"/>
  <c r="D40" i="27"/>
  <c r="C40" i="27"/>
  <c r="L87" i="27"/>
  <c r="K87" i="27"/>
  <c r="H87" i="27"/>
  <c r="V87" i="27" s="1"/>
  <c r="G87" i="27"/>
  <c r="F87" i="27"/>
  <c r="E87" i="27"/>
  <c r="D87" i="27"/>
  <c r="C87" i="27"/>
  <c r="L86" i="27"/>
  <c r="K86" i="27"/>
  <c r="H86" i="27"/>
  <c r="V86" i="27" s="1"/>
  <c r="G86" i="27"/>
  <c r="F86" i="27"/>
  <c r="E86" i="27"/>
  <c r="D86" i="27"/>
  <c r="C86" i="27"/>
  <c r="L79" i="27"/>
  <c r="K79" i="27"/>
  <c r="H79" i="27"/>
  <c r="V79" i="27" s="1"/>
  <c r="G79" i="27"/>
  <c r="F79" i="27"/>
  <c r="E79" i="27"/>
  <c r="D79" i="27"/>
  <c r="C79" i="27"/>
  <c r="L90" i="27"/>
  <c r="K90" i="27"/>
  <c r="H90" i="27"/>
  <c r="V90" i="27" s="1"/>
  <c r="G90" i="27"/>
  <c r="F90" i="27"/>
  <c r="E90" i="27"/>
  <c r="D90" i="27"/>
  <c r="C90" i="27"/>
  <c r="L85" i="27"/>
  <c r="K85" i="27"/>
  <c r="H85" i="27"/>
  <c r="V85" i="27" s="1"/>
  <c r="G85" i="27"/>
  <c r="F85" i="27"/>
  <c r="E85" i="27"/>
  <c r="D85" i="27"/>
  <c r="C85" i="27"/>
  <c r="L84" i="27"/>
  <c r="K84" i="27"/>
  <c r="H84" i="27"/>
  <c r="V84" i="27" s="1"/>
  <c r="G84" i="27"/>
  <c r="F84" i="27"/>
  <c r="E84" i="27"/>
  <c r="D84" i="27"/>
  <c r="C84" i="27"/>
  <c r="L83" i="27"/>
  <c r="K83" i="27"/>
  <c r="H83" i="27"/>
  <c r="V83" i="27" s="1"/>
  <c r="G83" i="27"/>
  <c r="F83" i="27"/>
  <c r="E83" i="27"/>
  <c r="D83" i="27"/>
  <c r="C83" i="27"/>
  <c r="L82" i="27"/>
  <c r="K82" i="27"/>
  <c r="H82" i="27"/>
  <c r="V82" i="27" s="1"/>
  <c r="G82" i="27"/>
  <c r="F82" i="27"/>
  <c r="E82" i="27"/>
  <c r="D82" i="27"/>
  <c r="C82" i="27"/>
  <c r="L81" i="27"/>
  <c r="K81" i="27"/>
  <c r="H81" i="27"/>
  <c r="V81" i="27" s="1"/>
  <c r="G81" i="27"/>
  <c r="F81" i="27"/>
  <c r="E81" i="27"/>
  <c r="D81" i="27"/>
  <c r="C81" i="27"/>
  <c r="L80" i="27"/>
  <c r="K80" i="27"/>
  <c r="H80" i="27"/>
  <c r="V80" i="27" s="1"/>
  <c r="G80" i="27"/>
  <c r="F80" i="27"/>
  <c r="E80" i="27"/>
  <c r="D80" i="27"/>
  <c r="C80" i="27"/>
  <c r="L89" i="27"/>
  <c r="K89" i="27"/>
  <c r="H89" i="27"/>
  <c r="V89" i="27" s="1"/>
  <c r="G89" i="27"/>
  <c r="F89" i="27"/>
  <c r="E89" i="27"/>
  <c r="D89" i="27"/>
  <c r="C89" i="27"/>
  <c r="L78" i="27"/>
  <c r="H78" i="27"/>
  <c r="V78" i="27" s="1"/>
  <c r="G78" i="27"/>
  <c r="F78" i="27"/>
  <c r="E78" i="27"/>
  <c r="D78" i="27"/>
  <c r="C78" i="27"/>
  <c r="L77" i="27"/>
  <c r="H77" i="27"/>
  <c r="V77" i="27" s="1"/>
  <c r="G77" i="27"/>
  <c r="F77" i="27"/>
  <c r="E77" i="27"/>
  <c r="D77" i="27"/>
  <c r="C77" i="27"/>
  <c r="L76" i="27"/>
  <c r="H76" i="27"/>
  <c r="V76" i="27" s="1"/>
  <c r="G76" i="27"/>
  <c r="F76" i="27"/>
  <c r="E76" i="27"/>
  <c r="D76" i="27"/>
  <c r="C76" i="27"/>
  <c r="L75" i="27"/>
  <c r="H75" i="27"/>
  <c r="V75" i="27" s="1"/>
  <c r="G75" i="27"/>
  <c r="F75" i="27"/>
  <c r="E75" i="27"/>
  <c r="D75" i="27"/>
  <c r="C75" i="27"/>
  <c r="L74" i="27"/>
  <c r="H74" i="27"/>
  <c r="V74" i="27" s="1"/>
  <c r="G74" i="27"/>
  <c r="F74" i="27"/>
  <c r="E74" i="27"/>
  <c r="D74" i="27"/>
  <c r="C74" i="27"/>
  <c r="L73" i="27"/>
  <c r="H73" i="27"/>
  <c r="V73" i="27" s="1"/>
  <c r="G73" i="27"/>
  <c r="F73" i="27"/>
  <c r="E73" i="27"/>
  <c r="D73" i="27"/>
  <c r="C73" i="27"/>
  <c r="L72" i="27"/>
  <c r="H72" i="27"/>
  <c r="V72" i="27" s="1"/>
  <c r="G72" i="27"/>
  <c r="F72" i="27"/>
  <c r="E72" i="27"/>
  <c r="D72" i="27"/>
  <c r="C72" i="27"/>
  <c r="L71" i="27"/>
  <c r="G71" i="27"/>
  <c r="F71" i="27"/>
  <c r="E71" i="27"/>
  <c r="D71" i="27"/>
  <c r="C71" i="27"/>
  <c r="L70" i="27"/>
  <c r="H70" i="27"/>
  <c r="V70" i="27" s="1"/>
  <c r="G70" i="27"/>
  <c r="F70" i="27"/>
  <c r="E70" i="27"/>
  <c r="D70" i="27"/>
  <c r="C70" i="27"/>
  <c r="L69" i="27"/>
  <c r="H69" i="27"/>
  <c r="V69" i="27" s="1"/>
  <c r="G69" i="27"/>
  <c r="F69" i="27"/>
  <c r="E69" i="27"/>
  <c r="D69" i="27"/>
  <c r="C69" i="27"/>
  <c r="L68" i="27"/>
  <c r="H68" i="27"/>
  <c r="V68" i="27" s="1"/>
  <c r="G68" i="27"/>
  <c r="F68" i="27"/>
  <c r="E68" i="27"/>
  <c r="D68" i="27"/>
  <c r="C68" i="27"/>
  <c r="L67" i="27"/>
  <c r="H67" i="27"/>
  <c r="V67" i="27" s="1"/>
  <c r="G67" i="27"/>
  <c r="F67" i="27"/>
  <c r="E67" i="27"/>
  <c r="D67" i="27"/>
  <c r="C67" i="27"/>
  <c r="L66" i="27"/>
  <c r="H66" i="27"/>
  <c r="V66" i="27" s="1"/>
  <c r="G66" i="27"/>
  <c r="F66" i="27"/>
  <c r="E66" i="27"/>
  <c r="D66" i="27"/>
  <c r="C66" i="27"/>
  <c r="L65" i="27"/>
  <c r="H65" i="27"/>
  <c r="V65" i="27" s="1"/>
  <c r="G65" i="27"/>
  <c r="F65" i="27"/>
  <c r="E65" i="27"/>
  <c r="D65" i="27"/>
  <c r="C65" i="27"/>
  <c r="L64" i="27"/>
  <c r="H64" i="27"/>
  <c r="V64" i="27" s="1"/>
  <c r="G64" i="27"/>
  <c r="F64" i="27"/>
  <c r="E64" i="27"/>
  <c r="D64" i="27"/>
  <c r="C64" i="27"/>
  <c r="L63" i="27"/>
  <c r="H63" i="27"/>
  <c r="V63" i="27" s="1"/>
  <c r="G63" i="27"/>
  <c r="F63" i="27"/>
  <c r="E63" i="27"/>
  <c r="D63" i="27"/>
  <c r="C63" i="27"/>
  <c r="L62" i="27"/>
  <c r="H62" i="27"/>
  <c r="V62" i="27" s="1"/>
  <c r="G62" i="27"/>
  <c r="F62" i="27"/>
  <c r="E62" i="27"/>
  <c r="D62" i="27"/>
  <c r="C62" i="27"/>
  <c r="L61" i="27"/>
  <c r="H61" i="27"/>
  <c r="V61" i="27" s="1"/>
  <c r="G61" i="27"/>
  <c r="F61" i="27"/>
  <c r="E61" i="27"/>
  <c r="D61" i="27"/>
  <c r="C61" i="27"/>
  <c r="L60" i="27"/>
  <c r="H60" i="27"/>
  <c r="V60" i="27" s="1"/>
  <c r="G60" i="27"/>
  <c r="F60" i="27"/>
  <c r="E60" i="27"/>
  <c r="D60" i="27"/>
  <c r="C60" i="27"/>
  <c r="L59" i="27"/>
  <c r="H59" i="27"/>
  <c r="V59" i="27" s="1"/>
  <c r="G59" i="27"/>
  <c r="F59" i="27"/>
  <c r="E59" i="27"/>
  <c r="D59" i="27"/>
  <c r="C59" i="27"/>
  <c r="L58" i="27"/>
  <c r="H58" i="27"/>
  <c r="V58" i="27" s="1"/>
  <c r="G58" i="27"/>
  <c r="F58" i="27"/>
  <c r="E58" i="27"/>
  <c r="D58" i="27"/>
  <c r="C58" i="27"/>
  <c r="L57" i="27"/>
  <c r="G57" i="27"/>
  <c r="F57" i="27"/>
  <c r="E57" i="27"/>
  <c r="D57" i="27"/>
  <c r="C57" i="27"/>
  <c r="L56" i="27"/>
  <c r="H56" i="27"/>
  <c r="V56" i="27" s="1"/>
  <c r="G56" i="27"/>
  <c r="F56" i="27"/>
  <c r="E56" i="27"/>
  <c r="D56" i="27"/>
  <c r="C56" i="27"/>
  <c r="L55" i="27"/>
  <c r="H55" i="27"/>
  <c r="V55" i="27" s="1"/>
  <c r="G55" i="27"/>
  <c r="F55" i="27"/>
  <c r="E55" i="27"/>
  <c r="D55" i="27"/>
  <c r="C55" i="27"/>
  <c r="L54" i="27"/>
  <c r="H54" i="27"/>
  <c r="V54" i="27" s="1"/>
  <c r="G54" i="27"/>
  <c r="F54" i="27"/>
  <c r="E54" i="27"/>
  <c r="D54" i="27"/>
  <c r="C54" i="27"/>
  <c r="L53" i="27"/>
  <c r="H53" i="27"/>
  <c r="V53" i="27" s="1"/>
  <c r="G53" i="27"/>
  <c r="F53" i="27"/>
  <c r="E53" i="27"/>
  <c r="D53" i="27"/>
  <c r="C53" i="27"/>
  <c r="L52" i="27"/>
  <c r="H52" i="27"/>
  <c r="V52" i="27" s="1"/>
  <c r="G52" i="27"/>
  <c r="F52" i="27"/>
  <c r="E52" i="27"/>
  <c r="D52" i="27"/>
  <c r="C52" i="27"/>
  <c r="L51" i="27"/>
  <c r="H51" i="27"/>
  <c r="V51" i="27" s="1"/>
  <c r="G51" i="27"/>
  <c r="F51" i="27"/>
  <c r="E51" i="27"/>
  <c r="D51" i="27"/>
  <c r="C51" i="27"/>
  <c r="L50" i="27"/>
  <c r="H50" i="27"/>
  <c r="V50" i="27" s="1"/>
  <c r="G50" i="27"/>
  <c r="F50" i="27"/>
  <c r="E50" i="27"/>
  <c r="D50" i="27"/>
  <c r="C50" i="27"/>
  <c r="L49" i="27"/>
  <c r="H49" i="27"/>
  <c r="V49" i="27" s="1"/>
  <c r="G49" i="27"/>
  <c r="F49" i="27"/>
  <c r="E49" i="27"/>
  <c r="D49" i="27"/>
  <c r="C49" i="27"/>
  <c r="L48" i="27"/>
  <c r="H48" i="27"/>
  <c r="V48" i="27" s="1"/>
  <c r="G48" i="27"/>
  <c r="F48" i="27"/>
  <c r="E48" i="27"/>
  <c r="D48" i="27"/>
  <c r="C48" i="27"/>
  <c r="L39" i="27"/>
  <c r="H39" i="27"/>
  <c r="V39" i="27" s="1"/>
  <c r="G39" i="27"/>
  <c r="F39" i="27"/>
  <c r="E39" i="27"/>
  <c r="D39" i="27"/>
  <c r="C39" i="27"/>
  <c r="L38" i="27"/>
  <c r="H38" i="27"/>
  <c r="V38" i="27" s="1"/>
  <c r="G38" i="27"/>
  <c r="F38" i="27"/>
  <c r="E38" i="27"/>
  <c r="D38" i="27"/>
  <c r="C38" i="27"/>
  <c r="L37" i="27"/>
  <c r="H37" i="27"/>
  <c r="V37" i="27" s="1"/>
  <c r="G37" i="27"/>
  <c r="F37" i="27"/>
  <c r="E37" i="27"/>
  <c r="D37" i="27"/>
  <c r="C37" i="27"/>
  <c r="C12" i="27"/>
  <c r="D12" i="27"/>
  <c r="E12" i="27"/>
  <c r="F12" i="27"/>
  <c r="G12" i="27"/>
  <c r="H12" i="27"/>
  <c r="V12" i="27" s="1"/>
  <c r="I12" i="27"/>
  <c r="C13" i="27"/>
  <c r="D13" i="27"/>
  <c r="E13" i="27"/>
  <c r="F13" i="27"/>
  <c r="G13" i="27"/>
  <c r="H13" i="27"/>
  <c r="V13" i="27" s="1"/>
  <c r="I13" i="27"/>
  <c r="C14" i="27"/>
  <c r="D14" i="27"/>
  <c r="E14" i="27"/>
  <c r="F14" i="27"/>
  <c r="G14" i="27"/>
  <c r="H14" i="27"/>
  <c r="V14" i="27" s="1"/>
  <c r="I14" i="27"/>
  <c r="C15" i="27"/>
  <c r="D15" i="27"/>
  <c r="E15" i="27"/>
  <c r="F15" i="27"/>
  <c r="G15" i="27"/>
  <c r="H15" i="27"/>
  <c r="V15" i="27" s="1"/>
  <c r="I15" i="27"/>
  <c r="C16" i="27"/>
  <c r="D16" i="27"/>
  <c r="E16" i="27"/>
  <c r="F16" i="27"/>
  <c r="G16" i="27"/>
  <c r="H16" i="27"/>
  <c r="V16" i="27" s="1"/>
  <c r="I16" i="27"/>
  <c r="C17" i="27"/>
  <c r="D17" i="27"/>
  <c r="E17" i="27"/>
  <c r="F17" i="27"/>
  <c r="G17" i="27"/>
  <c r="H17" i="27"/>
  <c r="V17" i="27" s="1"/>
  <c r="I17" i="27"/>
  <c r="C18" i="27"/>
  <c r="D18" i="27"/>
  <c r="E18" i="27"/>
  <c r="F18" i="27"/>
  <c r="G18" i="27"/>
  <c r="H18" i="27"/>
  <c r="V18" i="27" s="1"/>
  <c r="I18" i="27"/>
  <c r="C19" i="27"/>
  <c r="D19" i="27"/>
  <c r="E19" i="27"/>
  <c r="F19" i="27"/>
  <c r="G19" i="27"/>
  <c r="H19" i="27"/>
  <c r="V19" i="27" s="1"/>
  <c r="I19" i="27"/>
  <c r="C20" i="27"/>
  <c r="D20" i="27"/>
  <c r="E20" i="27"/>
  <c r="F20" i="27"/>
  <c r="G20" i="27"/>
  <c r="H20" i="27"/>
  <c r="V20" i="27" s="1"/>
  <c r="I20" i="27"/>
  <c r="C21" i="27"/>
  <c r="D21" i="27"/>
  <c r="E21" i="27"/>
  <c r="F21" i="27"/>
  <c r="G21" i="27"/>
  <c r="I21" i="27"/>
  <c r="C22" i="27"/>
  <c r="D22" i="27"/>
  <c r="E22" i="27"/>
  <c r="F22" i="27"/>
  <c r="G22" i="27"/>
  <c r="H22" i="27"/>
  <c r="V22" i="27" s="1"/>
  <c r="I22" i="27"/>
  <c r="C23" i="27"/>
  <c r="D23" i="27"/>
  <c r="E23" i="27"/>
  <c r="F23" i="27"/>
  <c r="G23" i="27"/>
  <c r="H23" i="27"/>
  <c r="V23" i="27" s="1"/>
  <c r="I23" i="27"/>
  <c r="C24" i="27"/>
  <c r="D24" i="27"/>
  <c r="E24" i="27"/>
  <c r="F24" i="27"/>
  <c r="G24" i="27"/>
  <c r="H24" i="27"/>
  <c r="V24" i="27" s="1"/>
  <c r="I24" i="27"/>
  <c r="C25" i="27"/>
  <c r="D25" i="27"/>
  <c r="E25" i="27"/>
  <c r="F25" i="27"/>
  <c r="G25" i="27"/>
  <c r="I25" i="27"/>
  <c r="C26" i="27"/>
  <c r="D26" i="27"/>
  <c r="E26" i="27"/>
  <c r="F26" i="27"/>
  <c r="G26" i="27"/>
  <c r="H26" i="27"/>
  <c r="V26" i="27" s="1"/>
  <c r="I26" i="27"/>
  <c r="C27" i="27"/>
  <c r="D27" i="27"/>
  <c r="E27" i="27"/>
  <c r="F27" i="27"/>
  <c r="G27" i="27"/>
  <c r="H27" i="27"/>
  <c r="V27" i="27" s="1"/>
  <c r="I27" i="27"/>
  <c r="C28" i="27"/>
  <c r="D28" i="27"/>
  <c r="E28" i="27"/>
  <c r="F28" i="27"/>
  <c r="G28" i="27"/>
  <c r="H28" i="27"/>
  <c r="V28" i="27" s="1"/>
  <c r="C29" i="27"/>
  <c r="D29" i="27"/>
  <c r="E29" i="27"/>
  <c r="F29" i="27"/>
  <c r="G29" i="27"/>
  <c r="H29" i="27"/>
  <c r="V29" i="27" s="1"/>
  <c r="C30" i="27"/>
  <c r="D30" i="27"/>
  <c r="E30" i="27"/>
  <c r="F30" i="27"/>
  <c r="G30" i="27"/>
  <c r="H30" i="27"/>
  <c r="V30" i="27" s="1"/>
  <c r="C31" i="27"/>
  <c r="D31" i="27"/>
  <c r="E31" i="27"/>
  <c r="F31" i="27"/>
  <c r="G31" i="27"/>
  <c r="C32" i="27"/>
  <c r="D32" i="27"/>
  <c r="E32" i="27"/>
  <c r="F32" i="27"/>
  <c r="G32" i="27"/>
  <c r="H32" i="27"/>
  <c r="V32" i="27" s="1"/>
  <c r="C33" i="27"/>
  <c r="D33" i="27"/>
  <c r="E33" i="27"/>
  <c r="F33" i="27"/>
  <c r="G33" i="27"/>
  <c r="H33" i="27"/>
  <c r="V33" i="27" s="1"/>
  <c r="C34" i="27"/>
  <c r="D34" i="27"/>
  <c r="E34" i="27"/>
  <c r="F34" i="27"/>
  <c r="G34" i="27"/>
  <c r="H34" i="27"/>
  <c r="V34" i="27" s="1"/>
  <c r="C35" i="27"/>
  <c r="D35" i="27"/>
  <c r="E35" i="27"/>
  <c r="F35" i="27"/>
  <c r="G35" i="27"/>
  <c r="H35" i="27"/>
  <c r="V35" i="27" s="1"/>
  <c r="C36" i="27"/>
  <c r="D36" i="27"/>
  <c r="E36" i="27"/>
  <c r="F36" i="27"/>
  <c r="G36" i="27"/>
  <c r="H36" i="27"/>
  <c r="V36" i="27" s="1"/>
  <c r="C27" i="30" l="1"/>
  <c r="M89" i="27"/>
  <c r="M90" i="27"/>
  <c r="M79" i="27"/>
  <c r="M86" i="27"/>
  <c r="M88" i="27"/>
  <c r="M37" i="27"/>
  <c r="M38" i="27"/>
  <c r="M39" i="27"/>
  <c r="M48" i="27"/>
  <c r="M49" i="27"/>
  <c r="M50" i="27"/>
  <c r="M51" i="27"/>
  <c r="M52" i="27"/>
  <c r="M53" i="27"/>
  <c r="M54" i="27"/>
  <c r="M55" i="27"/>
  <c r="M56" i="27"/>
  <c r="M81" i="27"/>
  <c r="M85" i="27"/>
  <c r="M87" i="27"/>
  <c r="M82" i="27"/>
  <c r="M72" i="27"/>
  <c r="M73" i="27"/>
  <c r="M74" i="27"/>
  <c r="M75" i="27"/>
  <c r="M76" i="27"/>
  <c r="M77" i="27"/>
  <c r="M78" i="27"/>
  <c r="M83" i="27"/>
  <c r="M58" i="27"/>
  <c r="M59" i="27"/>
  <c r="M60" i="27"/>
  <c r="M61" i="27"/>
  <c r="M62" i="27"/>
  <c r="M63" i="27"/>
  <c r="M64" i="27"/>
  <c r="M65" i="27"/>
  <c r="M66" i="27"/>
  <c r="M67" i="27"/>
  <c r="M68" i="27"/>
  <c r="M69" i="27"/>
  <c r="M70" i="27"/>
  <c r="M80" i="27"/>
  <c r="M84" i="27"/>
  <c r="C15" i="24"/>
  <c r="C19" i="24"/>
  <c r="G11" i="33"/>
  <c r="G10" i="33" s="1"/>
  <c r="D19" i="24"/>
  <c r="G10" i="28"/>
  <c r="C37" i="31"/>
  <c r="C36" i="31"/>
  <c r="C20" i="31"/>
  <c r="C29" i="31"/>
  <c r="C28" i="31"/>
  <c r="C33" i="31"/>
  <c r="C32" i="31"/>
  <c r="C17" i="31"/>
  <c r="C16" i="31"/>
  <c r="C45" i="31"/>
  <c r="C44" i="31"/>
  <c r="C13" i="31"/>
  <c r="C24" i="31"/>
  <c r="C40" i="31"/>
  <c r="C11" i="31"/>
  <c r="C12" i="31"/>
  <c r="E7" i="24"/>
  <c r="E12" i="24"/>
  <c r="E16" i="24"/>
  <c r="E20" i="24"/>
  <c r="E18" i="24"/>
  <c r="E21" i="24"/>
  <c r="E11" i="24"/>
  <c r="D17" i="24"/>
  <c r="E17" i="24" s="1"/>
  <c r="B9" i="27"/>
  <c r="C9" i="27" s="1"/>
  <c r="D9" i="27" s="1"/>
  <c r="E9" i="27" s="1"/>
  <c r="F9" i="27" s="1"/>
  <c r="G9" i="27" s="1"/>
  <c r="H9" i="27" s="1"/>
  <c r="I9" i="27" s="1"/>
  <c r="J9" i="27" s="1"/>
  <c r="K9" i="27" s="1"/>
  <c r="L9" i="27" s="1"/>
  <c r="M9" i="27" s="1"/>
  <c r="C14" i="24" l="1"/>
  <c r="G11" i="27"/>
  <c r="G10" i="27" s="1"/>
  <c r="D15" i="24"/>
  <c r="E10" i="24"/>
  <c r="E5" i="24" s="1"/>
  <c r="E19" i="24"/>
  <c r="E6" i="24" l="1"/>
  <c r="C6" i="30"/>
  <c r="D14" i="24"/>
  <c r="E14" i="24" s="1"/>
  <c r="E15" i="24"/>
  <c r="E14" i="26"/>
  <c r="D14" i="26"/>
  <c r="D12" i="26"/>
  <c r="E12" i="26"/>
  <c r="D13" i="26"/>
  <c r="E13" i="26"/>
  <c r="E11" i="26"/>
  <c r="D11" i="26"/>
  <c r="L14" i="26" l="1"/>
  <c r="K14" i="26"/>
  <c r="H14" i="26"/>
  <c r="G14" i="26"/>
  <c r="F14" i="26"/>
  <c r="C14" i="26"/>
  <c r="C12" i="26"/>
  <c r="F12" i="26"/>
  <c r="G12" i="26"/>
  <c r="H12" i="26"/>
  <c r="V12" i="26" s="1"/>
  <c r="C13" i="26"/>
  <c r="F13" i="26"/>
  <c r="G13" i="26"/>
  <c r="H13" i="26"/>
  <c r="V13" i="26" s="1"/>
  <c r="H11" i="26"/>
  <c r="V11" i="26" s="1"/>
  <c r="G11" i="26"/>
  <c r="F11" i="26"/>
  <c r="M14" i="26" l="1"/>
  <c r="V14" i="26"/>
  <c r="C11" i="26"/>
  <c r="B9" i="26"/>
  <c r="C9" i="26" s="1"/>
  <c r="D9" i="26" s="1"/>
  <c r="E9" i="26" s="1"/>
  <c r="F9" i="26" s="1"/>
  <c r="G9" i="26" s="1"/>
  <c r="H9" i="26" s="1"/>
  <c r="I9" i="26" s="1"/>
  <c r="J9" i="26" s="1"/>
  <c r="K9" i="26" s="1"/>
  <c r="L9" i="26" s="1"/>
  <c r="M9" i="26" s="1"/>
  <c r="T602" i="25"/>
  <c r="AD602" i="25" s="1"/>
  <c r="T601" i="25"/>
  <c r="AD601" i="25" s="1"/>
  <c r="T600" i="25"/>
  <c r="AD600" i="25" s="1"/>
  <c r="T599" i="25"/>
  <c r="AD599" i="25" s="1"/>
  <c r="T598" i="25"/>
  <c r="AD598" i="25" s="1"/>
  <c r="T597" i="25"/>
  <c r="AD597" i="25" s="1"/>
  <c r="T596" i="25"/>
  <c r="AD596" i="25" s="1"/>
  <c r="T595" i="25"/>
  <c r="AD595" i="25" s="1"/>
  <c r="T594" i="25"/>
  <c r="AD594" i="25" s="1"/>
  <c r="T593" i="25"/>
  <c r="AD593" i="25" s="1"/>
  <c r="I109" i="36" s="1"/>
  <c r="T592" i="25"/>
  <c r="AD592" i="25" s="1"/>
  <c r="T591" i="25"/>
  <c r="AD591" i="25" s="1"/>
  <c r="T590" i="25"/>
  <c r="AD590" i="25" s="1"/>
  <c r="T589" i="25"/>
  <c r="AD589" i="25" s="1"/>
  <c r="T588" i="25"/>
  <c r="AD588" i="25" s="1"/>
  <c r="T587" i="25"/>
  <c r="AD587" i="25" s="1"/>
  <c r="T586" i="25"/>
  <c r="AD586" i="25" s="1"/>
  <c r="T585" i="25"/>
  <c r="AD585" i="25" s="1"/>
  <c r="I117" i="36" s="1"/>
  <c r="T584" i="25"/>
  <c r="AD584" i="25" s="1"/>
  <c r="T583" i="25"/>
  <c r="AD583" i="25" s="1"/>
  <c r="T582" i="25"/>
  <c r="AD582" i="25" s="1"/>
  <c r="T581" i="25"/>
  <c r="AD581" i="25" s="1"/>
  <c r="T580" i="25"/>
  <c r="AD580" i="25" s="1"/>
  <c r="T579" i="25"/>
  <c r="AD579" i="25" s="1"/>
  <c r="I113" i="36" s="1"/>
  <c r="T578" i="25"/>
  <c r="AD578" i="25" s="1"/>
  <c r="T575" i="25"/>
  <c r="AD575" i="25" s="1"/>
  <c r="T574" i="25"/>
  <c r="AD574" i="25" s="1"/>
  <c r="I111" i="36" s="1"/>
  <c r="T573" i="25"/>
  <c r="AD573" i="25" s="1"/>
  <c r="I110" i="36" s="1"/>
  <c r="T572" i="25"/>
  <c r="AD572" i="25" s="1"/>
  <c r="I79" i="36" s="1"/>
  <c r="T571" i="25"/>
  <c r="AD571" i="25" s="1"/>
  <c r="T570" i="25"/>
  <c r="AD570" i="25" s="1"/>
  <c r="I105" i="36" s="1"/>
  <c r="T569" i="25"/>
  <c r="AD569" i="25" s="1"/>
  <c r="T568" i="25"/>
  <c r="AD568" i="25" s="1"/>
  <c r="I103" i="36" s="1"/>
  <c r="T567" i="25"/>
  <c r="AD567" i="25" s="1"/>
  <c r="T566" i="25"/>
  <c r="AD566" i="25" s="1"/>
  <c r="I102" i="36" s="1"/>
  <c r="T565" i="25"/>
  <c r="AD565" i="25" s="1"/>
  <c r="I85" i="36" s="1"/>
  <c r="T564" i="25"/>
  <c r="AD564" i="25" s="1"/>
  <c r="I84" i="36" s="1"/>
  <c r="T563" i="25"/>
  <c r="AD563" i="25" s="1"/>
  <c r="T562" i="25"/>
  <c r="AD562" i="25" s="1"/>
  <c r="I69" i="36" s="1"/>
  <c r="T561" i="25"/>
  <c r="AD561" i="25" s="1"/>
  <c r="I91" i="36" s="1"/>
  <c r="T560" i="25"/>
  <c r="AD560" i="25" s="1"/>
  <c r="I74" i="36" s="1"/>
  <c r="T559" i="25"/>
  <c r="AD559" i="25" s="1"/>
  <c r="T558" i="25"/>
  <c r="AD558" i="25" s="1"/>
  <c r="I83" i="36" s="1"/>
  <c r="T557" i="25"/>
  <c r="AD557" i="25" s="1"/>
  <c r="I82" i="36" s="1"/>
  <c r="T556" i="25"/>
  <c r="AD556" i="25" s="1"/>
  <c r="I94" i="36" s="1"/>
  <c r="AD555" i="25"/>
  <c r="AE555" i="25" s="1"/>
  <c r="T554" i="25"/>
  <c r="AD554" i="25" s="1"/>
  <c r="I89" i="36" s="1"/>
  <c r="T553" i="25"/>
  <c r="AD553" i="25" s="1"/>
  <c r="I73" i="36" s="1"/>
  <c r="T552" i="25"/>
  <c r="AD552" i="25" s="1"/>
  <c r="I81" i="36" s="1"/>
  <c r="T551" i="25"/>
  <c r="AD551" i="25" s="1"/>
  <c r="I98" i="36" s="1"/>
  <c r="T550" i="25"/>
  <c r="AD550" i="25" s="1"/>
  <c r="T549" i="25"/>
  <c r="AD549" i="25" s="1"/>
  <c r="I100" i="36" s="1"/>
  <c r="T548" i="25"/>
  <c r="AD548" i="25" s="1"/>
  <c r="I90" i="36" s="1"/>
  <c r="T547" i="25"/>
  <c r="AD547" i="25" s="1"/>
  <c r="I101" i="36" s="1"/>
  <c r="T546" i="25"/>
  <c r="AD546" i="25" s="1"/>
  <c r="T545" i="25"/>
  <c r="AD545" i="25" s="1"/>
  <c r="I93" i="36" s="1"/>
  <c r="T544" i="25"/>
  <c r="AD544" i="25" s="1"/>
  <c r="I92" i="36" s="1"/>
  <c r="T543" i="25"/>
  <c r="AD543" i="25" s="1"/>
  <c r="I76" i="36" s="1"/>
  <c r="T542" i="25"/>
  <c r="AD542" i="25" s="1"/>
  <c r="P541" i="25"/>
  <c r="AD541" i="25" s="1"/>
  <c r="AE541" i="25" s="1"/>
  <c r="T540" i="25"/>
  <c r="AD540" i="25" s="1"/>
  <c r="I95" i="36" s="1"/>
  <c r="T539" i="25"/>
  <c r="AD539" i="25" s="1"/>
  <c r="T538" i="25"/>
  <c r="AD538" i="25" s="1"/>
  <c r="I80" i="36" s="1"/>
  <c r="T537" i="25"/>
  <c r="AD537" i="25" s="1"/>
  <c r="I75" i="36" s="1"/>
  <c r="T536" i="25"/>
  <c r="AD536" i="25" s="1"/>
  <c r="I86" i="36" s="1"/>
  <c r="T535" i="25"/>
  <c r="AD535" i="25" s="1"/>
  <c r="I96" i="36" s="1"/>
  <c r="T534" i="25"/>
  <c r="AD534" i="25" s="1"/>
  <c r="I68" i="36" s="1"/>
  <c r="T533" i="25"/>
  <c r="AD533" i="25" s="1"/>
  <c r="I99" i="36" s="1"/>
  <c r="T532" i="25"/>
  <c r="AF531" i="25"/>
  <c r="AC531" i="25"/>
  <c r="AB531" i="25"/>
  <c r="AB522" i="25" s="1"/>
  <c r="AA531" i="25"/>
  <c r="Z531" i="25"/>
  <c r="Z522" i="25" s="1"/>
  <c r="Y531" i="25"/>
  <c r="Y522" i="25" s="1"/>
  <c r="X531" i="25"/>
  <c r="X522" i="25" s="1"/>
  <c r="W531" i="25"/>
  <c r="W522" i="25" s="1"/>
  <c r="V531" i="25"/>
  <c r="V522" i="25" s="1"/>
  <c r="U531" i="25"/>
  <c r="U522" i="25" s="1"/>
  <c r="S531" i="25"/>
  <c r="S522" i="25" s="1"/>
  <c r="R531" i="25"/>
  <c r="R522" i="25" s="1"/>
  <c r="Q531" i="25"/>
  <c r="Q522" i="25" s="1"/>
  <c r="O531" i="25"/>
  <c r="O522" i="25" s="1"/>
  <c r="N531" i="25"/>
  <c r="T530" i="25"/>
  <c r="AD530" i="25" s="1"/>
  <c r="I62" i="36" s="1"/>
  <c r="AR528" i="25"/>
  <c r="P528" i="25"/>
  <c r="T527" i="25"/>
  <c r="AD527" i="25" s="1"/>
  <c r="I63" i="36" s="1"/>
  <c r="T526" i="25"/>
  <c r="AD526" i="25" s="1"/>
  <c r="I66" i="36" s="1"/>
  <c r="T525" i="25"/>
  <c r="AD525" i="25" s="1"/>
  <c r="I67" i="36" s="1"/>
  <c r="T524" i="25"/>
  <c r="AF523" i="25"/>
  <c r="AC523" i="25"/>
  <c r="AA523" i="25"/>
  <c r="N523" i="25"/>
  <c r="AD521" i="25"/>
  <c r="AI520" i="25"/>
  <c r="AK520" i="25" s="1"/>
  <c r="L29" i="36" s="1"/>
  <c r="M29" i="36" s="1"/>
  <c r="AD520" i="25"/>
  <c r="AI519" i="25"/>
  <c r="AD519" i="25"/>
  <c r="AI518" i="25"/>
  <c r="AD518" i="25"/>
  <c r="AI517" i="25"/>
  <c r="AK517" i="25" s="1"/>
  <c r="L59" i="36" s="1"/>
  <c r="M59" i="36" s="1"/>
  <c r="AD517" i="25"/>
  <c r="AI516" i="25"/>
  <c r="P516" i="25"/>
  <c r="AI515" i="25"/>
  <c r="AK515" i="25" s="1"/>
  <c r="L28" i="36" s="1"/>
  <c r="P515" i="25"/>
  <c r="AI514" i="25"/>
  <c r="AD514" i="25"/>
  <c r="AI513" i="25"/>
  <c r="AD513" i="25"/>
  <c r="AI512" i="25"/>
  <c r="AK512" i="25" s="1"/>
  <c r="L32" i="36" s="1"/>
  <c r="P512" i="25"/>
  <c r="AI511" i="25"/>
  <c r="P511" i="25"/>
  <c r="H35" i="36" s="1"/>
  <c r="AI510" i="25"/>
  <c r="AK510" i="25" s="1"/>
  <c r="L34" i="36" s="1"/>
  <c r="M34" i="36" s="1"/>
  <c r="AD510" i="25"/>
  <c r="AI509" i="25"/>
  <c r="AK509" i="25" s="1"/>
  <c r="AD509" i="25"/>
  <c r="AI508" i="25"/>
  <c r="P508" i="25"/>
  <c r="H33" i="36" s="1"/>
  <c r="AI507" i="25"/>
  <c r="AK507" i="25" s="1"/>
  <c r="L54" i="36" s="1"/>
  <c r="P507" i="25"/>
  <c r="AI506" i="25"/>
  <c r="P506" i="25"/>
  <c r="H31" i="36" s="1"/>
  <c r="AI505" i="25"/>
  <c r="AK505" i="25" s="1"/>
  <c r="L39" i="36" s="1"/>
  <c r="P505" i="25"/>
  <c r="AI504" i="25"/>
  <c r="P504" i="25"/>
  <c r="H49" i="36" s="1"/>
  <c r="V49" i="36" s="1"/>
  <c r="AD503" i="25"/>
  <c r="AI502" i="25"/>
  <c r="AD502" i="25"/>
  <c r="AI501" i="25"/>
  <c r="P501" i="25"/>
  <c r="AI500" i="25"/>
  <c r="AK500" i="25" s="1"/>
  <c r="L61" i="36" s="1"/>
  <c r="P500" i="25"/>
  <c r="H61" i="36" s="1"/>
  <c r="AI499" i="25"/>
  <c r="P499" i="25"/>
  <c r="AI498" i="25"/>
  <c r="AK498" i="25" s="1"/>
  <c r="L60" i="36" s="1"/>
  <c r="M60" i="36" s="1"/>
  <c r="AD498" i="25"/>
  <c r="AI497" i="25"/>
  <c r="AD497" i="25"/>
  <c r="AI496" i="25"/>
  <c r="AD496" i="25"/>
  <c r="AI495" i="25"/>
  <c r="AK495" i="25" s="1"/>
  <c r="L58" i="36" s="1"/>
  <c r="P495" i="25"/>
  <c r="AI494" i="25"/>
  <c r="AK494" i="25" s="1"/>
  <c r="L57" i="36" s="1"/>
  <c r="P494" i="25"/>
  <c r="H57" i="36" s="1"/>
  <c r="AI493" i="25"/>
  <c r="P493" i="25"/>
  <c r="AD492" i="25"/>
  <c r="AI491" i="25"/>
  <c r="AJ491" i="25" s="1"/>
  <c r="K53" i="36" s="1"/>
  <c r="P491" i="25"/>
  <c r="AI490" i="25"/>
  <c r="AK490" i="25" s="1"/>
  <c r="L52" i="36" s="1"/>
  <c r="H52" i="36"/>
  <c r="AI489" i="25"/>
  <c r="AJ489" i="25" s="1"/>
  <c r="K41" i="36" s="1"/>
  <c r="AD489" i="25"/>
  <c r="AI488" i="25"/>
  <c r="AD488" i="25"/>
  <c r="AI487" i="25"/>
  <c r="AK487" i="25" s="1"/>
  <c r="L43" i="36" s="1"/>
  <c r="AD487" i="25"/>
  <c r="AD486" i="25"/>
  <c r="AI485" i="25"/>
  <c r="AJ485" i="25" s="1"/>
  <c r="K46" i="36" s="1"/>
  <c r="AD485" i="25"/>
  <c r="AI484" i="25"/>
  <c r="AD484" i="25"/>
  <c r="AI483" i="25"/>
  <c r="AK483" i="25" s="1"/>
  <c r="L36" i="36" s="1"/>
  <c r="M36" i="36" s="1"/>
  <c r="AD483" i="25"/>
  <c r="AD482" i="25"/>
  <c r="AI481" i="25"/>
  <c r="AJ481" i="25" s="1"/>
  <c r="AD481" i="25"/>
  <c r="AD480" i="25"/>
  <c r="AI479" i="25"/>
  <c r="AK479" i="25" s="1"/>
  <c r="AD479" i="25"/>
  <c r="AD478" i="25"/>
  <c r="AI477" i="25"/>
  <c r="AJ477" i="25" s="1"/>
  <c r="AD477" i="25"/>
  <c r="AE477" i="25" s="1"/>
  <c r="AI476" i="25"/>
  <c r="AD476" i="25"/>
  <c r="AC475" i="25"/>
  <c r="AB475" i="25"/>
  <c r="AB459" i="25" s="1"/>
  <c r="AA475" i="25"/>
  <c r="Z475" i="25"/>
  <c r="Z459" i="25" s="1"/>
  <c r="Y475" i="25"/>
  <c r="Y459" i="25" s="1"/>
  <c r="X475" i="25"/>
  <c r="X459" i="25" s="1"/>
  <c r="W475" i="25"/>
  <c r="W459" i="25" s="1"/>
  <c r="V475" i="25"/>
  <c r="V459" i="25" s="1"/>
  <c r="U475" i="25"/>
  <c r="U459" i="25" s="1"/>
  <c r="T475" i="25"/>
  <c r="T459" i="25" s="1"/>
  <c r="S475" i="25"/>
  <c r="S459" i="25" s="1"/>
  <c r="R475" i="25"/>
  <c r="R459" i="25" s="1"/>
  <c r="Q475" i="25"/>
  <c r="Q459" i="25" s="1"/>
  <c r="O475" i="25"/>
  <c r="O459" i="25" s="1"/>
  <c r="N475" i="25"/>
  <c r="AI474" i="25"/>
  <c r="P474" i="25"/>
  <c r="P473" i="25"/>
  <c r="H26" i="36" s="1"/>
  <c r="AI472" i="25"/>
  <c r="P472" i="25"/>
  <c r="P471" i="25"/>
  <c r="H16" i="36" s="1"/>
  <c r="AI470" i="25"/>
  <c r="P470" i="25"/>
  <c r="P469" i="25"/>
  <c r="H19" i="36" s="1"/>
  <c r="V19" i="36" s="1"/>
  <c r="AI468" i="25"/>
  <c r="P468" i="25"/>
  <c r="P467" i="25"/>
  <c r="H18" i="36" s="1"/>
  <c r="AI466" i="25"/>
  <c r="AD466" i="25"/>
  <c r="AI465" i="25"/>
  <c r="AD465" i="25"/>
  <c r="AD464" i="25"/>
  <c r="AI463" i="25"/>
  <c r="AJ463" i="25" s="1"/>
  <c r="K17" i="36" s="1"/>
  <c r="AD463" i="25"/>
  <c r="AD462" i="25"/>
  <c r="AI461" i="25"/>
  <c r="AK461" i="25" s="1"/>
  <c r="L55" i="36" s="1"/>
  <c r="M55" i="36" s="1"/>
  <c r="AD461" i="25"/>
  <c r="AC460" i="25"/>
  <c r="AA460" i="25"/>
  <c r="AA459" i="25" s="1"/>
  <c r="N460" i="25"/>
  <c r="AD458" i="25"/>
  <c r="Z458" i="25"/>
  <c r="AB458" i="25" s="1"/>
  <c r="AL457" i="25"/>
  <c r="AI457" i="25"/>
  <c r="AD457" i="25"/>
  <c r="Z457" i="25"/>
  <c r="AD456" i="25"/>
  <c r="Z456" i="25"/>
  <c r="AD455" i="25"/>
  <c r="Z455" i="25"/>
  <c r="U455" i="25"/>
  <c r="AL454" i="25"/>
  <c r="AI454" i="25"/>
  <c r="AD454" i="25"/>
  <c r="Z454" i="25"/>
  <c r="AC454" i="25" s="1"/>
  <c r="P454" i="25"/>
  <c r="P440" i="25" s="1"/>
  <c r="AD453" i="25"/>
  <c r="Z453" i="25"/>
  <c r="AC453" i="25" s="1"/>
  <c r="AD452" i="25"/>
  <c r="Z452" i="25"/>
  <c r="AB452" i="25" s="1"/>
  <c r="AL451" i="25"/>
  <c r="AI451" i="25"/>
  <c r="AD451" i="25"/>
  <c r="Z451" i="25"/>
  <c r="AC451" i="25" s="1"/>
  <c r="U451" i="25"/>
  <c r="AL450" i="25"/>
  <c r="AI450" i="25"/>
  <c r="AD450" i="25"/>
  <c r="Z450" i="25"/>
  <c r="AL449" i="25"/>
  <c r="AI449" i="25"/>
  <c r="AD449" i="25"/>
  <c r="Z449" i="25"/>
  <c r="U449" i="25"/>
  <c r="AL448" i="25"/>
  <c r="AI448" i="25"/>
  <c r="AD448" i="25"/>
  <c r="Z448" i="25"/>
  <c r="AC448" i="25" s="1"/>
  <c r="U448" i="25"/>
  <c r="AD447" i="25"/>
  <c r="Z447" i="25"/>
  <c r="AC447" i="25" s="1"/>
  <c r="AD446" i="25"/>
  <c r="Z446" i="25"/>
  <c r="AL445" i="25"/>
  <c r="AI445" i="25"/>
  <c r="AD445" i="25"/>
  <c r="Z445" i="25"/>
  <c r="AL444" i="25"/>
  <c r="AI444" i="25"/>
  <c r="AD444" i="25"/>
  <c r="Z444" i="25"/>
  <c r="AL443" i="25"/>
  <c r="AI443" i="25"/>
  <c r="AD443" i="25"/>
  <c r="Z443" i="25"/>
  <c r="AL442" i="25"/>
  <c r="AD442" i="25"/>
  <c r="Z442" i="25"/>
  <c r="Z441" i="25"/>
  <c r="Y440" i="25"/>
  <c r="W440" i="25"/>
  <c r="AO442" i="25" s="1"/>
  <c r="AO443" i="25" s="1"/>
  <c r="T440" i="25"/>
  <c r="S440" i="25"/>
  <c r="R440" i="25"/>
  <c r="Q440" i="25"/>
  <c r="O440" i="25"/>
  <c r="N440" i="25"/>
  <c r="AI439" i="25"/>
  <c r="Z439" i="25"/>
  <c r="AB439" i="25" s="1"/>
  <c r="U436" i="25"/>
  <c r="AL439" i="25"/>
  <c r="AL438" i="25"/>
  <c r="AI438" i="25"/>
  <c r="AD438" i="25"/>
  <c r="Z438" i="25"/>
  <c r="AE438" i="25" s="1"/>
  <c r="Z437" i="25"/>
  <c r="AC437" i="25" s="1"/>
  <c r="T437" i="25"/>
  <c r="AD437" i="25" s="1"/>
  <c r="Y436" i="25"/>
  <c r="W436" i="25"/>
  <c r="V436" i="25"/>
  <c r="S436" i="25"/>
  <c r="R436" i="25"/>
  <c r="Q436" i="25"/>
  <c r="P436" i="25"/>
  <c r="O436" i="25"/>
  <c r="N436" i="25"/>
  <c r="AD435" i="25"/>
  <c r="Z435" i="25"/>
  <c r="AO434" i="25"/>
  <c r="AL434" i="25"/>
  <c r="AI434" i="25"/>
  <c r="AD434" i="25"/>
  <c r="Z434" i="25"/>
  <c r="AB434" i="25" s="1"/>
  <c r="Q434" i="25"/>
  <c r="AO433" i="25"/>
  <c r="AL433" i="25"/>
  <c r="AI433" i="25"/>
  <c r="AD433" i="25"/>
  <c r="Z433" i="25"/>
  <c r="AO432" i="25"/>
  <c r="AD432" i="25"/>
  <c r="Z432" i="25"/>
  <c r="AE432" i="25" s="1"/>
  <c r="AD431" i="25"/>
  <c r="Y431" i="25"/>
  <c r="Y384" i="25" s="1"/>
  <c r="AO430" i="25"/>
  <c r="AL430" i="25"/>
  <c r="AI430" i="25"/>
  <c r="AD430" i="25"/>
  <c r="Z430" i="25"/>
  <c r="P430" i="25"/>
  <c r="AO429" i="25"/>
  <c r="AL429" i="25"/>
  <c r="AH429" i="25"/>
  <c r="AD429" i="25"/>
  <c r="Z429" i="25"/>
  <c r="AO428" i="25"/>
  <c r="AL428" i="25"/>
  <c r="AI428" i="25"/>
  <c r="AD428" i="25"/>
  <c r="Z428" i="25"/>
  <c r="P428" i="25"/>
  <c r="AO427" i="25"/>
  <c r="AD427" i="25"/>
  <c r="Z427" i="25"/>
  <c r="P427" i="25"/>
  <c r="AO426" i="25"/>
  <c r="AD426" i="25"/>
  <c r="Z426" i="25"/>
  <c r="AC426" i="25" s="1"/>
  <c r="P426" i="25"/>
  <c r="AO425" i="25"/>
  <c r="AD425" i="25"/>
  <c r="Z425" i="25"/>
  <c r="AC425" i="25" s="1"/>
  <c r="AO424" i="25"/>
  <c r="AD424" i="25"/>
  <c r="Z424" i="25"/>
  <c r="AC424" i="25" s="1"/>
  <c r="AO423" i="25"/>
  <c r="AD423" i="25"/>
  <c r="Z423" i="25"/>
  <c r="AC423" i="25" s="1"/>
  <c r="AO422" i="25"/>
  <c r="AD422" i="25"/>
  <c r="Z422" i="25"/>
  <c r="P422" i="25"/>
  <c r="AO421" i="25"/>
  <c r="AD421" i="25"/>
  <c r="Z421" i="25"/>
  <c r="AL420" i="25"/>
  <c r="AI420" i="25"/>
  <c r="AD420" i="25"/>
  <c r="Z420" i="25"/>
  <c r="U420" i="25"/>
  <c r="AO420" i="25" s="1"/>
  <c r="Q420" i="25"/>
  <c r="S420" i="25" s="1"/>
  <c r="AL419" i="25"/>
  <c r="AI419" i="25"/>
  <c r="AD419" i="25"/>
  <c r="Z419" i="25"/>
  <c r="AO418" i="25"/>
  <c r="AD418" i="25"/>
  <c r="Z418" i="25"/>
  <c r="AO417" i="25"/>
  <c r="AL417" i="25"/>
  <c r="AI417" i="25"/>
  <c r="AD417" i="25"/>
  <c r="Z417" i="25"/>
  <c r="AO416" i="25"/>
  <c r="AD416" i="25"/>
  <c r="Z416" i="25"/>
  <c r="AO415" i="25"/>
  <c r="AL415" i="25"/>
  <c r="AD415" i="25"/>
  <c r="Z415" i="25"/>
  <c r="AC415" i="25" s="1"/>
  <c r="AO414" i="25"/>
  <c r="AL414" i="25"/>
  <c r="AI414" i="25"/>
  <c r="AD414" i="25"/>
  <c r="Z414" i="25"/>
  <c r="AO413" i="25"/>
  <c r="AD413" i="25"/>
  <c r="Z413" i="25"/>
  <c r="AO412" i="25"/>
  <c r="AD412" i="25"/>
  <c r="Z412" i="25"/>
  <c r="P412" i="25"/>
  <c r="AO411" i="25"/>
  <c r="AD411" i="25"/>
  <c r="Z411" i="25"/>
  <c r="AC411" i="25" s="1"/>
  <c r="P411" i="25"/>
  <c r="AO410" i="25"/>
  <c r="AD410" i="25"/>
  <c r="Z410" i="25"/>
  <c r="P410" i="25"/>
  <c r="AO409" i="25"/>
  <c r="AN409" i="25"/>
  <c r="AD409" i="25"/>
  <c r="Z409" i="25"/>
  <c r="S409" i="25"/>
  <c r="AO408" i="25"/>
  <c r="AD408" i="25"/>
  <c r="Z408" i="25"/>
  <c r="AB408" i="25" s="1"/>
  <c r="Q408" i="25"/>
  <c r="AO407" i="25"/>
  <c r="AD407" i="25"/>
  <c r="Z407" i="25"/>
  <c r="AO406" i="25"/>
  <c r="AD406" i="25"/>
  <c r="Z406" i="25"/>
  <c r="AO405" i="25"/>
  <c r="AD405" i="25"/>
  <c r="Z405" i="25"/>
  <c r="AB405" i="25" s="1"/>
  <c r="AO404" i="25"/>
  <c r="AD404" i="25"/>
  <c r="Z404" i="25"/>
  <c r="AO403" i="25"/>
  <c r="AD403" i="25"/>
  <c r="Z403" i="25"/>
  <c r="AO402" i="25"/>
  <c r="AD402" i="25"/>
  <c r="Z402" i="25"/>
  <c r="AO401" i="25"/>
  <c r="AD401" i="25"/>
  <c r="Z401" i="25"/>
  <c r="AO400" i="25"/>
  <c r="AD400" i="25"/>
  <c r="Z400" i="25"/>
  <c r="AO399" i="25"/>
  <c r="AD399" i="25"/>
  <c r="Z399" i="25"/>
  <c r="AO398" i="25"/>
  <c r="AD398" i="25"/>
  <c r="Z398" i="25"/>
  <c r="AO397" i="25"/>
  <c r="AD397" i="25"/>
  <c r="Z397" i="25"/>
  <c r="AO396" i="25"/>
  <c r="AD396" i="25"/>
  <c r="Z396" i="25"/>
  <c r="AO395" i="25"/>
  <c r="AD395" i="25"/>
  <c r="Z395" i="25"/>
  <c r="AC395" i="25" s="1"/>
  <c r="AO394" i="25"/>
  <c r="AD394" i="25"/>
  <c r="Z394" i="25"/>
  <c r="AO393" i="25"/>
  <c r="AD393" i="25"/>
  <c r="Z393" i="25"/>
  <c r="AC393" i="25" s="1"/>
  <c r="AO392" i="25"/>
  <c r="AD392" i="25"/>
  <c r="Z392" i="25"/>
  <c r="AO391" i="25"/>
  <c r="AD391" i="25"/>
  <c r="Z391" i="25"/>
  <c r="AO390" i="25"/>
  <c r="AD390" i="25"/>
  <c r="Z390" i="25"/>
  <c r="AO389" i="25"/>
  <c r="AD389" i="25"/>
  <c r="Z389" i="25"/>
  <c r="AB389" i="25" s="1"/>
  <c r="AO388" i="25"/>
  <c r="AN388" i="25"/>
  <c r="AD388" i="25"/>
  <c r="Z388" i="25"/>
  <c r="AO387" i="25"/>
  <c r="AD387" i="25"/>
  <c r="Z387" i="25"/>
  <c r="AO386" i="25"/>
  <c r="AN386" i="25"/>
  <c r="AD386" i="25"/>
  <c r="Z386" i="25"/>
  <c r="AO385" i="25"/>
  <c r="AD385" i="25"/>
  <c r="Z385" i="25"/>
  <c r="AE385" i="25" s="1"/>
  <c r="W384" i="25"/>
  <c r="AO384" i="25" s="1"/>
  <c r="T384" i="25"/>
  <c r="R384" i="25"/>
  <c r="O384" i="25"/>
  <c r="N384" i="25"/>
  <c r="AI383" i="25"/>
  <c r="Z383" i="25"/>
  <c r="AB383" i="25" s="1"/>
  <c r="T383" i="25"/>
  <c r="AL383" i="25" s="1"/>
  <c r="Z382" i="25"/>
  <c r="AA382" i="25" s="1"/>
  <c r="T382" i="25"/>
  <c r="AL382" i="25" s="1"/>
  <c r="AD381" i="25"/>
  <c r="Y381" i="25"/>
  <c r="Y374" i="25" s="1"/>
  <c r="Y371" i="25" s="1"/>
  <c r="AI380" i="25"/>
  <c r="Z380" i="25"/>
  <c r="T380" i="25"/>
  <c r="AD380" i="25" s="1"/>
  <c r="AI379" i="25"/>
  <c r="Z379" i="25"/>
  <c r="T379" i="25"/>
  <c r="AD379" i="25" s="1"/>
  <c r="AL378" i="25"/>
  <c r="AI378" i="25"/>
  <c r="AD378" i="25"/>
  <c r="Z378" i="25"/>
  <c r="AL377" i="25"/>
  <c r="AI377" i="25"/>
  <c r="AD377" i="25"/>
  <c r="Z377" i="25"/>
  <c r="AB377" i="25" s="1"/>
  <c r="AL376" i="25"/>
  <c r="AI376" i="25"/>
  <c r="AD376" i="25"/>
  <c r="Z376" i="25"/>
  <c r="AL375" i="25"/>
  <c r="AI375" i="25"/>
  <c r="AD375" i="25"/>
  <c r="Z375" i="25"/>
  <c r="AB375" i="25" s="1"/>
  <c r="X374" i="25"/>
  <c r="W374" i="25"/>
  <c r="AO374" i="25" s="1"/>
  <c r="S374" i="25"/>
  <c r="R374" i="25"/>
  <c r="Q374" i="25"/>
  <c r="P374" i="25"/>
  <c r="O374" i="25"/>
  <c r="N374" i="25"/>
  <c r="AL373" i="25"/>
  <c r="AD373" i="25"/>
  <c r="Z373" i="25"/>
  <c r="AC373" i="25" s="1"/>
  <c r="AD372" i="25"/>
  <c r="Z372" i="25"/>
  <c r="AB372" i="25" s="1"/>
  <c r="S372" i="25"/>
  <c r="Q372" i="25"/>
  <c r="AL365" i="25"/>
  <c r="AI365" i="25"/>
  <c r="AE365" i="25"/>
  <c r="AD365" i="25"/>
  <c r="AC365" i="25"/>
  <c r="AB365" i="25"/>
  <c r="AA365" i="25"/>
  <c r="P365" i="25"/>
  <c r="H23" i="33" s="1"/>
  <c r="AL364" i="25"/>
  <c r="AI364" i="25"/>
  <c r="AE364" i="25"/>
  <c r="AD364" i="25"/>
  <c r="AC364" i="25"/>
  <c r="AB364" i="25"/>
  <c r="AA364" i="25"/>
  <c r="AL363" i="25"/>
  <c r="AE363" i="25"/>
  <c r="AD363" i="25"/>
  <c r="J21" i="33" s="1"/>
  <c r="AC363" i="25"/>
  <c r="AB363" i="25"/>
  <c r="AA363" i="25"/>
  <c r="Y362" i="25"/>
  <c r="N362" i="25"/>
  <c r="AL361" i="25"/>
  <c r="AI361" i="25"/>
  <c r="AD361" i="25"/>
  <c r="J20" i="33" s="1"/>
  <c r="Z361" i="25"/>
  <c r="W360" i="25"/>
  <c r="U360" i="25"/>
  <c r="T360" i="25"/>
  <c r="S360" i="25"/>
  <c r="R360" i="25"/>
  <c r="Q360" i="25"/>
  <c r="P360" i="25"/>
  <c r="O360" i="25"/>
  <c r="N360" i="25"/>
  <c r="AI359" i="25"/>
  <c r="Z359" i="25"/>
  <c r="AL359" i="25"/>
  <c r="P359" i="25"/>
  <c r="H16" i="33" s="1"/>
  <c r="AP358" i="25"/>
  <c r="AL358" i="25"/>
  <c r="AI358" i="25"/>
  <c r="AD358" i="25"/>
  <c r="J13" i="33" s="1"/>
  <c r="Z358" i="25"/>
  <c r="AC358" i="25" s="1"/>
  <c r="AP357" i="25"/>
  <c r="AL357" i="25"/>
  <c r="AI357" i="25"/>
  <c r="AD357" i="25"/>
  <c r="Z357" i="25"/>
  <c r="S357" i="25"/>
  <c r="U357" i="25" s="1"/>
  <c r="Q357" i="25"/>
  <c r="AP356" i="25"/>
  <c r="AL356" i="25"/>
  <c r="AI356" i="25"/>
  <c r="AD356" i="25"/>
  <c r="Z356" i="25"/>
  <c r="AB356" i="25" s="1"/>
  <c r="S356" i="25"/>
  <c r="Q356" i="25"/>
  <c r="AP355" i="25"/>
  <c r="AL355" i="25"/>
  <c r="AI355" i="25"/>
  <c r="AD355" i="25"/>
  <c r="Z355" i="25"/>
  <c r="U355" i="25"/>
  <c r="Q355" i="25"/>
  <c r="AP354" i="25"/>
  <c r="AL354" i="25"/>
  <c r="AI354" i="25"/>
  <c r="AD354" i="25"/>
  <c r="Z354" i="25"/>
  <c r="U354" i="25"/>
  <c r="S354" i="25"/>
  <c r="AP353" i="25"/>
  <c r="AL353" i="25"/>
  <c r="AD353" i="25"/>
  <c r="Z353" i="25"/>
  <c r="AC353" i="25" s="1"/>
  <c r="AP352" i="25"/>
  <c r="AL352" i="25"/>
  <c r="AI352" i="25"/>
  <c r="AD352" i="25"/>
  <c r="Y352" i="25"/>
  <c r="Y349" i="25" s="1"/>
  <c r="Y348" i="25" s="1"/>
  <c r="U352" i="25"/>
  <c r="Q352" i="25"/>
  <c r="S352" i="25" s="1"/>
  <c r="AP351" i="25"/>
  <c r="AL351" i="25"/>
  <c r="AI351" i="25"/>
  <c r="AD351" i="25"/>
  <c r="J12" i="33" s="1"/>
  <c r="Z351" i="25"/>
  <c r="U351" i="25"/>
  <c r="S351" i="25"/>
  <c r="Q351" i="25"/>
  <c r="AP350" i="25"/>
  <c r="AL350" i="25"/>
  <c r="AI350" i="25"/>
  <c r="AD350" i="25"/>
  <c r="J15" i="33" s="1"/>
  <c r="Z350" i="25"/>
  <c r="AC350" i="25" s="1"/>
  <c r="X349" i="25"/>
  <c r="X348" i="25" s="1"/>
  <c r="W349" i="25"/>
  <c r="R349" i="25"/>
  <c r="O349" i="25"/>
  <c r="N349" i="25"/>
  <c r="AP349" i="25" s="1"/>
  <c r="AD347" i="25"/>
  <c r="AE347" i="25" s="1"/>
  <c r="AG347" i="25" s="1"/>
  <c r="AD346" i="25"/>
  <c r="AE346" i="25" s="1"/>
  <c r="AG346" i="25" s="1"/>
  <c r="AD345" i="25"/>
  <c r="AC344" i="25"/>
  <c r="AA344" i="25"/>
  <c r="P344" i="25"/>
  <c r="N344" i="25"/>
  <c r="AD343" i="25"/>
  <c r="Z343" i="25"/>
  <c r="AB343" i="25" s="1"/>
  <c r="AD342" i="25"/>
  <c r="Z342" i="25"/>
  <c r="Y341" i="25"/>
  <c r="W341" i="25"/>
  <c r="U341" i="25"/>
  <c r="T341" i="25"/>
  <c r="S341" i="25"/>
  <c r="R341" i="25"/>
  <c r="Q341" i="25"/>
  <c r="P341" i="25"/>
  <c r="O341" i="25"/>
  <c r="N341" i="25"/>
  <c r="AD340" i="25"/>
  <c r="AE340" i="25" s="1"/>
  <c r="AG340" i="25" s="1"/>
  <c r="AD338" i="25"/>
  <c r="Z338" i="25"/>
  <c r="U338" i="25"/>
  <c r="S338" i="25"/>
  <c r="Q338" i="25"/>
  <c r="AL337" i="25"/>
  <c r="AI337" i="25"/>
  <c r="AD337" i="25"/>
  <c r="Z337" i="25"/>
  <c r="U337" i="25"/>
  <c r="Q337" i="25"/>
  <c r="AD336" i="25"/>
  <c r="Z336" i="25"/>
  <c r="AB336" i="25" s="1"/>
  <c r="AD335" i="25"/>
  <c r="Z335" i="25"/>
  <c r="AD334" i="25"/>
  <c r="Z334" i="25"/>
  <c r="U334" i="25"/>
  <c r="S334" i="25"/>
  <c r="Q334" i="25"/>
  <c r="AD333" i="25"/>
  <c r="Z333" i="25"/>
  <c r="AB333" i="25" s="1"/>
  <c r="AD332" i="25"/>
  <c r="Z332" i="25"/>
  <c r="U332" i="25"/>
  <c r="S332" i="25"/>
  <c r="Q332" i="25"/>
  <c r="AD331" i="25"/>
  <c r="Z331" i="25"/>
  <c r="AC331" i="25" s="1"/>
  <c r="AD330" i="25"/>
  <c r="Z330" i="25"/>
  <c r="AB330" i="25" s="1"/>
  <c r="U330" i="25"/>
  <c r="S330" i="25"/>
  <c r="Q330" i="25"/>
  <c r="AD329" i="25"/>
  <c r="Z329" i="25"/>
  <c r="AD328" i="25"/>
  <c r="Z328" i="25"/>
  <c r="AD327" i="25"/>
  <c r="Z327" i="25"/>
  <c r="AB327" i="25" s="1"/>
  <c r="U327" i="25"/>
  <c r="S327" i="25"/>
  <c r="Q327" i="25"/>
  <c r="AL326" i="25"/>
  <c r="AI326" i="25"/>
  <c r="AD326" i="25"/>
  <c r="Z326" i="25"/>
  <c r="U326" i="25"/>
  <c r="S326" i="25"/>
  <c r="Q326" i="25"/>
  <c r="AD325" i="25"/>
  <c r="Z325" i="25"/>
  <c r="U325" i="25"/>
  <c r="S325" i="25"/>
  <c r="Q325" i="25"/>
  <c r="AD324" i="25"/>
  <c r="Z324" i="25"/>
  <c r="U324" i="25"/>
  <c r="S324" i="25"/>
  <c r="Q324" i="25"/>
  <c r="AD323" i="25"/>
  <c r="Z323" i="25"/>
  <c r="AD322" i="25"/>
  <c r="Z322" i="25"/>
  <c r="AC322" i="25" s="1"/>
  <c r="AD321" i="25"/>
  <c r="Z321" i="25"/>
  <c r="AB321" i="25" s="1"/>
  <c r="U321" i="25"/>
  <c r="S321" i="25"/>
  <c r="Q321" i="25"/>
  <c r="AD320" i="25"/>
  <c r="Z320" i="25"/>
  <c r="AD319" i="25"/>
  <c r="Z319" i="25"/>
  <c r="AD318" i="25"/>
  <c r="Z318" i="25"/>
  <c r="AD317" i="25"/>
  <c r="Z317" i="25"/>
  <c r="U317" i="25"/>
  <c r="S317" i="25"/>
  <c r="Q317" i="25"/>
  <c r="Y316" i="25"/>
  <c r="W316" i="25"/>
  <c r="AO316" i="25" s="1"/>
  <c r="T316" i="25"/>
  <c r="R316" i="25"/>
  <c r="P316" i="25"/>
  <c r="O316" i="25"/>
  <c r="N316" i="25"/>
  <c r="AL315" i="25"/>
  <c r="AI315" i="25"/>
  <c r="AD315" i="25"/>
  <c r="Z315" i="25"/>
  <c r="AE315" i="25" s="1"/>
  <c r="AL314" i="25"/>
  <c r="AI314" i="25"/>
  <c r="AD314" i="25"/>
  <c r="Z314" i="25"/>
  <c r="AE314" i="25" s="1"/>
  <c r="AD313" i="25"/>
  <c r="Z313" i="25"/>
  <c r="AL312" i="25"/>
  <c r="AI312" i="25"/>
  <c r="AD312" i="25"/>
  <c r="Q312" i="25"/>
  <c r="S312" i="25" s="1"/>
  <c r="Z311" i="25"/>
  <c r="Y310" i="25"/>
  <c r="W310" i="25"/>
  <c r="U310" i="25"/>
  <c r="T310" i="25"/>
  <c r="R310" i="25"/>
  <c r="P310" i="25"/>
  <c r="O310" i="25"/>
  <c r="AD309" i="25"/>
  <c r="Z309" i="25"/>
  <c r="AL308" i="25"/>
  <c r="AH308" i="25"/>
  <c r="AD308" i="25"/>
  <c r="Z308" i="25"/>
  <c r="AB308" i="25" s="1"/>
  <c r="AI307" i="25"/>
  <c r="Z307" i="25"/>
  <c r="T307" i="25"/>
  <c r="AL307" i="25" s="1"/>
  <c r="W306" i="25"/>
  <c r="U306" i="25"/>
  <c r="S306" i="25"/>
  <c r="R306" i="25"/>
  <c r="Q306" i="25"/>
  <c r="P306" i="25"/>
  <c r="O306" i="25"/>
  <c r="N306" i="25"/>
  <c r="Z305" i="25"/>
  <c r="AI294" i="25"/>
  <c r="AD294" i="25"/>
  <c r="Z294" i="25"/>
  <c r="Z293" i="25"/>
  <c r="P293" i="25"/>
  <c r="AI292" i="25"/>
  <c r="AK292" i="25" s="1"/>
  <c r="AD292" i="25"/>
  <c r="Z292" i="25"/>
  <c r="AD291" i="25"/>
  <c r="J13" i="28" s="1"/>
  <c r="Z291" i="25"/>
  <c r="AD289" i="25"/>
  <c r="J12" i="28" s="1"/>
  <c r="Z289" i="25"/>
  <c r="AI288" i="25"/>
  <c r="AJ288" i="25" s="1"/>
  <c r="K16" i="28" s="1"/>
  <c r="AD288" i="25"/>
  <c r="J16" i="28" s="1"/>
  <c r="Z288" i="25"/>
  <c r="AI287" i="25"/>
  <c r="AD287" i="25"/>
  <c r="J17" i="28" s="1"/>
  <c r="Z287" i="25"/>
  <c r="AI286" i="25"/>
  <c r="AJ286" i="25" s="1"/>
  <c r="K15" i="28" s="1"/>
  <c r="Z286" i="25"/>
  <c r="P286" i="25"/>
  <c r="AL285" i="25"/>
  <c r="Z285" i="25"/>
  <c r="AD284" i="25"/>
  <c r="Z284" i="25"/>
  <c r="AI283" i="25"/>
  <c r="AD283" i="25"/>
  <c r="Z283" i="25"/>
  <c r="AC281" i="25"/>
  <c r="AB281" i="25"/>
  <c r="AA281" i="25"/>
  <c r="Y281" i="25"/>
  <c r="X281" i="25"/>
  <c r="W281" i="25"/>
  <c r="V281" i="25"/>
  <c r="U281" i="25"/>
  <c r="T281" i="25"/>
  <c r="S281" i="25"/>
  <c r="R281" i="25"/>
  <c r="Q281" i="25"/>
  <c r="O281" i="25"/>
  <c r="N281" i="25"/>
  <c r="AL280" i="25"/>
  <c r="AI280" i="25"/>
  <c r="AD280" i="25"/>
  <c r="Z280" i="25"/>
  <c r="AI279" i="25"/>
  <c r="AD279" i="25"/>
  <c r="Z279" i="25"/>
  <c r="U279" i="25"/>
  <c r="AL278" i="25"/>
  <c r="AI278" i="25"/>
  <c r="AD278" i="25"/>
  <c r="Z278" i="25"/>
  <c r="AA278" i="25" s="1"/>
  <c r="U278" i="25"/>
  <c r="AL277" i="25"/>
  <c r="AD277" i="25"/>
  <c r="Z277" i="25"/>
  <c r="AC277" i="25" s="1"/>
  <c r="U277" i="25"/>
  <c r="AL276" i="25"/>
  <c r="AD276" i="25"/>
  <c r="U276" i="25"/>
  <c r="AL275" i="25"/>
  <c r="AI275" i="25"/>
  <c r="AD275" i="25"/>
  <c r="Z275" i="25"/>
  <c r="AA275" i="25" s="1"/>
  <c r="U275" i="25"/>
  <c r="Y274" i="25"/>
  <c r="W274" i="25"/>
  <c r="T274" i="25"/>
  <c r="S274" i="25"/>
  <c r="R274" i="25"/>
  <c r="Q274" i="25"/>
  <c r="P274" i="25"/>
  <c r="O274" i="25"/>
  <c r="N274" i="25"/>
  <c r="AD273" i="25"/>
  <c r="Z273" i="25"/>
  <c r="AL272" i="25"/>
  <c r="AI272" i="25"/>
  <c r="AD272" i="25"/>
  <c r="Z272" i="25"/>
  <c r="Y271" i="25"/>
  <c r="W271" i="25"/>
  <c r="U271" i="25"/>
  <c r="T271" i="25"/>
  <c r="S271" i="25"/>
  <c r="R271" i="25"/>
  <c r="Q271" i="25"/>
  <c r="P271" i="25"/>
  <c r="O271" i="25"/>
  <c r="N271" i="25"/>
  <c r="AD270" i="25"/>
  <c r="Z270" i="25"/>
  <c r="AD269" i="25"/>
  <c r="Z269" i="25"/>
  <c r="AC269" i="25" s="1"/>
  <c r="Y268" i="25"/>
  <c r="W268" i="25"/>
  <c r="U268" i="25"/>
  <c r="T268" i="25"/>
  <c r="S268" i="25"/>
  <c r="R268" i="25"/>
  <c r="Q268" i="25"/>
  <c r="P268" i="25"/>
  <c r="O268" i="25"/>
  <c r="N268" i="25"/>
  <c r="Z267" i="25"/>
  <c r="T246" i="25"/>
  <c r="AD246" i="25" s="1"/>
  <c r="T245" i="25"/>
  <c r="AD245" i="25" s="1"/>
  <c r="T244" i="25"/>
  <c r="AD244" i="25" s="1"/>
  <c r="P242" i="25"/>
  <c r="T240" i="25"/>
  <c r="AD240" i="25" s="1"/>
  <c r="T239" i="25"/>
  <c r="AD239" i="25" s="1"/>
  <c r="T238" i="25"/>
  <c r="AD238" i="25" s="1"/>
  <c r="T237" i="25"/>
  <c r="AD237" i="25" s="1"/>
  <c r="J86" i="27" s="1"/>
  <c r="T236" i="25"/>
  <c r="AD236" i="25" s="1"/>
  <c r="T235" i="25"/>
  <c r="AD235" i="25" s="1"/>
  <c r="T234" i="25"/>
  <c r="AD234" i="25" s="1"/>
  <c r="T233" i="25"/>
  <c r="AD233" i="25" s="1"/>
  <c r="J85" i="27" s="1"/>
  <c r="T232" i="25"/>
  <c r="AD232" i="25" s="1"/>
  <c r="T231" i="25"/>
  <c r="AD231" i="25" s="1"/>
  <c r="T230" i="25"/>
  <c r="AD230" i="25" s="1"/>
  <c r="T229" i="25"/>
  <c r="AD229" i="25" s="1"/>
  <c r="J82" i="27" s="1"/>
  <c r="T228" i="25"/>
  <c r="AD228" i="25" s="1"/>
  <c r="T227" i="25"/>
  <c r="AD227" i="25" s="1"/>
  <c r="AE227" i="25" s="1"/>
  <c r="AM227" i="25" s="1"/>
  <c r="T226" i="25"/>
  <c r="AD226" i="25" s="1"/>
  <c r="T225" i="25"/>
  <c r="AD225" i="25" s="1"/>
  <c r="J79" i="27" s="1"/>
  <c r="T223" i="25"/>
  <c r="AD223" i="25" s="1"/>
  <c r="T222" i="25"/>
  <c r="AD222" i="25" s="1"/>
  <c r="J77" i="27" s="1"/>
  <c r="Z221" i="25"/>
  <c r="T221" i="25"/>
  <c r="AD221" i="25" s="1"/>
  <c r="Z220" i="25"/>
  <c r="T220" i="25"/>
  <c r="AD220" i="25" s="1"/>
  <c r="Z219" i="25"/>
  <c r="T219" i="25"/>
  <c r="AD219" i="25" s="1"/>
  <c r="J67" i="27" s="1"/>
  <c r="Z218" i="25"/>
  <c r="T218" i="25"/>
  <c r="AD218" i="25" s="1"/>
  <c r="Z217" i="25"/>
  <c r="T217" i="25"/>
  <c r="AD217" i="25" s="1"/>
  <c r="J56" i="27" s="1"/>
  <c r="Z216" i="25"/>
  <c r="T216" i="25"/>
  <c r="AD216" i="25" s="1"/>
  <c r="Z215" i="25"/>
  <c r="T215" i="25"/>
  <c r="AD215" i="25" s="1"/>
  <c r="J69" i="27" s="1"/>
  <c r="Z214" i="25"/>
  <c r="T214" i="25"/>
  <c r="AD214" i="25" s="1"/>
  <c r="Z213" i="25"/>
  <c r="T213" i="25"/>
  <c r="AD213" i="25" s="1"/>
  <c r="Z212" i="25"/>
  <c r="T212" i="25"/>
  <c r="AD212" i="25" s="1"/>
  <c r="Z211" i="25"/>
  <c r="T211" i="25"/>
  <c r="AD211" i="25" s="1"/>
  <c r="J62" i="27" s="1"/>
  <c r="Z210" i="25"/>
  <c r="T210" i="25"/>
  <c r="AD210" i="25" s="1"/>
  <c r="Z209" i="25"/>
  <c r="T209" i="25"/>
  <c r="AD209" i="25" s="1"/>
  <c r="J66" i="27" s="1"/>
  <c r="Z208" i="25"/>
  <c r="T208" i="25"/>
  <c r="AD208" i="25" s="1"/>
  <c r="Z207" i="25"/>
  <c r="T207" i="25"/>
  <c r="AD207" i="25" s="1"/>
  <c r="J50" i="27" s="1"/>
  <c r="Z206" i="25"/>
  <c r="T206" i="25"/>
  <c r="AD206" i="25" s="1"/>
  <c r="Z205" i="25"/>
  <c r="T205" i="25"/>
  <c r="AD205" i="25" s="1"/>
  <c r="J39" i="27" s="1"/>
  <c r="Z204" i="25"/>
  <c r="T204" i="25"/>
  <c r="AD204" i="25" s="1"/>
  <c r="Z203" i="25"/>
  <c r="T203" i="25"/>
  <c r="AD203" i="25" s="1"/>
  <c r="J49" i="27" s="1"/>
  <c r="AL202" i="25"/>
  <c r="Z202" i="25"/>
  <c r="T202" i="25"/>
  <c r="AD202" i="25" s="1"/>
  <c r="AL201" i="25"/>
  <c r="Z201" i="25"/>
  <c r="T201" i="25"/>
  <c r="AD201" i="25" s="1"/>
  <c r="J60" i="27" s="1"/>
  <c r="AL200" i="25"/>
  <c r="Z200" i="25"/>
  <c r="T200" i="25"/>
  <c r="AD200" i="25" s="1"/>
  <c r="AL199" i="25"/>
  <c r="Z199" i="25"/>
  <c r="T199" i="25"/>
  <c r="AD199" i="25" s="1"/>
  <c r="AL198" i="25"/>
  <c r="Z198" i="25"/>
  <c r="T198" i="25"/>
  <c r="AD198" i="25" s="1"/>
  <c r="AL197" i="25"/>
  <c r="Z197" i="25"/>
  <c r="T197" i="25"/>
  <c r="AD197" i="25" s="1"/>
  <c r="AL196" i="25"/>
  <c r="Z196" i="25"/>
  <c r="T196" i="25"/>
  <c r="AD196" i="25" s="1"/>
  <c r="AL195" i="25"/>
  <c r="Z195" i="25"/>
  <c r="T195" i="25"/>
  <c r="AD195" i="25" s="1"/>
  <c r="AI194" i="25"/>
  <c r="AD194" i="25"/>
  <c r="J33" i="27" s="1"/>
  <c r="Z194" i="25"/>
  <c r="Z193" i="25"/>
  <c r="T193" i="25"/>
  <c r="AD193" i="25" s="1"/>
  <c r="J59" i="27" s="1"/>
  <c r="Z192" i="25"/>
  <c r="T192" i="25"/>
  <c r="AD192" i="25" s="1"/>
  <c r="Z191" i="25"/>
  <c r="Z190" i="25"/>
  <c r="H71" i="27"/>
  <c r="V71" i="27" s="1"/>
  <c r="AL188" i="25"/>
  <c r="Z188" i="25"/>
  <c r="T188" i="25"/>
  <c r="AD188" i="25" s="1"/>
  <c r="AC186" i="25"/>
  <c r="AB186" i="25"/>
  <c r="AA186" i="25"/>
  <c r="Y186" i="25"/>
  <c r="X186" i="25"/>
  <c r="W186" i="25"/>
  <c r="V186" i="25"/>
  <c r="U186" i="25"/>
  <c r="S186" i="25"/>
  <c r="R186" i="25"/>
  <c r="Q186" i="25"/>
  <c r="O186" i="25"/>
  <c r="N186" i="25"/>
  <c r="Z185" i="25"/>
  <c r="Z184" i="25"/>
  <c r="AI183" i="25"/>
  <c r="AK183" i="25" s="1"/>
  <c r="AD183" i="25"/>
  <c r="J30" i="27" s="1"/>
  <c r="Z183" i="25"/>
  <c r="AI182" i="25"/>
  <c r="AD182" i="25"/>
  <c r="J35" i="27" s="1"/>
  <c r="Z182" i="25"/>
  <c r="AD181" i="25"/>
  <c r="Z181" i="25"/>
  <c r="AI180" i="25"/>
  <c r="AD180" i="25"/>
  <c r="J34" i="27" s="1"/>
  <c r="Z180" i="25"/>
  <c r="Z179" i="25"/>
  <c r="P179" i="25"/>
  <c r="H31" i="27" s="1"/>
  <c r="V31" i="27" s="1"/>
  <c r="AI178" i="25"/>
  <c r="AD178" i="25"/>
  <c r="Z178" i="25"/>
  <c r="AI176" i="25"/>
  <c r="AD176" i="25"/>
  <c r="AL176" i="25" s="1"/>
  <c r="Z176" i="25"/>
  <c r="AD174" i="25"/>
  <c r="AI173" i="25"/>
  <c r="AD173" i="25"/>
  <c r="J28" i="27" s="1"/>
  <c r="Z173" i="25"/>
  <c r="AL172" i="25"/>
  <c r="AI172" i="25"/>
  <c r="Z172" i="25"/>
  <c r="AL171" i="25"/>
  <c r="AI171" i="25"/>
  <c r="Z171" i="25"/>
  <c r="AL170" i="25"/>
  <c r="AI170" i="25"/>
  <c r="Z170" i="25"/>
  <c r="AL169" i="25"/>
  <c r="AI169" i="25"/>
  <c r="Z169" i="25"/>
  <c r="AL168" i="25"/>
  <c r="AI168" i="25"/>
  <c r="Z168" i="25"/>
  <c r="AL167" i="25"/>
  <c r="AI167" i="25"/>
  <c r="Z167" i="25"/>
  <c r="AL166" i="25"/>
  <c r="AI166" i="25"/>
  <c r="Z166" i="25"/>
  <c r="AL165" i="25"/>
  <c r="AI165" i="25"/>
  <c r="Z165" i="25"/>
  <c r="AL164" i="25"/>
  <c r="AI164" i="25"/>
  <c r="Z164" i="25"/>
  <c r="P164" i="25"/>
  <c r="H25" i="27" s="1"/>
  <c r="V25" i="27" s="1"/>
  <c r="AL163" i="25"/>
  <c r="AG163" i="25"/>
  <c r="Z163" i="25"/>
  <c r="AL162" i="25"/>
  <c r="AI162" i="25"/>
  <c r="Z162" i="25"/>
  <c r="AL161" i="25"/>
  <c r="AI161" i="25"/>
  <c r="Z161" i="25"/>
  <c r="AL160" i="25"/>
  <c r="AI160" i="25"/>
  <c r="Z160" i="25"/>
  <c r="P160" i="25"/>
  <c r="AL159" i="25"/>
  <c r="AG159" i="25"/>
  <c r="Z159" i="25"/>
  <c r="AL158" i="25"/>
  <c r="AG158" i="25"/>
  <c r="Z158" i="25"/>
  <c r="AL157" i="25"/>
  <c r="AG157" i="25"/>
  <c r="Z157" i="25"/>
  <c r="AC155" i="25"/>
  <c r="AB155" i="25"/>
  <c r="AA155" i="25"/>
  <c r="Y155" i="25"/>
  <c r="X155" i="25"/>
  <c r="W155" i="25"/>
  <c r="V155" i="25"/>
  <c r="U155" i="25"/>
  <c r="T155" i="25"/>
  <c r="S155" i="25"/>
  <c r="R155" i="25"/>
  <c r="Q155" i="25"/>
  <c r="O155" i="25"/>
  <c r="N155" i="25"/>
  <c r="AL154" i="25"/>
  <c r="AI154" i="25"/>
  <c r="AD154" i="25"/>
  <c r="Z154" i="25"/>
  <c r="U154" i="25"/>
  <c r="AL153" i="25"/>
  <c r="AI153" i="25"/>
  <c r="AD153" i="25"/>
  <c r="Z153" i="25"/>
  <c r="AC153" i="25" s="1"/>
  <c r="U153" i="25"/>
  <c r="AL152" i="25"/>
  <c r="AI152" i="25"/>
  <c r="AD152" i="25"/>
  <c r="Z152" i="25"/>
  <c r="AA152" i="25" s="1"/>
  <c r="U152" i="25"/>
  <c r="AL151" i="25"/>
  <c r="AI151" i="25"/>
  <c r="AD151" i="25"/>
  <c r="Z151" i="25"/>
  <c r="U151" i="25"/>
  <c r="AL150" i="25"/>
  <c r="AI150" i="25"/>
  <c r="AD150" i="25"/>
  <c r="Z150" i="25"/>
  <c r="U150" i="25"/>
  <c r="AL149" i="25"/>
  <c r="AD149" i="25"/>
  <c r="Z149" i="25"/>
  <c r="AC149" i="25" s="1"/>
  <c r="U149" i="25"/>
  <c r="AL148" i="25"/>
  <c r="AI148" i="25"/>
  <c r="AD148" i="25"/>
  <c r="Z148" i="25"/>
  <c r="U148" i="25"/>
  <c r="AL147" i="25"/>
  <c r="AI147" i="25"/>
  <c r="AD147" i="25"/>
  <c r="Z147" i="25"/>
  <c r="U147" i="25"/>
  <c r="AL146" i="25"/>
  <c r="AI146" i="25"/>
  <c r="AD146" i="25"/>
  <c r="Z146" i="25"/>
  <c r="U146" i="25"/>
  <c r="AL145" i="25"/>
  <c r="AD145" i="25"/>
  <c r="Z145" i="25"/>
  <c r="AC145" i="25" s="1"/>
  <c r="U145" i="25"/>
  <c r="AL144" i="25"/>
  <c r="AI144" i="25"/>
  <c r="AD144" i="25"/>
  <c r="Z144" i="25"/>
  <c r="U144" i="25"/>
  <c r="AL143" i="25"/>
  <c r="AI143" i="25"/>
  <c r="AD143" i="25"/>
  <c r="Z143" i="25"/>
  <c r="U143" i="25"/>
  <c r="AL142" i="25"/>
  <c r="AI142" i="25"/>
  <c r="AD142" i="25"/>
  <c r="Z142" i="25"/>
  <c r="U142" i="25"/>
  <c r="AL141" i="25"/>
  <c r="AD141" i="25"/>
  <c r="Z141" i="25"/>
  <c r="AC141" i="25" s="1"/>
  <c r="U141" i="25"/>
  <c r="AL140" i="25"/>
  <c r="AI140" i="25"/>
  <c r="AD140" i="25"/>
  <c r="Z140" i="25"/>
  <c r="U140" i="25"/>
  <c r="AL139" i="25"/>
  <c r="AI139" i="25"/>
  <c r="AD139" i="25"/>
  <c r="Z139" i="25"/>
  <c r="AA139" i="25" s="1"/>
  <c r="U139" i="25"/>
  <c r="AL138" i="25"/>
  <c r="AI138" i="25"/>
  <c r="AD138" i="25"/>
  <c r="Z138" i="25"/>
  <c r="AC138" i="25" s="1"/>
  <c r="U138" i="25"/>
  <c r="AL137" i="25"/>
  <c r="AI137" i="25"/>
  <c r="AD137" i="25"/>
  <c r="Z137" i="25"/>
  <c r="U137" i="25"/>
  <c r="AL136" i="25"/>
  <c r="AI136" i="25"/>
  <c r="AD136" i="25"/>
  <c r="Z136" i="25"/>
  <c r="AC136" i="25" s="1"/>
  <c r="U136" i="25"/>
  <c r="AL135" i="25"/>
  <c r="AI135" i="25"/>
  <c r="AD135" i="25"/>
  <c r="Z135" i="25"/>
  <c r="U135" i="25"/>
  <c r="AL134" i="25"/>
  <c r="AI134" i="25"/>
  <c r="AD134" i="25"/>
  <c r="Z134" i="25"/>
  <c r="U134" i="25"/>
  <c r="AL133" i="25"/>
  <c r="AI133" i="25"/>
  <c r="AD133" i="25"/>
  <c r="Z133" i="25"/>
  <c r="U133" i="25"/>
  <c r="AL132" i="25"/>
  <c r="AD132" i="25"/>
  <c r="Z132" i="25"/>
  <c r="AC132" i="25" s="1"/>
  <c r="U132" i="25"/>
  <c r="AL131" i="25"/>
  <c r="AI131" i="25"/>
  <c r="AD131" i="25"/>
  <c r="Z131" i="25"/>
  <c r="U131" i="25"/>
  <c r="AL130" i="25"/>
  <c r="AI130" i="25"/>
  <c r="AD130" i="25"/>
  <c r="Z130" i="25"/>
  <c r="U130" i="25"/>
  <c r="AL129" i="25"/>
  <c r="AI129" i="25"/>
  <c r="AD129" i="25"/>
  <c r="Z129" i="25"/>
  <c r="U129" i="25"/>
  <c r="AL128" i="25"/>
  <c r="AD128" i="25"/>
  <c r="Z128" i="25"/>
  <c r="U128" i="25"/>
  <c r="AL127" i="25"/>
  <c r="AI127" i="25"/>
  <c r="AD127" i="25"/>
  <c r="Z127" i="25"/>
  <c r="U127" i="25"/>
  <c r="AD126" i="25"/>
  <c r="Z126" i="25"/>
  <c r="U126" i="25"/>
  <c r="AL125" i="25"/>
  <c r="AI125" i="25"/>
  <c r="AD125" i="25"/>
  <c r="Z125" i="25"/>
  <c r="U125" i="25"/>
  <c r="AL124" i="25"/>
  <c r="AI124" i="25"/>
  <c r="AD124" i="25"/>
  <c r="Z124" i="25"/>
  <c r="U124" i="25"/>
  <c r="AD123" i="25"/>
  <c r="Z123" i="25"/>
  <c r="U123" i="25"/>
  <c r="AL122" i="25"/>
  <c r="AI122" i="25"/>
  <c r="AD122" i="25"/>
  <c r="Z122" i="25"/>
  <c r="AC122" i="25" s="1"/>
  <c r="U122" i="25"/>
  <c r="AL121" i="25"/>
  <c r="AI121" i="25"/>
  <c r="AD121" i="25"/>
  <c r="Z121" i="25"/>
  <c r="U121" i="25"/>
  <c r="AL120" i="25"/>
  <c r="AI120" i="25"/>
  <c r="AD120" i="25"/>
  <c r="Z120" i="25"/>
  <c r="U120" i="25"/>
  <c r="Y119" i="25"/>
  <c r="T119" i="25"/>
  <c r="S119" i="25"/>
  <c r="R119" i="25"/>
  <c r="Q119" i="25"/>
  <c r="P119" i="25"/>
  <c r="O119" i="25"/>
  <c r="N119" i="25"/>
  <c r="AL118" i="25"/>
  <c r="AI118" i="25"/>
  <c r="AD118" i="25"/>
  <c r="Z118" i="25"/>
  <c r="AL117" i="25"/>
  <c r="AH117" i="25"/>
  <c r="AD117" i="25"/>
  <c r="Z117" i="25"/>
  <c r="AC117" i="25" s="1"/>
  <c r="AL116" i="25"/>
  <c r="AI116" i="25"/>
  <c r="AD116" i="25"/>
  <c r="Z116" i="25"/>
  <c r="AL115" i="25"/>
  <c r="AI115" i="25"/>
  <c r="AD115" i="25"/>
  <c r="Z115" i="25"/>
  <c r="AC115" i="25" s="1"/>
  <c r="AL114" i="25"/>
  <c r="AI114" i="25"/>
  <c r="AD114" i="25"/>
  <c r="Z114" i="25"/>
  <c r="AL113" i="25"/>
  <c r="AH113" i="25"/>
  <c r="AD113" i="25"/>
  <c r="Z113" i="25"/>
  <c r="AL112" i="25"/>
  <c r="AI112" i="25"/>
  <c r="AD112" i="25"/>
  <c r="Z112" i="25"/>
  <c r="AL111" i="25"/>
  <c r="AI111" i="25"/>
  <c r="AD111" i="25"/>
  <c r="Z111" i="25"/>
  <c r="AL110" i="25"/>
  <c r="AI110" i="25"/>
  <c r="AD110" i="25"/>
  <c r="Z110" i="25"/>
  <c r="AL109" i="25"/>
  <c r="AI109" i="25"/>
  <c r="AD109" i="25"/>
  <c r="Z109" i="25"/>
  <c r="AL108" i="25"/>
  <c r="AI108" i="25"/>
  <c r="AD108" i="25"/>
  <c r="Z108" i="25"/>
  <c r="AL107" i="25"/>
  <c r="AI107" i="25"/>
  <c r="AD107" i="25"/>
  <c r="Z107" i="25"/>
  <c r="AA107" i="25" s="1"/>
  <c r="AL106" i="25"/>
  <c r="AI106" i="25"/>
  <c r="AD106" i="25"/>
  <c r="Z106" i="25"/>
  <c r="AL105" i="25"/>
  <c r="AI105" i="25"/>
  <c r="AD105" i="25"/>
  <c r="Z105" i="25"/>
  <c r="AE105" i="25" s="1"/>
  <c r="AL104" i="25"/>
  <c r="AI104" i="25"/>
  <c r="AD104" i="25"/>
  <c r="Z104" i="25"/>
  <c r="AL103" i="25"/>
  <c r="AI103" i="25"/>
  <c r="AD103" i="25"/>
  <c r="Z103" i="25"/>
  <c r="AA103" i="25" s="1"/>
  <c r="AL102" i="25"/>
  <c r="AI102" i="25"/>
  <c r="AD102" i="25"/>
  <c r="Z102" i="25"/>
  <c r="AL101" i="25"/>
  <c r="AI101" i="25"/>
  <c r="AD101" i="25"/>
  <c r="Z101" i="25"/>
  <c r="AA101" i="25" s="1"/>
  <c r="AL100" i="25"/>
  <c r="AI100" i="25"/>
  <c r="AD100" i="25"/>
  <c r="Z100" i="25"/>
  <c r="AL99" i="25"/>
  <c r="AI99" i="25"/>
  <c r="AD99" i="25"/>
  <c r="Z99" i="25"/>
  <c r="AA99" i="25" s="1"/>
  <c r="AL98" i="25"/>
  <c r="AI98" i="25"/>
  <c r="AD98" i="25"/>
  <c r="Z98" i="25"/>
  <c r="AL97" i="25"/>
  <c r="AI97" i="25"/>
  <c r="AD97" i="25"/>
  <c r="Z97" i="25"/>
  <c r="AE97" i="25" s="1"/>
  <c r="AD96" i="25"/>
  <c r="Z96" i="25"/>
  <c r="AL95" i="25"/>
  <c r="AD95" i="25"/>
  <c r="Z95" i="25"/>
  <c r="AL94" i="25"/>
  <c r="AI94" i="25"/>
  <c r="AD94" i="25"/>
  <c r="Z94" i="25"/>
  <c r="AL93" i="25"/>
  <c r="AD93" i="25"/>
  <c r="Z93" i="25"/>
  <c r="AB93" i="25" s="1"/>
  <c r="AL92" i="25"/>
  <c r="AI92" i="25"/>
  <c r="AD92" i="25"/>
  <c r="Z92" i="25"/>
  <c r="AE92" i="25" s="1"/>
  <c r="AL91" i="25"/>
  <c r="AI91" i="25"/>
  <c r="AD91" i="25"/>
  <c r="Z91" i="25"/>
  <c r="AB91" i="25" s="1"/>
  <c r="AL90" i="25"/>
  <c r="AI90" i="25"/>
  <c r="AD90" i="25"/>
  <c r="Z90" i="25"/>
  <c r="AL89" i="25"/>
  <c r="AI89" i="25"/>
  <c r="AD89" i="25"/>
  <c r="Z89" i="25"/>
  <c r="AC89" i="25" s="1"/>
  <c r="AL88" i="25"/>
  <c r="AI88" i="25"/>
  <c r="AD88" i="25"/>
  <c r="Z88" i="25"/>
  <c r="AE88" i="25" s="1"/>
  <c r="AL87" i="25"/>
  <c r="AI87" i="25"/>
  <c r="AD87" i="25"/>
  <c r="Z87" i="25"/>
  <c r="AB87" i="25" s="1"/>
  <c r="AL86" i="25"/>
  <c r="AI86" i="25"/>
  <c r="AD86" i="25"/>
  <c r="Z86" i="25"/>
  <c r="AL85" i="25"/>
  <c r="AI85" i="25"/>
  <c r="AD85" i="25"/>
  <c r="Z85" i="25"/>
  <c r="AC85" i="25" s="1"/>
  <c r="AL84" i="25"/>
  <c r="AI84" i="25"/>
  <c r="AD84" i="25"/>
  <c r="Z84" i="25"/>
  <c r="AE84" i="25" s="1"/>
  <c r="AL83" i="25"/>
  <c r="AI83" i="25"/>
  <c r="AD83" i="25"/>
  <c r="Z83" i="25"/>
  <c r="AB83" i="25" s="1"/>
  <c r="AL82" i="25"/>
  <c r="AI82" i="25"/>
  <c r="AD82" i="25"/>
  <c r="Z82" i="25"/>
  <c r="AL81" i="25"/>
  <c r="AI81" i="25"/>
  <c r="AD81" i="25"/>
  <c r="Z81" i="25"/>
  <c r="AC81" i="25" s="1"/>
  <c r="AL80" i="25"/>
  <c r="AI80" i="25"/>
  <c r="AD80" i="25"/>
  <c r="Z80" i="25"/>
  <c r="AE80" i="25" s="1"/>
  <c r="AL79" i="25"/>
  <c r="AI79" i="25"/>
  <c r="AD79" i="25"/>
  <c r="Z79" i="25"/>
  <c r="AE79" i="25" s="1"/>
  <c r="AD78" i="25"/>
  <c r="Z78" i="25"/>
  <c r="AL77" i="25"/>
  <c r="AD77" i="25"/>
  <c r="Z77" i="25"/>
  <c r="S77" i="25"/>
  <c r="AL76" i="25"/>
  <c r="AI76" i="25"/>
  <c r="AD76" i="25"/>
  <c r="Z76" i="25"/>
  <c r="AB76" i="25" s="1"/>
  <c r="AD75" i="25"/>
  <c r="Z75" i="25"/>
  <c r="AC75" i="25" s="1"/>
  <c r="AL74" i="25"/>
  <c r="AI74" i="25"/>
  <c r="AD74" i="25"/>
  <c r="Z74" i="25"/>
  <c r="AL73" i="25"/>
  <c r="AI73" i="25"/>
  <c r="AD73" i="25"/>
  <c r="Z73" i="25"/>
  <c r="AD72" i="25"/>
  <c r="Z72" i="25"/>
  <c r="AE72" i="25" s="1"/>
  <c r="Z71" i="25"/>
  <c r="U71" i="25"/>
  <c r="T71" i="25"/>
  <c r="S71" i="25"/>
  <c r="R71" i="25"/>
  <c r="Q71" i="25"/>
  <c r="P71" i="25"/>
  <c r="O71" i="25"/>
  <c r="N71" i="25"/>
  <c r="AD70" i="25"/>
  <c r="Z70" i="25"/>
  <c r="AD69" i="25"/>
  <c r="Z69" i="25"/>
  <c r="AB69" i="25" s="1"/>
  <c r="AD68" i="25"/>
  <c r="Z68" i="25"/>
  <c r="AE68" i="25" s="1"/>
  <c r="AD67" i="25"/>
  <c r="Z67" i="25"/>
  <c r="AD66" i="25"/>
  <c r="Z66" i="25"/>
  <c r="AD65" i="25"/>
  <c r="Z65" i="25"/>
  <c r="AB65" i="25" s="1"/>
  <c r="AD64" i="25"/>
  <c r="Z64" i="25"/>
  <c r="AD63" i="25"/>
  <c r="Z63" i="25"/>
  <c r="AD62" i="25"/>
  <c r="Z62" i="25"/>
  <c r="AD61" i="25"/>
  <c r="Z61" i="25"/>
  <c r="AB61" i="25" s="1"/>
  <c r="AD60" i="25"/>
  <c r="Z60" i="25"/>
  <c r="AD59" i="25"/>
  <c r="Z59" i="25"/>
  <c r="AD58" i="25"/>
  <c r="Z58" i="25"/>
  <c r="AD57" i="25"/>
  <c r="Z57" i="25"/>
  <c r="AD56" i="25"/>
  <c r="Z56" i="25"/>
  <c r="AE56" i="25" s="1"/>
  <c r="AD55" i="25"/>
  <c r="Z55" i="25"/>
  <c r="AD54" i="25"/>
  <c r="Z54" i="25"/>
  <c r="AD53" i="25"/>
  <c r="Z53" i="25"/>
  <c r="AD52" i="25"/>
  <c r="Z52" i="25"/>
  <c r="AE52" i="25" s="1"/>
  <c r="AD51" i="25"/>
  <c r="Z51" i="25"/>
  <c r="AD50" i="25"/>
  <c r="Z50" i="25"/>
  <c r="AD49" i="25"/>
  <c r="Z49" i="25"/>
  <c r="AO48" i="25"/>
  <c r="AD48" i="25"/>
  <c r="Z48" i="25"/>
  <c r="Q48" i="25"/>
  <c r="Q34" i="25" s="1"/>
  <c r="AO47" i="25"/>
  <c r="AD47" i="25"/>
  <c r="Z47" i="25"/>
  <c r="AD46" i="25"/>
  <c r="Z46" i="25"/>
  <c r="AD45" i="25"/>
  <c r="Z45" i="25"/>
  <c r="AD44" i="25"/>
  <c r="Z44" i="25"/>
  <c r="AD43" i="25"/>
  <c r="Z43" i="25"/>
  <c r="AD42" i="25"/>
  <c r="Z42" i="25"/>
  <c r="AD41" i="25"/>
  <c r="Z41" i="25"/>
  <c r="AD40" i="25"/>
  <c r="Z40" i="25"/>
  <c r="AD39" i="25"/>
  <c r="Z39" i="25"/>
  <c r="AD38" i="25"/>
  <c r="Z38" i="25"/>
  <c r="AD37" i="25"/>
  <c r="Z37" i="25"/>
  <c r="AD36" i="25"/>
  <c r="Z36" i="25"/>
  <c r="AD35" i="25"/>
  <c r="Z35" i="25"/>
  <c r="AC35" i="25" s="1"/>
  <c r="AN34" i="25"/>
  <c r="Y34" i="25"/>
  <c r="W34" i="25"/>
  <c r="W33" i="25" s="1"/>
  <c r="U34" i="25"/>
  <c r="T34" i="25"/>
  <c r="S34" i="25"/>
  <c r="R34" i="25"/>
  <c r="P34" i="25"/>
  <c r="O34" i="25"/>
  <c r="N34" i="25"/>
  <c r="AD29" i="25"/>
  <c r="AD28" i="25"/>
  <c r="AI26" i="25"/>
  <c r="AD26" i="25"/>
  <c r="I12" i="26" s="1"/>
  <c r="Z26" i="25"/>
  <c r="AI25" i="25"/>
  <c r="AK25" i="25" s="1"/>
  <c r="AD25" i="25"/>
  <c r="AL25" i="25" s="1"/>
  <c r="Z25" i="25"/>
  <c r="AI24" i="25"/>
  <c r="AD24" i="25"/>
  <c r="I13" i="26" s="1"/>
  <c r="Z24" i="25"/>
  <c r="AC23" i="25"/>
  <c r="AA23" i="25"/>
  <c r="Z23" i="25"/>
  <c r="P23" i="25"/>
  <c r="N23" i="25"/>
  <c r="AL22" i="25"/>
  <c r="AI22" i="25"/>
  <c r="AD22" i="25"/>
  <c r="U22" i="25"/>
  <c r="U12" i="25" s="1"/>
  <c r="AL21" i="25"/>
  <c r="AI21" i="25"/>
  <c r="AD21" i="25"/>
  <c r="Z21" i="25"/>
  <c r="AL20" i="25"/>
  <c r="AI20" i="25"/>
  <c r="AD20" i="25"/>
  <c r="Z20" i="25"/>
  <c r="AL19" i="25"/>
  <c r="AI19" i="25"/>
  <c r="AD19" i="25"/>
  <c r="Z19" i="25"/>
  <c r="AD18" i="25"/>
  <c r="Z18" i="25"/>
  <c r="AC18" i="25" s="1"/>
  <c r="AL17" i="25"/>
  <c r="AD17" i="25"/>
  <c r="Z17" i="25"/>
  <c r="AD16" i="25"/>
  <c r="V16" i="25"/>
  <c r="Z16" i="25" s="1"/>
  <c r="AD15" i="25"/>
  <c r="Z15" i="25"/>
  <c r="AC15" i="25" s="1"/>
  <c r="AD14" i="25"/>
  <c r="Z14" i="25"/>
  <c r="W12" i="25"/>
  <c r="T12" i="25"/>
  <c r="S12" i="25"/>
  <c r="R12" i="25"/>
  <c r="Q12" i="25"/>
  <c r="P12" i="25"/>
  <c r="O12" i="25"/>
  <c r="N12" i="25"/>
  <c r="AN7" i="25"/>
  <c r="J13" i="36" l="1"/>
  <c r="I13" i="36"/>
  <c r="J55" i="36"/>
  <c r="I55" i="36"/>
  <c r="J20" i="36"/>
  <c r="I20" i="36"/>
  <c r="J36" i="36"/>
  <c r="I36" i="36"/>
  <c r="J46" i="36"/>
  <c r="I46" i="36"/>
  <c r="J60" i="36"/>
  <c r="I60" i="36"/>
  <c r="J45" i="36"/>
  <c r="I45" i="36"/>
  <c r="I115" i="36"/>
  <c r="I118" i="36"/>
  <c r="I123" i="36"/>
  <c r="J11" i="36"/>
  <c r="I11" i="36"/>
  <c r="J25" i="36"/>
  <c r="I25" i="36"/>
  <c r="J14" i="36"/>
  <c r="I14" i="36"/>
  <c r="J42" i="36"/>
  <c r="I42" i="36"/>
  <c r="J47" i="36"/>
  <c r="I47" i="36"/>
  <c r="J59" i="36"/>
  <c r="I59" i="36"/>
  <c r="J40" i="36"/>
  <c r="I40" i="36"/>
  <c r="J38" i="36"/>
  <c r="I38" i="36"/>
  <c r="I116" i="36"/>
  <c r="I119" i="36"/>
  <c r="I122" i="36"/>
  <c r="J50" i="36"/>
  <c r="I50" i="36"/>
  <c r="J51" i="36"/>
  <c r="I51" i="36"/>
  <c r="AL546" i="25"/>
  <c r="I71" i="36"/>
  <c r="AL550" i="25"/>
  <c r="I72" i="36"/>
  <c r="I114" i="36"/>
  <c r="I138" i="36"/>
  <c r="I120" i="36"/>
  <c r="I121" i="36"/>
  <c r="J12" i="36"/>
  <c r="I12" i="36"/>
  <c r="J27" i="36"/>
  <c r="I27" i="36"/>
  <c r="J17" i="36"/>
  <c r="I17" i="36"/>
  <c r="J48" i="36"/>
  <c r="I48" i="36"/>
  <c r="J43" i="36"/>
  <c r="I43" i="36"/>
  <c r="J41" i="36"/>
  <c r="I41" i="36"/>
  <c r="J34" i="36"/>
  <c r="I34" i="36"/>
  <c r="J30" i="36"/>
  <c r="I30" i="36"/>
  <c r="J56" i="36"/>
  <c r="I56" i="36"/>
  <c r="J29" i="36"/>
  <c r="I29" i="36"/>
  <c r="AL539" i="25"/>
  <c r="I87" i="36"/>
  <c r="AE559" i="25"/>
  <c r="J88" i="36" s="1"/>
  <c r="I88" i="36"/>
  <c r="AE563" i="25"/>
  <c r="J77" i="36" s="1"/>
  <c r="I77" i="36"/>
  <c r="AE567" i="25"/>
  <c r="J70" i="36" s="1"/>
  <c r="I70" i="36"/>
  <c r="AE571" i="25"/>
  <c r="J78" i="36" s="1"/>
  <c r="I78" i="36"/>
  <c r="AE575" i="25"/>
  <c r="I112" i="36"/>
  <c r="V16" i="36"/>
  <c r="V35" i="36"/>
  <c r="V31" i="36"/>
  <c r="V52" i="36"/>
  <c r="M52" i="36"/>
  <c r="V18" i="36"/>
  <c r="V33" i="36"/>
  <c r="V26" i="36"/>
  <c r="V57" i="36"/>
  <c r="M57" i="36"/>
  <c r="V61" i="36"/>
  <c r="M61" i="36"/>
  <c r="V10" i="26"/>
  <c r="C9" i="30" s="1"/>
  <c r="H21" i="27"/>
  <c r="U440" i="25"/>
  <c r="AJ365" i="25"/>
  <c r="Q384" i="25"/>
  <c r="M71" i="27"/>
  <c r="J14" i="33"/>
  <c r="J18" i="33"/>
  <c r="J17" i="33"/>
  <c r="AC351" i="25"/>
  <c r="AK351" i="25" s="1"/>
  <c r="K12" i="33" s="1"/>
  <c r="N12" i="33" s="1"/>
  <c r="H11" i="33"/>
  <c r="I92" i="27"/>
  <c r="J92" i="27"/>
  <c r="AB354" i="25"/>
  <c r="AC354" i="25"/>
  <c r="AK354" i="25" s="1"/>
  <c r="K18" i="33" s="1"/>
  <c r="N18" i="33" s="1"/>
  <c r="AA338" i="25"/>
  <c r="AA522" i="25"/>
  <c r="N33" i="25"/>
  <c r="P460" i="25"/>
  <c r="P531" i="25"/>
  <c r="I38" i="27"/>
  <c r="J38" i="27"/>
  <c r="I18" i="28"/>
  <c r="J18" i="28"/>
  <c r="I22" i="33"/>
  <c r="J22" i="33"/>
  <c r="I23" i="33"/>
  <c r="J23" i="33"/>
  <c r="AE518" i="25"/>
  <c r="I29" i="27"/>
  <c r="J29" i="27"/>
  <c r="I48" i="27"/>
  <c r="J48" i="27"/>
  <c r="I11" i="28"/>
  <c r="J11" i="28"/>
  <c r="U382" i="25"/>
  <c r="AE382" i="25" s="1"/>
  <c r="AC459" i="25"/>
  <c r="AD467" i="25"/>
  <c r="AE492" i="25"/>
  <c r="I36" i="27"/>
  <c r="J36" i="27"/>
  <c r="S33" i="25"/>
  <c r="Y33" i="25"/>
  <c r="AE176" i="25"/>
  <c r="I32" i="27"/>
  <c r="J32" i="27"/>
  <c r="I19" i="33"/>
  <c r="J19" i="33"/>
  <c r="U384" i="25"/>
  <c r="N459" i="25"/>
  <c r="AE479" i="25"/>
  <c r="AE486" i="25"/>
  <c r="AE213" i="25"/>
  <c r="J55" i="27"/>
  <c r="AL231" i="25"/>
  <c r="J80" i="27"/>
  <c r="I87" i="27"/>
  <c r="J87" i="27"/>
  <c r="I53" i="27"/>
  <c r="J53" i="27"/>
  <c r="AE199" i="25"/>
  <c r="J52" i="27"/>
  <c r="I64" i="27"/>
  <c r="J64" i="27"/>
  <c r="I73" i="27"/>
  <c r="J73" i="27"/>
  <c r="I78" i="27"/>
  <c r="J78" i="27"/>
  <c r="I89" i="27"/>
  <c r="J89" i="27"/>
  <c r="I84" i="27"/>
  <c r="J84" i="27"/>
  <c r="AL239" i="25"/>
  <c r="J40" i="27"/>
  <c r="Z186" i="25"/>
  <c r="I37" i="27"/>
  <c r="J37" i="27"/>
  <c r="I65" i="27"/>
  <c r="J65" i="27"/>
  <c r="I54" i="27"/>
  <c r="J54" i="27"/>
  <c r="I70" i="27"/>
  <c r="J70" i="27"/>
  <c r="I61" i="27"/>
  <c r="J61" i="27"/>
  <c r="I51" i="27"/>
  <c r="J51" i="27"/>
  <c r="I68" i="27"/>
  <c r="J68" i="27"/>
  <c r="I63" i="27"/>
  <c r="J63" i="27"/>
  <c r="I75" i="27"/>
  <c r="J75" i="27"/>
  <c r="I88" i="27"/>
  <c r="J88" i="27"/>
  <c r="I72" i="27"/>
  <c r="J72" i="27"/>
  <c r="I58" i="27"/>
  <c r="J58" i="27"/>
  <c r="I74" i="27"/>
  <c r="J74" i="27"/>
  <c r="AE221" i="25"/>
  <c r="AM221" i="25" s="1"/>
  <c r="J76" i="27"/>
  <c r="I81" i="27"/>
  <c r="J81" i="27"/>
  <c r="I83" i="27"/>
  <c r="J83" i="27"/>
  <c r="I90" i="27"/>
  <c r="J90" i="27"/>
  <c r="H10" i="26"/>
  <c r="G10" i="26"/>
  <c r="AE581" i="25"/>
  <c r="I60" i="27"/>
  <c r="AM201" i="25"/>
  <c r="AE201" i="25"/>
  <c r="AE593" i="25"/>
  <c r="AE597" i="25"/>
  <c r="AE601" i="25"/>
  <c r="AD34" i="25"/>
  <c r="Z155" i="25"/>
  <c r="AE197" i="25"/>
  <c r="T241" i="25"/>
  <c r="AD241" i="25" s="1"/>
  <c r="S316" i="25"/>
  <c r="T349" i="25"/>
  <c r="T348" i="25" s="1"/>
  <c r="AC405" i="25"/>
  <c r="AD511" i="25"/>
  <c r="AL511" i="25" s="1"/>
  <c r="N522" i="25"/>
  <c r="AL584" i="25"/>
  <c r="O348" i="25"/>
  <c r="AA405" i="25"/>
  <c r="AE405" i="25"/>
  <c r="AE579" i="25"/>
  <c r="J113" i="36" s="1"/>
  <c r="AE585" i="25"/>
  <c r="T306" i="25"/>
  <c r="Q349" i="25"/>
  <c r="Q348" i="25" s="1"/>
  <c r="AA362" i="25"/>
  <c r="U379" i="25"/>
  <c r="AC382" i="25"/>
  <c r="P384" i="25"/>
  <c r="AD471" i="25"/>
  <c r="AL477" i="25"/>
  <c r="AE589" i="25"/>
  <c r="O33" i="25"/>
  <c r="R33" i="25"/>
  <c r="P33" i="25"/>
  <c r="I15" i="33"/>
  <c r="AG518" i="25"/>
  <c r="AJ101" i="25"/>
  <c r="AJ103" i="25"/>
  <c r="AM105" i="25"/>
  <c r="T267" i="25"/>
  <c r="AI157" i="25"/>
  <c r="AK157" i="25" s="1"/>
  <c r="AI158" i="25"/>
  <c r="AK158" i="25" s="1"/>
  <c r="AI159" i="25"/>
  <c r="AK159" i="25" s="1"/>
  <c r="H10" i="33"/>
  <c r="AL284" i="25"/>
  <c r="AD344" i="25"/>
  <c r="AE351" i="25"/>
  <c r="AE362" i="25"/>
  <c r="K23" i="33"/>
  <c r="N23" i="33" s="1"/>
  <c r="U383" i="25"/>
  <c r="AE383" i="25" s="1"/>
  <c r="AD473" i="25"/>
  <c r="AL485" i="25"/>
  <c r="AL489" i="25"/>
  <c r="AD500" i="25"/>
  <c r="AD506" i="25"/>
  <c r="AL506" i="25" s="1"/>
  <c r="T33" i="25"/>
  <c r="AE284" i="25"/>
  <c r="Q310" i="25"/>
  <c r="P349" i="25"/>
  <c r="P348" i="25" s="1"/>
  <c r="W348" i="25"/>
  <c r="S349" i="25"/>
  <c r="S348" i="25" s="1"/>
  <c r="AD359" i="25"/>
  <c r="P362" i="25"/>
  <c r="AG363" i="25"/>
  <c r="AC383" i="25"/>
  <c r="AB438" i="25"/>
  <c r="AD469" i="25"/>
  <c r="P475" i="25"/>
  <c r="P459" i="25" s="1"/>
  <c r="AE485" i="25"/>
  <c r="AE489" i="25"/>
  <c r="AD490" i="25"/>
  <c r="AL520" i="25"/>
  <c r="AC522" i="25"/>
  <c r="AD268" i="25"/>
  <c r="Q316" i="25"/>
  <c r="AC324" i="25"/>
  <c r="AL519" i="25"/>
  <c r="AL207" i="25"/>
  <c r="I50" i="27"/>
  <c r="AE207" i="25"/>
  <c r="AL211" i="25"/>
  <c r="I62" i="27"/>
  <c r="AE211" i="25"/>
  <c r="AL225" i="25"/>
  <c r="I79" i="27"/>
  <c r="AL215" i="25"/>
  <c r="I69" i="27"/>
  <c r="AE215" i="25"/>
  <c r="AE222" i="25"/>
  <c r="I77" i="27"/>
  <c r="AL222" i="25"/>
  <c r="AL203" i="25"/>
  <c r="I49" i="27"/>
  <c r="AE203" i="25"/>
  <c r="AL237" i="25"/>
  <c r="I86" i="27"/>
  <c r="AK89" i="25"/>
  <c r="AE99" i="25"/>
  <c r="AM99" i="25" s="1"/>
  <c r="AF12" i="25"/>
  <c r="AL24" i="25"/>
  <c r="AE26" i="25"/>
  <c r="J12" i="26" s="1"/>
  <c r="AL29" i="25"/>
  <c r="Q33" i="25"/>
  <c r="AI113" i="25"/>
  <c r="AE125" i="25"/>
  <c r="AE127" i="25"/>
  <c r="AE131" i="25"/>
  <c r="AE135" i="25"/>
  <c r="P155" i="25"/>
  <c r="AE174" i="25"/>
  <c r="AL178" i="25"/>
  <c r="AL182" i="25"/>
  <c r="I35" i="27"/>
  <c r="T190" i="25"/>
  <c r="AD190" i="25" s="1"/>
  <c r="AM195" i="25"/>
  <c r="AM197" i="25"/>
  <c r="AL209" i="25"/>
  <c r="I66" i="27"/>
  <c r="T242" i="25"/>
  <c r="AD242" i="25" s="1"/>
  <c r="AL530" i="25"/>
  <c r="AL535" i="25"/>
  <c r="AE173" i="25"/>
  <c r="I28" i="27"/>
  <c r="AE181" i="25"/>
  <c r="AG181" i="25" s="1"/>
  <c r="AL193" i="25"/>
  <c r="I59" i="27"/>
  <c r="AL194" i="25"/>
  <c r="I33" i="27"/>
  <c r="AL205" i="25"/>
  <c r="I39" i="27"/>
  <c r="AL217" i="25"/>
  <c r="I56" i="27"/>
  <c r="AL219" i="25"/>
  <c r="I67" i="27"/>
  <c r="AE219" i="25"/>
  <c r="AL229" i="25"/>
  <c r="I82" i="27"/>
  <c r="AE235" i="25"/>
  <c r="AM235" i="25" s="1"/>
  <c r="AL235" i="25"/>
  <c r="AE246" i="25"/>
  <c r="AL246" i="25"/>
  <c r="AE288" i="25"/>
  <c r="I16" i="28"/>
  <c r="AL289" i="25"/>
  <c r="I12" i="28"/>
  <c r="AD293" i="25"/>
  <c r="H19" i="28"/>
  <c r="W19" i="28" s="1"/>
  <c r="AL525" i="25"/>
  <c r="AE525" i="25"/>
  <c r="J67" i="36" s="1"/>
  <c r="AE24" i="25"/>
  <c r="AE25" i="25"/>
  <c r="J11" i="26" s="1"/>
  <c r="I11" i="26"/>
  <c r="AL26" i="25"/>
  <c r="AD71" i="25"/>
  <c r="AE140" i="25"/>
  <c r="AL174" i="25"/>
  <c r="AE178" i="25"/>
  <c r="AL180" i="25"/>
  <c r="I34" i="27"/>
  <c r="AL190" i="25"/>
  <c r="AE193" i="25"/>
  <c r="AE195" i="25"/>
  <c r="I52" i="27"/>
  <c r="AM199" i="25"/>
  <c r="AE205" i="25"/>
  <c r="AE209" i="25"/>
  <c r="AL213" i="25"/>
  <c r="I55" i="27"/>
  <c r="AL227" i="25"/>
  <c r="AL233" i="25"/>
  <c r="I85" i="27"/>
  <c r="AL244" i="25"/>
  <c r="O267" i="25"/>
  <c r="O7" i="25" s="1"/>
  <c r="S267" i="25"/>
  <c r="Q267" i="25"/>
  <c r="AD274" i="25"/>
  <c r="P281" i="25"/>
  <c r="P267" i="25" s="1"/>
  <c r="AD286" i="25"/>
  <c r="J15" i="28" s="1"/>
  <c r="H15" i="28"/>
  <c r="W15" i="28" s="1"/>
  <c r="AD23" i="25"/>
  <c r="AD12" i="25" s="1"/>
  <c r="AL28" i="25"/>
  <c r="I14" i="26"/>
  <c r="AD119" i="25"/>
  <c r="AD179" i="25"/>
  <c r="J31" i="27" s="1"/>
  <c r="AE183" i="25"/>
  <c r="I30" i="27"/>
  <c r="P186" i="25"/>
  <c r="H57" i="27"/>
  <c r="V57" i="27" s="1"/>
  <c r="AM213" i="25"/>
  <c r="AE217" i="25"/>
  <c r="AL221" i="25"/>
  <c r="I76" i="27"/>
  <c r="AE231" i="25"/>
  <c r="I80" i="27"/>
  <c r="AE239" i="25"/>
  <c r="I40" i="27"/>
  <c r="AL288" i="25"/>
  <c r="AL292" i="25"/>
  <c r="AE292" i="25"/>
  <c r="N310" i="25"/>
  <c r="AD362" i="25"/>
  <c r="I21" i="33"/>
  <c r="AG382" i="25"/>
  <c r="AE462" i="25"/>
  <c r="AE466" i="25"/>
  <c r="AL467" i="25"/>
  <c r="AL471" i="25"/>
  <c r="AL482" i="25"/>
  <c r="AE488" i="25"/>
  <c r="AL490" i="25"/>
  <c r="AD493" i="25"/>
  <c r="H24" i="36"/>
  <c r="V24" i="36" s="1"/>
  <c r="AL497" i="25"/>
  <c r="AL500" i="25"/>
  <c r="AE503" i="25"/>
  <c r="AL503" i="25"/>
  <c r="AE510" i="25"/>
  <c r="AL513" i="25"/>
  <c r="AD515" i="25"/>
  <c r="H28" i="36"/>
  <c r="AL534" i="25"/>
  <c r="AL543" i="25"/>
  <c r="AE546" i="25"/>
  <c r="J71" i="36" s="1"/>
  <c r="AL552" i="25"/>
  <c r="AE557" i="25"/>
  <c r="J82" i="36" s="1"/>
  <c r="AL559" i="25"/>
  <c r="AE561" i="25"/>
  <c r="J91" i="36" s="1"/>
  <c r="AL563" i="25"/>
  <c r="AE565" i="25"/>
  <c r="J85" i="36" s="1"/>
  <c r="AL567" i="25"/>
  <c r="AE569" i="25"/>
  <c r="AL571" i="25"/>
  <c r="AE573" i="25"/>
  <c r="AL575" i="25"/>
  <c r="AL581" i="25"/>
  <c r="AE583" i="25"/>
  <c r="J116" i="36" s="1"/>
  <c r="AL585" i="25"/>
  <c r="AE587" i="25"/>
  <c r="AL589" i="25"/>
  <c r="AE591" i="25"/>
  <c r="AL593" i="25"/>
  <c r="AE595" i="25"/>
  <c r="AL597" i="25"/>
  <c r="AE599" i="25"/>
  <c r="AL601" i="25"/>
  <c r="AE291" i="25"/>
  <c r="I13" i="28"/>
  <c r="AA324" i="25"/>
  <c r="Z352" i="25"/>
  <c r="AM364" i="25"/>
  <c r="AM365" i="25"/>
  <c r="AD383" i="25"/>
  <c r="S408" i="25"/>
  <c r="Z431" i="25"/>
  <c r="AE431" i="25" s="1"/>
  <c r="AL437" i="25"/>
  <c r="AC438" i="25"/>
  <c r="AD440" i="25"/>
  <c r="AG462" i="25"/>
  <c r="AL463" i="25"/>
  <c r="AE465" i="25"/>
  <c r="AE467" i="25"/>
  <c r="AD470" i="25"/>
  <c r="H22" i="36"/>
  <c r="AE471" i="25"/>
  <c r="AG471" i="25" s="1"/>
  <c r="AD474" i="25"/>
  <c r="H21" i="36"/>
  <c r="V21" i="36" s="1"/>
  <c r="AL478" i="25"/>
  <c r="AE481" i="25"/>
  <c r="AE482" i="25"/>
  <c r="AE484" i="25"/>
  <c r="AE490" i="25"/>
  <c r="AL492" i="25"/>
  <c r="AE496" i="25"/>
  <c r="AE497" i="25"/>
  <c r="AD499" i="25"/>
  <c r="H44" i="36"/>
  <c r="AE500" i="25"/>
  <c r="AL502" i="25"/>
  <c r="AD505" i="25"/>
  <c r="H39" i="36"/>
  <c r="AE506" i="25"/>
  <c r="AL509" i="25"/>
  <c r="AE511" i="25"/>
  <c r="AL514" i="25"/>
  <c r="AL518" i="25"/>
  <c r="AE533" i="25"/>
  <c r="J99" i="36" s="1"/>
  <c r="AL537" i="25"/>
  <c r="AE542" i="25"/>
  <c r="AL548" i="25"/>
  <c r="AL558" i="25"/>
  <c r="AM559" i="25"/>
  <c r="AL562" i="25"/>
  <c r="AM563" i="25"/>
  <c r="AL566" i="25"/>
  <c r="AM567" i="25"/>
  <c r="AL570" i="25"/>
  <c r="AM571" i="25"/>
  <c r="AL574" i="25"/>
  <c r="AL580" i="25"/>
  <c r="AM581" i="25"/>
  <c r="AM585" i="25"/>
  <c r="AL588" i="25"/>
  <c r="AM589" i="25"/>
  <c r="AL592" i="25"/>
  <c r="AM593" i="25"/>
  <c r="AL596" i="25"/>
  <c r="AM597" i="25"/>
  <c r="AL600" i="25"/>
  <c r="AM601" i="25"/>
  <c r="AE324" i="25"/>
  <c r="AL464" i="25"/>
  <c r="AL466" i="25"/>
  <c r="AL469" i="25"/>
  <c r="AL473" i="25"/>
  <c r="AE480" i="25"/>
  <c r="AL487" i="25"/>
  <c r="AD495" i="25"/>
  <c r="H58" i="36"/>
  <c r="AE502" i="25"/>
  <c r="AD504" i="25"/>
  <c r="AD508" i="25"/>
  <c r="AL510" i="25"/>
  <c r="AE513" i="25"/>
  <c r="AE514" i="25"/>
  <c r="AG514" i="25" s="1"/>
  <c r="AL517" i="25"/>
  <c r="AL521" i="25"/>
  <c r="T528" i="25"/>
  <c r="AD528" i="25" s="1"/>
  <c r="I65" i="36" s="1"/>
  <c r="H65" i="36"/>
  <c r="AL533" i="25"/>
  <c r="AL540" i="25"/>
  <c r="AL542" i="25"/>
  <c r="AE545" i="25"/>
  <c r="J93" i="36" s="1"/>
  <c r="AL551" i="25"/>
  <c r="AE554" i="25"/>
  <c r="J89" i="36" s="1"/>
  <c r="AE558" i="25"/>
  <c r="J83" i="36" s="1"/>
  <c r="AE562" i="25"/>
  <c r="J69" i="36" s="1"/>
  <c r="AE566" i="25"/>
  <c r="J102" i="36" s="1"/>
  <c r="AE570" i="25"/>
  <c r="J105" i="36" s="1"/>
  <c r="AE574" i="25"/>
  <c r="AE580" i="25"/>
  <c r="AE584" i="25"/>
  <c r="AE588" i="25"/>
  <c r="AE592" i="25"/>
  <c r="AE596" i="25"/>
  <c r="AE600" i="25"/>
  <c r="N267" i="25"/>
  <c r="R267" i="25"/>
  <c r="AD271" i="25"/>
  <c r="AL287" i="25"/>
  <c r="I17" i="28"/>
  <c r="AD307" i="25"/>
  <c r="AD310" i="25"/>
  <c r="AD316" i="25"/>
  <c r="AD341" i="25"/>
  <c r="R348" i="25"/>
  <c r="AD349" i="25"/>
  <c r="AD360" i="25"/>
  <c r="W371" i="25"/>
  <c r="W7" i="25" s="1"/>
  <c r="AD371" i="25"/>
  <c r="AD382" i="25"/>
  <c r="AI429" i="25"/>
  <c r="AA438" i="25"/>
  <c r="AJ438" i="25" s="1"/>
  <c r="AC452" i="25"/>
  <c r="AL461" i="25"/>
  <c r="AE463" i="25"/>
  <c r="AL465" i="25"/>
  <c r="AD468" i="25"/>
  <c r="H15" i="36"/>
  <c r="AE469" i="25"/>
  <c r="AD472" i="25"/>
  <c r="H23" i="36"/>
  <c r="AE473" i="25"/>
  <c r="AL479" i="25"/>
  <c r="AL481" i="25"/>
  <c r="AL483" i="25"/>
  <c r="AL486" i="25"/>
  <c r="AD491" i="25"/>
  <c r="H53" i="36"/>
  <c r="AD494" i="25"/>
  <c r="AL496" i="25"/>
  <c r="AL498" i="25"/>
  <c r="AD501" i="25"/>
  <c r="H37" i="36"/>
  <c r="AD507" i="25"/>
  <c r="H54" i="36"/>
  <c r="AD512" i="25"/>
  <c r="H32" i="36"/>
  <c r="AD516" i="25"/>
  <c r="AE519" i="25"/>
  <c r="AE520" i="25"/>
  <c r="AG520" i="25" s="1"/>
  <c r="AE521" i="25"/>
  <c r="AL536" i="25"/>
  <c r="AE539" i="25"/>
  <c r="J87" i="36" s="1"/>
  <c r="AL545" i="25"/>
  <c r="AL547" i="25"/>
  <c r="AE550" i="25"/>
  <c r="J72" i="36" s="1"/>
  <c r="AL554" i="25"/>
  <c r="AB48" i="25"/>
  <c r="AA48" i="25"/>
  <c r="AJ107" i="25"/>
  <c r="AK85" i="25"/>
  <c r="AM97" i="25"/>
  <c r="AE103" i="25"/>
  <c r="AM103" i="25" s="1"/>
  <c r="AG178" i="25"/>
  <c r="AI291" i="25"/>
  <c r="AJ291" i="25" s="1"/>
  <c r="K13" i="28" s="1"/>
  <c r="Z306" i="25"/>
  <c r="AK358" i="25"/>
  <c r="AK481" i="25"/>
  <c r="AJ99" i="25"/>
  <c r="AE107" i="25"/>
  <c r="AM107" i="25" s="1"/>
  <c r="AK153" i="25"/>
  <c r="AC422" i="25"/>
  <c r="AA422" i="25"/>
  <c r="AC407" i="25"/>
  <c r="AB407" i="25"/>
  <c r="AA75" i="25"/>
  <c r="AA97" i="25"/>
  <c r="AJ97" i="25" s="1"/>
  <c r="AK81" i="25"/>
  <c r="AM92" i="25"/>
  <c r="AB138" i="25"/>
  <c r="AE149" i="25"/>
  <c r="V274" i="25"/>
  <c r="AA327" i="25"/>
  <c r="AE332" i="25"/>
  <c r="AE334" i="25"/>
  <c r="AA337" i="25"/>
  <c r="AJ337" i="25" s="1"/>
  <c r="AE338" i="25"/>
  <c r="AJ364" i="25"/>
  <c r="K22" i="33" s="1"/>
  <c r="N22" i="33" s="1"/>
  <c r="AK365" i="25"/>
  <c r="L23" i="33" s="1"/>
  <c r="O23" i="33" s="1"/>
  <c r="AG365" i="25"/>
  <c r="AE379" i="25"/>
  <c r="AG379" i="25" s="1"/>
  <c r="U380" i="25"/>
  <c r="AE380" i="25" s="1"/>
  <c r="AG380" i="25" s="1"/>
  <c r="AM88" i="25"/>
  <c r="AE147" i="25"/>
  <c r="AG147" i="25" s="1"/>
  <c r="AE325" i="25"/>
  <c r="L11" i="26"/>
  <c r="AK122" i="25"/>
  <c r="AE145" i="25"/>
  <c r="AG145" i="25" s="1"/>
  <c r="AJ152" i="25"/>
  <c r="V268" i="25"/>
  <c r="AE327" i="25"/>
  <c r="AK364" i="25"/>
  <c r="AG364" i="25"/>
  <c r="AA434" i="25"/>
  <c r="AJ434" i="25" s="1"/>
  <c r="AC458" i="25"/>
  <c r="AM481" i="25"/>
  <c r="AM485" i="25"/>
  <c r="AB75" i="25"/>
  <c r="AA138" i="25"/>
  <c r="AJ138" i="25" s="1"/>
  <c r="AM140" i="25"/>
  <c r="AE151" i="25"/>
  <c r="AG151" i="25" s="1"/>
  <c r="AI163" i="25"/>
  <c r="AM163" i="25" s="1"/>
  <c r="AI179" i="25"/>
  <c r="AK179" i="25" s="1"/>
  <c r="AB338" i="25"/>
  <c r="V374" i="25"/>
  <c r="V371" i="25" s="1"/>
  <c r="AK451" i="25"/>
  <c r="L12" i="36" s="1"/>
  <c r="M12" i="36" s="1"/>
  <c r="AI462" i="25"/>
  <c r="AG488" i="25"/>
  <c r="AB57" i="25"/>
  <c r="AA57" i="25"/>
  <c r="AE57" i="25"/>
  <c r="AC66" i="25"/>
  <c r="AB66" i="25"/>
  <c r="AA66" i="25"/>
  <c r="AE66" i="25"/>
  <c r="AE82" i="25"/>
  <c r="AM82" i="25" s="1"/>
  <c r="AA82" i="25"/>
  <c r="AJ82" i="25" s="1"/>
  <c r="AC50" i="25"/>
  <c r="AA50" i="25"/>
  <c r="AE50" i="25"/>
  <c r="AB50" i="25"/>
  <c r="AC54" i="25"/>
  <c r="AA54" i="25"/>
  <c r="AE54" i="25"/>
  <c r="AB54" i="25"/>
  <c r="AC78" i="25"/>
  <c r="AB78" i="25"/>
  <c r="AA78" i="25"/>
  <c r="AB53" i="25"/>
  <c r="AA53" i="25"/>
  <c r="AE53" i="25"/>
  <c r="AC39" i="25"/>
  <c r="AE39" i="25"/>
  <c r="AB39" i="25"/>
  <c r="AA39" i="25"/>
  <c r="AB73" i="25"/>
  <c r="AA73" i="25"/>
  <c r="AJ73" i="25" s="1"/>
  <c r="AE73" i="25"/>
  <c r="AM73" i="25" s="1"/>
  <c r="AB49" i="25"/>
  <c r="AA49" i="25"/>
  <c r="AE49" i="25"/>
  <c r="AA65" i="25"/>
  <c r="AA69" i="25"/>
  <c r="AC124" i="25"/>
  <c r="AB124" i="25"/>
  <c r="AE124" i="25"/>
  <c r="AC442" i="25"/>
  <c r="AE442" i="25"/>
  <c r="Z440" i="25"/>
  <c r="AB442" i="25"/>
  <c r="AA442" i="25"/>
  <c r="AC445" i="25"/>
  <c r="AK445" i="25" s="1"/>
  <c r="AE445" i="25"/>
  <c r="AG445" i="25" s="1"/>
  <c r="AA445" i="25"/>
  <c r="AJ445" i="25" s="1"/>
  <c r="AA61" i="25"/>
  <c r="AB89" i="25"/>
  <c r="AA105" i="25"/>
  <c r="AJ105" i="25" s="1"/>
  <c r="AE109" i="25"/>
  <c r="AM109" i="25" s="1"/>
  <c r="AA109" i="25"/>
  <c r="AJ109" i="25" s="1"/>
  <c r="AK115" i="25"/>
  <c r="AA124" i="25"/>
  <c r="AJ124" i="25" s="1"/>
  <c r="AC128" i="25"/>
  <c r="AE128" i="25"/>
  <c r="AA128" i="25"/>
  <c r="AC133" i="25"/>
  <c r="AK133" i="25" s="1"/>
  <c r="AB133" i="25"/>
  <c r="AA133" i="25"/>
  <c r="AJ133" i="25" s="1"/>
  <c r="AC328" i="25"/>
  <c r="AE328" i="25"/>
  <c r="AA328" i="25"/>
  <c r="AC359" i="25"/>
  <c r="AK359" i="25" s="1"/>
  <c r="AA359" i="25"/>
  <c r="AJ359" i="25" s="1"/>
  <c r="AC394" i="25"/>
  <c r="AB394" i="25"/>
  <c r="AK465" i="25"/>
  <c r="L27" i="36" s="1"/>
  <c r="AJ465" i="25"/>
  <c r="K27" i="36" s="1"/>
  <c r="AE48" i="25"/>
  <c r="AE65" i="25"/>
  <c r="AE69" i="25"/>
  <c r="AC77" i="25"/>
  <c r="AM84" i="25"/>
  <c r="AE101" i="25"/>
  <c r="AM101" i="25" s="1"/>
  <c r="V119" i="25"/>
  <c r="Z119" i="25" s="1"/>
  <c r="AC129" i="25"/>
  <c r="AK129" i="25" s="1"/>
  <c r="AB129" i="25"/>
  <c r="AK287" i="25"/>
  <c r="AJ287" i="25"/>
  <c r="K17" i="28" s="1"/>
  <c r="AC319" i="25"/>
  <c r="AE319" i="25"/>
  <c r="AA319" i="25"/>
  <c r="AB326" i="25"/>
  <c r="AA326" i="25"/>
  <c r="AJ326" i="25" s="1"/>
  <c r="AE326" i="25"/>
  <c r="AM326" i="25" s="1"/>
  <c r="AA386" i="25"/>
  <c r="AE386" i="25"/>
  <c r="AE61" i="25"/>
  <c r="AA129" i="25"/>
  <c r="AJ129" i="25" s="1"/>
  <c r="AC137" i="25"/>
  <c r="AK137" i="25" s="1"/>
  <c r="AB137" i="25"/>
  <c r="AA137" i="25"/>
  <c r="AJ137" i="25" s="1"/>
  <c r="AK178" i="25"/>
  <c r="L32" i="27" s="1"/>
  <c r="AJ178" i="25"/>
  <c r="K32" i="27" s="1"/>
  <c r="AK136" i="25"/>
  <c r="AE141" i="25"/>
  <c r="AB141" i="25"/>
  <c r="AE152" i="25"/>
  <c r="AG152" i="25" s="1"/>
  <c r="AE153" i="25"/>
  <c r="AG153" i="25" s="1"/>
  <c r="AI174" i="25"/>
  <c r="AM174" i="25" s="1"/>
  <c r="AM183" i="25"/>
  <c r="AE275" i="25"/>
  <c r="AG275" i="25" s="1"/>
  <c r="AE277" i="25"/>
  <c r="AJ278" i="25"/>
  <c r="AK286" i="25"/>
  <c r="L15" i="28" s="1"/>
  <c r="AE352" i="25"/>
  <c r="AG352" i="25" s="1"/>
  <c r="AC356" i="25"/>
  <c r="AK356" i="25" s="1"/>
  <c r="AE356" i="25"/>
  <c r="AI363" i="25"/>
  <c r="AM363" i="25" s="1"/>
  <c r="Z381" i="25"/>
  <c r="AB381" i="25" s="1"/>
  <c r="AE407" i="25"/>
  <c r="AC420" i="25"/>
  <c r="AK420" i="25" s="1"/>
  <c r="V440" i="25"/>
  <c r="AK448" i="25"/>
  <c r="L13" i="36" s="1"/>
  <c r="M13" i="36" s="1"/>
  <c r="AM463" i="25"/>
  <c r="AK463" i="25"/>
  <c r="L17" i="36" s="1"/>
  <c r="M17" i="36" s="1"/>
  <c r="AM477" i="25"/>
  <c r="AG490" i="25"/>
  <c r="AJ500" i="25"/>
  <c r="K61" i="36" s="1"/>
  <c r="AI521" i="25"/>
  <c r="AK521" i="25" s="1"/>
  <c r="L38" i="36" s="1"/>
  <c r="M38" i="36" s="1"/>
  <c r="AI128" i="25"/>
  <c r="AA132" i="25"/>
  <c r="AI132" i="25"/>
  <c r="AK132" i="25" s="1"/>
  <c r="AA136" i="25"/>
  <c r="AJ136" i="25" s="1"/>
  <c r="AK138" i="25"/>
  <c r="AE138" i="25"/>
  <c r="AG138" i="25" s="1"/>
  <c r="AA140" i="25"/>
  <c r="AJ140" i="25" s="1"/>
  <c r="AB145" i="25"/>
  <c r="AB149" i="25"/>
  <c r="AF155" i="25"/>
  <c r="AG160" i="25"/>
  <c r="AG161" i="25"/>
  <c r="AG162" i="25"/>
  <c r="AG176" i="25"/>
  <c r="AB269" i="25"/>
  <c r="AM292" i="25"/>
  <c r="AA322" i="25"/>
  <c r="AA330" i="25"/>
  <c r="AA331" i="25"/>
  <c r="AC338" i="25"/>
  <c r="AE350" i="25"/>
  <c r="AM350" i="25" s="1"/>
  <c r="AE353" i="25"/>
  <c r="V360" i="25"/>
  <c r="Z360" i="25" s="1"/>
  <c r="AA373" i="25"/>
  <c r="AI373" i="25"/>
  <c r="AK373" i="25" s="1"/>
  <c r="AL380" i="25"/>
  <c r="AI382" i="25"/>
  <c r="AK382" i="25" s="1"/>
  <c r="AB393" i="25"/>
  <c r="AA407" i="25"/>
  <c r="AA415" i="25"/>
  <c r="AI415" i="25"/>
  <c r="AK415" i="25" s="1"/>
  <c r="AE423" i="25"/>
  <c r="AA424" i="25"/>
  <c r="AE425" i="25"/>
  <c r="AK438" i="25"/>
  <c r="AG438" i="25"/>
  <c r="AM465" i="25"/>
  <c r="AG484" i="25"/>
  <c r="AG500" i="25"/>
  <c r="AM178" i="25"/>
  <c r="AC326" i="25"/>
  <c r="AK326" i="25" s="1"/>
  <c r="AA352" i="25"/>
  <c r="AJ352" i="25" s="1"/>
  <c r="AA372" i="25"/>
  <c r="AA408" i="25"/>
  <c r="AK454" i="25"/>
  <c r="AK477" i="25"/>
  <c r="AJ479" i="25"/>
  <c r="AJ487" i="25"/>
  <c r="K43" i="36" s="1"/>
  <c r="AM511" i="25"/>
  <c r="AM519" i="25"/>
  <c r="AI117" i="25"/>
  <c r="AK117" i="25" s="1"/>
  <c r="AE129" i="25"/>
  <c r="AG129" i="25" s="1"/>
  <c r="AE130" i="25"/>
  <c r="AM130" i="25" s="1"/>
  <c r="AE132" i="25"/>
  <c r="AE133" i="25"/>
  <c r="AM133" i="25" s="1"/>
  <c r="AE134" i="25"/>
  <c r="AG134" i="25" s="1"/>
  <c r="AE136" i="25"/>
  <c r="AG136" i="25" s="1"/>
  <c r="AE137" i="25"/>
  <c r="AM137" i="25" s="1"/>
  <c r="AB139" i="25"/>
  <c r="AA141" i="25"/>
  <c r="AB153" i="25"/>
  <c r="AI181" i="25"/>
  <c r="AK181" i="25" s="1"/>
  <c r="AB275" i="25"/>
  <c r="AB277" i="25"/>
  <c r="AJ292" i="25"/>
  <c r="V310" i="25"/>
  <c r="AE321" i="25"/>
  <c r="AE322" i="25"/>
  <c r="AE330" i="25"/>
  <c r="AE331" i="25"/>
  <c r="AE337" i="25"/>
  <c r="AM337" i="25" s="1"/>
  <c r="AA350" i="25"/>
  <c r="AJ350" i="25" s="1"/>
  <c r="K15" i="33" s="1"/>
  <c r="N15" i="33" s="1"/>
  <c r="AA353" i="25"/>
  <c r="AI353" i="25"/>
  <c r="AK353" i="25" s="1"/>
  <c r="AA356" i="25"/>
  <c r="AJ356" i="25" s="1"/>
  <c r="AE357" i="25"/>
  <c r="AM357" i="25" s="1"/>
  <c r="AE373" i="25"/>
  <c r="AB395" i="25"/>
  <c r="AC408" i="25"/>
  <c r="AE415" i="25"/>
  <c r="AE422" i="25"/>
  <c r="AA423" i="25"/>
  <c r="AE424" i="25"/>
  <c r="AA425" i="25"/>
  <c r="AB432" i="25"/>
  <c r="AM479" i="25"/>
  <c r="AJ494" i="25"/>
  <c r="K57" i="36" s="1"/>
  <c r="AB20" i="25"/>
  <c r="AE20" i="25"/>
  <c r="AA20" i="25"/>
  <c r="AJ20" i="25" s="1"/>
  <c r="AC20" i="25"/>
  <c r="AK20" i="25" s="1"/>
  <c r="AC21" i="25"/>
  <c r="AK21" i="25" s="1"/>
  <c r="AB21" i="25"/>
  <c r="AE21" i="25"/>
  <c r="AA21" i="25"/>
  <c r="AJ21" i="25" s="1"/>
  <c r="AE37" i="25"/>
  <c r="AA37" i="25"/>
  <c r="AB37" i="25"/>
  <c r="AC37" i="25"/>
  <c r="AE45" i="25"/>
  <c r="AA45" i="25"/>
  <c r="AC45" i="25"/>
  <c r="AB45" i="25"/>
  <c r="AB14" i="25"/>
  <c r="AA14" i="25"/>
  <c r="AE14" i="25"/>
  <c r="AC14" i="25"/>
  <c r="AJ24" i="25"/>
  <c r="AK24" i="25"/>
  <c r="AC51" i="25"/>
  <c r="AB51" i="25"/>
  <c r="AE51" i="25"/>
  <c r="AA51" i="25"/>
  <c r="AC55" i="25"/>
  <c r="AB55" i="25"/>
  <c r="AE55" i="25"/>
  <c r="AA55" i="25"/>
  <c r="AC59" i="25"/>
  <c r="AB59" i="25"/>
  <c r="AE59" i="25"/>
  <c r="AA59" i="25"/>
  <c r="AC70" i="25"/>
  <c r="AB70" i="25"/>
  <c r="AE70" i="25"/>
  <c r="AA70" i="25"/>
  <c r="AC19" i="25"/>
  <c r="AK19" i="25" s="1"/>
  <c r="AB19" i="25"/>
  <c r="AE19" i="25"/>
  <c r="AM19" i="25" s="1"/>
  <c r="AA19" i="25"/>
  <c r="AJ19" i="25" s="1"/>
  <c r="AE60" i="25"/>
  <c r="AA60" i="25"/>
  <c r="AC60" i="25"/>
  <c r="AB60" i="25"/>
  <c r="AC74" i="25"/>
  <c r="AK74" i="25" s="1"/>
  <c r="AB74" i="25"/>
  <c r="AE74" i="25"/>
  <c r="AM74" i="25" s="1"/>
  <c r="AA74" i="25"/>
  <c r="AJ74" i="25" s="1"/>
  <c r="AE17" i="25"/>
  <c r="AG17" i="25" s="1"/>
  <c r="AA17" i="25"/>
  <c r="AC17" i="25"/>
  <c r="AB17" i="25"/>
  <c r="AG25" i="25"/>
  <c r="AM25" i="25"/>
  <c r="AC43" i="25"/>
  <c r="AB43" i="25"/>
  <c r="AE43" i="25"/>
  <c r="AA43" i="25"/>
  <c r="AC47" i="25"/>
  <c r="AB47" i="25"/>
  <c r="AE47" i="25"/>
  <c r="AA47" i="25"/>
  <c r="AG80" i="25"/>
  <c r="AM80" i="25"/>
  <c r="AC16" i="25"/>
  <c r="AB16" i="25"/>
  <c r="AE16" i="25"/>
  <c r="AA16" i="25"/>
  <c r="AM26" i="25"/>
  <c r="AE36" i="25"/>
  <c r="AA36" i="25"/>
  <c r="Z34" i="25"/>
  <c r="AC36" i="25"/>
  <c r="AB36" i="25"/>
  <c r="AB38" i="25"/>
  <c r="AE38" i="25"/>
  <c r="AA38" i="25"/>
  <c r="AC38" i="25"/>
  <c r="AC40" i="25"/>
  <c r="AB40" i="25"/>
  <c r="AE40" i="25"/>
  <c r="AA40" i="25"/>
  <c r="AB42" i="25"/>
  <c r="AE42" i="25"/>
  <c r="AA42" i="25"/>
  <c r="AC42" i="25"/>
  <c r="AC44" i="25"/>
  <c r="AB44" i="25"/>
  <c r="AE44" i="25"/>
  <c r="AA44" i="25"/>
  <c r="AB46" i="25"/>
  <c r="AE46" i="25"/>
  <c r="AA46" i="25"/>
  <c r="AC46" i="25"/>
  <c r="AC62" i="25"/>
  <c r="AB62" i="25"/>
  <c r="AE62" i="25"/>
  <c r="AA62" i="25"/>
  <c r="AE64" i="25"/>
  <c r="AA64" i="25"/>
  <c r="AC64" i="25"/>
  <c r="AB64" i="25"/>
  <c r="AC67" i="25"/>
  <c r="AB67" i="25"/>
  <c r="AE67" i="25"/>
  <c r="AA67" i="25"/>
  <c r="AJ26" i="25"/>
  <c r="AK26" i="25"/>
  <c r="AC58" i="25"/>
  <c r="AB58" i="25"/>
  <c r="AE58" i="25"/>
  <c r="AA58" i="25"/>
  <c r="AM79" i="25"/>
  <c r="AG79" i="25"/>
  <c r="AE41" i="25"/>
  <c r="AA41" i="25"/>
  <c r="AC41" i="25"/>
  <c r="AB41" i="25"/>
  <c r="AC63" i="25"/>
  <c r="AB63" i="25"/>
  <c r="AE63" i="25"/>
  <c r="AA63" i="25"/>
  <c r="AC48" i="25"/>
  <c r="AC49" i="25"/>
  <c r="AB52" i="25"/>
  <c r="AC53" i="25"/>
  <c r="AB56" i="25"/>
  <c r="AC57" i="25"/>
  <c r="AC61" i="25"/>
  <c r="AC65" i="25"/>
  <c r="AB68" i="25"/>
  <c r="AC69" i="25"/>
  <c r="AB72" i="25"/>
  <c r="AC73" i="25"/>
  <c r="AK73" i="25" s="1"/>
  <c r="AE75" i="25"/>
  <c r="AC76" i="25"/>
  <c r="AK76" i="25" s="1"/>
  <c r="AI77" i="25"/>
  <c r="AB79" i="25"/>
  <c r="AB81" i="25"/>
  <c r="AC82" i="25"/>
  <c r="AK82" i="25" s="1"/>
  <c r="AB82" i="25"/>
  <c r="AB85" i="25"/>
  <c r="AC86" i="25"/>
  <c r="AK86" i="25" s="1"/>
  <c r="AB86" i="25"/>
  <c r="AC90" i="25"/>
  <c r="AK90" i="25" s="1"/>
  <c r="AB90" i="25"/>
  <c r="AE95" i="25"/>
  <c r="AA95" i="25"/>
  <c r="AC95" i="25"/>
  <c r="AB98" i="25"/>
  <c r="AE98" i="25"/>
  <c r="AA98" i="25"/>
  <c r="AJ98" i="25" s="1"/>
  <c r="AB102" i="25"/>
  <c r="AE102" i="25"/>
  <c r="AA102" i="25"/>
  <c r="AJ102" i="25" s="1"/>
  <c r="AB106" i="25"/>
  <c r="AE106" i="25"/>
  <c r="AA106" i="25"/>
  <c r="AJ106" i="25" s="1"/>
  <c r="AB110" i="25"/>
  <c r="AE110" i="25"/>
  <c r="AA110" i="25"/>
  <c r="AJ110" i="25" s="1"/>
  <c r="AC110" i="25"/>
  <c r="AK110" i="25" s="1"/>
  <c r="AE114" i="25"/>
  <c r="AM114" i="25" s="1"/>
  <c r="AA114" i="25"/>
  <c r="AJ114" i="25" s="1"/>
  <c r="AC114" i="25"/>
  <c r="AK114" i="25" s="1"/>
  <c r="AB114" i="25"/>
  <c r="AC118" i="25"/>
  <c r="AK118" i="25" s="1"/>
  <c r="AB118" i="25"/>
  <c r="AE118" i="25"/>
  <c r="AM118" i="25" s="1"/>
  <c r="AA118" i="25"/>
  <c r="AJ118" i="25" s="1"/>
  <c r="AC123" i="25"/>
  <c r="AB123" i="25"/>
  <c r="AE123" i="25"/>
  <c r="AA123" i="25"/>
  <c r="AA125" i="25"/>
  <c r="AJ125" i="25" s="1"/>
  <c r="AC125" i="25"/>
  <c r="AK125" i="25" s="1"/>
  <c r="AB125" i="25"/>
  <c r="AE126" i="25"/>
  <c r="AB127" i="25"/>
  <c r="AA127" i="25"/>
  <c r="AJ127" i="25" s="1"/>
  <c r="AC127" i="25"/>
  <c r="AK127" i="25" s="1"/>
  <c r="AB131" i="25"/>
  <c r="AA131" i="25"/>
  <c r="AJ131" i="25" s="1"/>
  <c r="AC131" i="25"/>
  <c r="AK131" i="25" s="1"/>
  <c r="AB135" i="25"/>
  <c r="AA135" i="25"/>
  <c r="AJ135" i="25" s="1"/>
  <c r="AC135" i="25"/>
  <c r="AK135" i="25" s="1"/>
  <c r="AE28" i="25"/>
  <c r="AE29" i="25"/>
  <c r="V34" i="25"/>
  <c r="AA35" i="25"/>
  <c r="AE35" i="25"/>
  <c r="AC52" i="25"/>
  <c r="AC56" i="25"/>
  <c r="AC68" i="25"/>
  <c r="AC72" i="25"/>
  <c r="AE78" i="25"/>
  <c r="AC79" i="25"/>
  <c r="AK79" i="25" s="1"/>
  <c r="AE83" i="25"/>
  <c r="AA83" i="25"/>
  <c r="AJ83" i="25" s="1"/>
  <c r="AA86" i="25"/>
  <c r="AJ86" i="25" s="1"/>
  <c r="AE87" i="25"/>
  <c r="AA87" i="25"/>
  <c r="AJ87" i="25" s="1"/>
  <c r="AA90" i="25"/>
  <c r="AJ90" i="25" s="1"/>
  <c r="AE91" i="25"/>
  <c r="AA91" i="25"/>
  <c r="AJ91" i="25" s="1"/>
  <c r="AB95" i="25"/>
  <c r="AC97" i="25"/>
  <c r="AK97" i="25" s="1"/>
  <c r="AB97" i="25"/>
  <c r="AC98" i="25"/>
  <c r="AK98" i="25" s="1"/>
  <c r="AC101" i="25"/>
  <c r="AK101" i="25" s="1"/>
  <c r="AB101" i="25"/>
  <c r="AC102" i="25"/>
  <c r="AK102" i="25" s="1"/>
  <c r="AC105" i="25"/>
  <c r="AK105" i="25" s="1"/>
  <c r="AB105" i="25"/>
  <c r="AC106" i="25"/>
  <c r="AK106" i="25" s="1"/>
  <c r="AC109" i="25"/>
  <c r="AK109" i="25" s="1"/>
  <c r="AB109" i="25"/>
  <c r="AC111" i="25"/>
  <c r="AK111" i="25" s="1"/>
  <c r="AB111" i="25"/>
  <c r="AE111" i="25"/>
  <c r="AM111" i="25" s="1"/>
  <c r="AA111" i="25"/>
  <c r="AJ111" i="25" s="1"/>
  <c r="AB112" i="25"/>
  <c r="AE112" i="25"/>
  <c r="AA112" i="25"/>
  <c r="AJ112" i="25" s="1"/>
  <c r="AC112" i="25"/>
  <c r="AK112" i="25" s="1"/>
  <c r="AE120" i="25"/>
  <c r="AB126" i="25"/>
  <c r="AA126" i="25"/>
  <c r="AC126" i="25"/>
  <c r="AB15" i="25"/>
  <c r="AI17" i="25"/>
  <c r="AB18" i="25"/>
  <c r="AG24" i="25"/>
  <c r="AJ25" i="25"/>
  <c r="AG26" i="25"/>
  <c r="AB35" i="25"/>
  <c r="AA76" i="25"/>
  <c r="AJ76" i="25" s="1"/>
  <c r="AE76" i="25"/>
  <c r="AM76" i="25" s="1"/>
  <c r="AE77" i="25"/>
  <c r="AA77" i="25"/>
  <c r="AC80" i="25"/>
  <c r="AK80" i="25" s="1"/>
  <c r="AB80" i="25"/>
  <c r="AC84" i="25"/>
  <c r="AK84" i="25" s="1"/>
  <c r="AB84" i="25"/>
  <c r="AG84" i="25"/>
  <c r="AC88" i="25"/>
  <c r="AK88" i="25" s="1"/>
  <c r="AB88" i="25"/>
  <c r="AG88" i="25"/>
  <c r="AC92" i="25"/>
  <c r="AK92" i="25" s="1"/>
  <c r="AB92" i="25"/>
  <c r="AG92" i="25"/>
  <c r="AI93" i="25"/>
  <c r="AC94" i="25"/>
  <c r="AK94" i="25" s="1"/>
  <c r="AB94" i="25"/>
  <c r="AE94" i="25"/>
  <c r="AM94" i="25" s="1"/>
  <c r="AA94" i="25"/>
  <c r="AJ94" i="25" s="1"/>
  <c r="AB100" i="25"/>
  <c r="AE100" i="25"/>
  <c r="AA100" i="25"/>
  <c r="AJ100" i="25" s="1"/>
  <c r="AB104" i="25"/>
  <c r="AE104" i="25"/>
  <c r="AA104" i="25"/>
  <c r="AJ104" i="25" s="1"/>
  <c r="AB108" i="25"/>
  <c r="AE108" i="25"/>
  <c r="AA108" i="25"/>
  <c r="AJ108" i="25" s="1"/>
  <c r="AC113" i="25"/>
  <c r="AK113" i="25" s="1"/>
  <c r="AB113" i="25"/>
  <c r="AE113" i="25"/>
  <c r="AM113" i="25" s="1"/>
  <c r="AA113" i="25"/>
  <c r="AJ113" i="25" s="1"/>
  <c r="AE116" i="25"/>
  <c r="AM116" i="25" s="1"/>
  <c r="AA116" i="25"/>
  <c r="AJ116" i="25" s="1"/>
  <c r="AC116" i="25"/>
  <c r="AK116" i="25" s="1"/>
  <c r="AB116" i="25"/>
  <c r="AA120" i="25"/>
  <c r="AC120" i="25"/>
  <c r="AB120" i="25"/>
  <c r="AA15" i="25"/>
  <c r="AE15" i="25"/>
  <c r="AA18" i="25"/>
  <c r="AE18" i="25"/>
  <c r="Z22" i="25"/>
  <c r="AE22" i="25" s="1"/>
  <c r="AE23" i="25"/>
  <c r="AA52" i="25"/>
  <c r="AA56" i="25"/>
  <c r="AA68" i="25"/>
  <c r="AA72" i="25"/>
  <c r="AB77" i="25"/>
  <c r="AA79" i="25"/>
  <c r="AJ79" i="25" s="1"/>
  <c r="AA80" i="25"/>
  <c r="AJ80" i="25" s="1"/>
  <c r="AE81" i="25"/>
  <c r="AM81" i="25" s="1"/>
  <c r="AA81" i="25"/>
  <c r="AJ81" i="25" s="1"/>
  <c r="AC83" i="25"/>
  <c r="AK83" i="25" s="1"/>
  <c r="AA84" i="25"/>
  <c r="AJ84" i="25" s="1"/>
  <c r="AE85" i="25"/>
  <c r="AA85" i="25"/>
  <c r="AJ85" i="25" s="1"/>
  <c r="AE86" i="25"/>
  <c r="AM86" i="25" s="1"/>
  <c r="AC87" i="25"/>
  <c r="AK87" i="25" s="1"/>
  <c r="AA88" i="25"/>
  <c r="AJ88" i="25" s="1"/>
  <c r="AE89" i="25"/>
  <c r="AA89" i="25"/>
  <c r="AJ89" i="25" s="1"/>
  <c r="AE90" i="25"/>
  <c r="AM90" i="25" s="1"/>
  <c r="AC91" i="25"/>
  <c r="AK91" i="25" s="1"/>
  <c r="AA92" i="25"/>
  <c r="AJ92" i="25" s="1"/>
  <c r="AE93" i="25"/>
  <c r="AG93" i="25" s="1"/>
  <c r="AA93" i="25"/>
  <c r="AC93" i="25"/>
  <c r="AI95" i="25"/>
  <c r="AC96" i="25"/>
  <c r="AB96" i="25"/>
  <c r="AE96" i="25"/>
  <c r="AA96" i="25"/>
  <c r="AC99" i="25"/>
  <c r="AK99" i="25" s="1"/>
  <c r="AB99" i="25"/>
  <c r="AC100" i="25"/>
  <c r="AK100" i="25" s="1"/>
  <c r="AC103" i="25"/>
  <c r="AK103" i="25" s="1"/>
  <c r="AB103" i="25"/>
  <c r="AC104" i="25"/>
  <c r="AK104" i="25" s="1"/>
  <c r="AC107" i="25"/>
  <c r="AK107" i="25" s="1"/>
  <c r="AB107" i="25"/>
  <c r="AC108" i="25"/>
  <c r="AK108" i="25" s="1"/>
  <c r="AB121" i="25"/>
  <c r="AE121" i="25"/>
  <c r="AA121" i="25"/>
  <c r="AJ121" i="25" s="1"/>
  <c r="AC121" i="25"/>
  <c r="AK121" i="25" s="1"/>
  <c r="AM125" i="25"/>
  <c r="AM127" i="25"/>
  <c r="AG127" i="25"/>
  <c r="AA130" i="25"/>
  <c r="AJ130" i="25" s="1"/>
  <c r="AC130" i="25"/>
  <c r="AK130" i="25" s="1"/>
  <c r="AB130" i="25"/>
  <c r="AM131" i="25"/>
  <c r="AG131" i="25"/>
  <c r="AA134" i="25"/>
  <c r="AJ134" i="25" s="1"/>
  <c r="AC134" i="25"/>
  <c r="AK134" i="25" s="1"/>
  <c r="AB134" i="25"/>
  <c r="AM135" i="25"/>
  <c r="AG135" i="25"/>
  <c r="AJ139" i="25"/>
  <c r="AE142" i="25"/>
  <c r="AC144" i="25"/>
  <c r="AK144" i="25" s="1"/>
  <c r="AB144" i="25"/>
  <c r="AC148" i="25"/>
  <c r="AK148" i="25" s="1"/>
  <c r="AB148" i="25"/>
  <c r="AI149" i="25"/>
  <c r="AK149" i="25" s="1"/>
  <c r="AG149" i="25"/>
  <c r="AE150" i="25"/>
  <c r="AA150" i="25"/>
  <c r="AJ150" i="25" s="1"/>
  <c r="AB150" i="25"/>
  <c r="AB151" i="25"/>
  <c r="AA151" i="25"/>
  <c r="AJ151" i="25" s="1"/>
  <c r="AC151" i="25"/>
  <c r="AK151" i="25" s="1"/>
  <c r="AM166" i="25"/>
  <c r="AK166" i="25"/>
  <c r="AJ166" i="25"/>
  <c r="K27" i="27" s="1"/>
  <c r="AM170" i="25"/>
  <c r="AK170" i="25"/>
  <c r="L18" i="27" s="1"/>
  <c r="AJ170" i="25"/>
  <c r="K18" i="27" s="1"/>
  <c r="AG183" i="25"/>
  <c r="AM200" i="25"/>
  <c r="AE200" i="25"/>
  <c r="AL206" i="25"/>
  <c r="AE206" i="25"/>
  <c r="AL214" i="25"/>
  <c r="AE214" i="25"/>
  <c r="AE234" i="25"/>
  <c r="AL234" i="25"/>
  <c r="AL236" i="25"/>
  <c r="AE236" i="25"/>
  <c r="AE245" i="25"/>
  <c r="AL245" i="25"/>
  <c r="AB279" i="25"/>
  <c r="AA279" i="25"/>
  <c r="AC279" i="25"/>
  <c r="AA115" i="25"/>
  <c r="AJ115" i="25" s="1"/>
  <c r="AE115" i="25"/>
  <c r="AM115" i="25" s="1"/>
  <c r="AA117" i="25"/>
  <c r="AE117" i="25"/>
  <c r="AM117" i="25" s="1"/>
  <c r="AA122" i="25"/>
  <c r="AJ122" i="25" s="1"/>
  <c r="AE122" i="25"/>
  <c r="AG125" i="25"/>
  <c r="AI141" i="25"/>
  <c r="AK141" i="25" s="1"/>
  <c r="AA142" i="25"/>
  <c r="AJ142" i="25" s="1"/>
  <c r="AB142" i="25"/>
  <c r="AB143" i="25"/>
  <c r="AA143" i="25"/>
  <c r="AJ143" i="25" s="1"/>
  <c r="AC143" i="25"/>
  <c r="AK143" i="25" s="1"/>
  <c r="AA144" i="25"/>
  <c r="AJ144" i="25" s="1"/>
  <c r="AI145" i="25"/>
  <c r="AE146" i="25"/>
  <c r="AA146" i="25"/>
  <c r="AJ146" i="25" s="1"/>
  <c r="AB146" i="25"/>
  <c r="AB147" i="25"/>
  <c r="AA147" i="25"/>
  <c r="AJ147" i="25" s="1"/>
  <c r="AC147" i="25"/>
  <c r="AK147" i="25" s="1"/>
  <c r="AA148" i="25"/>
  <c r="AJ148" i="25" s="1"/>
  <c r="AC150" i="25"/>
  <c r="AK150" i="25" s="1"/>
  <c r="AM165" i="25"/>
  <c r="AK165" i="25"/>
  <c r="AJ165" i="25"/>
  <c r="K12" i="27" s="1"/>
  <c r="AM169" i="25"/>
  <c r="AK169" i="25"/>
  <c r="L15" i="27" s="1"/>
  <c r="AJ169" i="25"/>
  <c r="K15" i="27" s="1"/>
  <c r="AM173" i="25"/>
  <c r="AK176" i="25"/>
  <c r="AJ176" i="25"/>
  <c r="K36" i="27" s="1"/>
  <c r="AK182" i="25"/>
  <c r="AJ182" i="25"/>
  <c r="K35" i="27" s="1"/>
  <c r="AM188" i="25"/>
  <c r="AE188" i="25"/>
  <c r="AM190" i="25"/>
  <c r="AE190" i="25"/>
  <c r="AM202" i="25"/>
  <c r="AE202" i="25"/>
  <c r="AL204" i="25"/>
  <c r="AE204" i="25"/>
  <c r="AL212" i="25"/>
  <c r="AE212" i="25"/>
  <c r="AL220" i="25"/>
  <c r="AE220" i="25"/>
  <c r="AE230" i="25"/>
  <c r="AL230" i="25"/>
  <c r="AL232" i="25"/>
  <c r="AE232" i="25"/>
  <c r="AE241" i="25"/>
  <c r="AL241" i="25"/>
  <c r="AJ275" i="25"/>
  <c r="AG97" i="25"/>
  <c r="AG99" i="25"/>
  <c r="AG105" i="25"/>
  <c r="AB115" i="25"/>
  <c r="AB117" i="25"/>
  <c r="AB122" i="25"/>
  <c r="AB128" i="25"/>
  <c r="AB132" i="25"/>
  <c r="AB136" i="25"/>
  <c r="AE139" i="25"/>
  <c r="AC139" i="25"/>
  <c r="AK139" i="25" s="1"/>
  <c r="AC142" i="25"/>
  <c r="AK142" i="25" s="1"/>
  <c r="AC146" i="25"/>
  <c r="AK146" i="25" s="1"/>
  <c r="AM164" i="25"/>
  <c r="AK164" i="25"/>
  <c r="L25" i="27" s="1"/>
  <c r="AJ164" i="25"/>
  <c r="K25" i="27" s="1"/>
  <c r="AM168" i="25"/>
  <c r="AK168" i="25"/>
  <c r="AJ168" i="25"/>
  <c r="K22" i="27" s="1"/>
  <c r="AM172" i="25"/>
  <c r="AK172" i="25"/>
  <c r="L24" i="27" s="1"/>
  <c r="AJ172" i="25"/>
  <c r="K24" i="27" s="1"/>
  <c r="AK173" i="25"/>
  <c r="L28" i="27" s="1"/>
  <c r="AJ173" i="25"/>
  <c r="K28" i="27" s="1"/>
  <c r="AK180" i="25"/>
  <c r="L34" i="27" s="1"/>
  <c r="AJ180" i="25"/>
  <c r="K34" i="27" s="1"/>
  <c r="AL192" i="25"/>
  <c r="AE192" i="25"/>
  <c r="AM196" i="25"/>
  <c r="AE196" i="25"/>
  <c r="AL210" i="25"/>
  <c r="AE210" i="25"/>
  <c r="AL218" i="25"/>
  <c r="AE218" i="25"/>
  <c r="AE226" i="25"/>
  <c r="AL226" i="25"/>
  <c r="AL228" i="25"/>
  <c r="AE228" i="25"/>
  <c r="AE270" i="25"/>
  <c r="AA270" i="25"/>
  <c r="AC270" i="25"/>
  <c r="AC268" i="25" s="1"/>
  <c r="AB270" i="25"/>
  <c r="U119" i="25"/>
  <c r="U33" i="25" s="1"/>
  <c r="AC140" i="25"/>
  <c r="AK140" i="25" s="1"/>
  <c r="AB140" i="25"/>
  <c r="AG140" i="25"/>
  <c r="AE143" i="25"/>
  <c r="AE144" i="25"/>
  <c r="AE148" i="25"/>
  <c r="AC152" i="25"/>
  <c r="AK152" i="25" s="1"/>
  <c r="AB152" i="25"/>
  <c r="AE154" i="25"/>
  <c r="AA154" i="25"/>
  <c r="AJ154" i="25" s="1"/>
  <c r="AC154" i="25"/>
  <c r="AK154" i="25" s="1"/>
  <c r="AB154" i="25"/>
  <c r="AJ160" i="25"/>
  <c r="K21" i="27" s="1"/>
  <c r="AM160" i="25"/>
  <c r="AK160" i="25"/>
  <c r="L21" i="27" s="1"/>
  <c r="AJ161" i="25"/>
  <c r="K20" i="27" s="1"/>
  <c r="AM161" i="25"/>
  <c r="AK161" i="25"/>
  <c r="L20" i="27" s="1"/>
  <c r="AJ162" i="25"/>
  <c r="K14" i="27" s="1"/>
  <c r="AM162" i="25"/>
  <c r="AK162" i="25"/>
  <c r="AM167" i="25"/>
  <c r="AK167" i="25"/>
  <c r="L16" i="27" s="1"/>
  <c r="AJ167" i="25"/>
  <c r="K16" i="27" s="1"/>
  <c r="AM171" i="25"/>
  <c r="AK171" i="25"/>
  <c r="AJ171" i="25"/>
  <c r="K23" i="27" s="1"/>
  <c r="AK194" i="25"/>
  <c r="AJ194" i="25"/>
  <c r="K33" i="27" s="1"/>
  <c r="AM198" i="25"/>
  <c r="AE198" i="25"/>
  <c r="AL208" i="25"/>
  <c r="AE208" i="25"/>
  <c r="AL216" i="25"/>
  <c r="AE216" i="25"/>
  <c r="AL223" i="25"/>
  <c r="AE223" i="25"/>
  <c r="AE238" i="25"/>
  <c r="AL238" i="25"/>
  <c r="AL240" i="25"/>
  <c r="AE240" i="25"/>
  <c r="AL242" i="25"/>
  <c r="AE242" i="25"/>
  <c r="AE272" i="25"/>
  <c r="AA272" i="25"/>
  <c r="Z271" i="25"/>
  <c r="AC272" i="25"/>
  <c r="AB272" i="25"/>
  <c r="AC273" i="25"/>
  <c r="AB273" i="25"/>
  <c r="AE273" i="25"/>
  <c r="AA273" i="25"/>
  <c r="AB280" i="25"/>
  <c r="AE280" i="25"/>
  <c r="AA280" i="25"/>
  <c r="AJ280" i="25" s="1"/>
  <c r="AC280" i="25"/>
  <c r="AK280" i="25" s="1"/>
  <c r="AA145" i="25"/>
  <c r="AA149" i="25"/>
  <c r="AA153" i="25"/>
  <c r="AJ153" i="25" s="1"/>
  <c r="AG173" i="25"/>
  <c r="AL173" i="25"/>
  <c r="AM176" i="25"/>
  <c r="AL179" i="25"/>
  <c r="AE180" i="25"/>
  <c r="AL181" i="25"/>
  <c r="AE182" i="25"/>
  <c r="AG182" i="25" s="1"/>
  <c r="AL183" i="25"/>
  <c r="T191" i="25"/>
  <c r="AD191" i="25" s="1"/>
  <c r="J57" i="27" s="1"/>
  <c r="AL191" i="25"/>
  <c r="AE194" i="25"/>
  <c r="Z268" i="25"/>
  <c r="AA269" i="25"/>
  <c r="AE269" i="25"/>
  <c r="V271" i="25"/>
  <c r="AC275" i="25"/>
  <c r="Z276" i="25"/>
  <c r="AI276" i="25"/>
  <c r="AA277" i="25"/>
  <c r="AI277" i="25"/>
  <c r="AK277" i="25" s="1"/>
  <c r="AG277" i="25"/>
  <c r="AE278" i="25"/>
  <c r="AG278" i="25" s="1"/>
  <c r="AE283" i="25"/>
  <c r="AD281" i="25"/>
  <c r="AL283" i="25"/>
  <c r="AM288" i="25"/>
  <c r="AL294" i="25"/>
  <c r="AE294" i="25"/>
  <c r="AG294" i="25" s="1"/>
  <c r="AE317" i="25"/>
  <c r="AC334" i="25"/>
  <c r="AE335" i="25"/>
  <c r="AA335" i="25"/>
  <c r="AC335" i="25"/>
  <c r="AB335" i="25"/>
  <c r="AA351" i="25"/>
  <c r="AB351" i="25"/>
  <c r="Z349" i="25"/>
  <c r="AE355" i="25"/>
  <c r="AG355" i="25" s="1"/>
  <c r="AA357" i="25"/>
  <c r="AJ357" i="25" s="1"/>
  <c r="AA358" i="25"/>
  <c r="AJ358" i="25" s="1"/>
  <c r="AC378" i="25"/>
  <c r="AB378" i="25"/>
  <c r="AE378" i="25"/>
  <c r="AA378" i="25"/>
  <c r="AJ378" i="25" s="1"/>
  <c r="AM157" i="25"/>
  <c r="AM158" i="25"/>
  <c r="AM159" i="25"/>
  <c r="U274" i="25"/>
  <c r="U267" i="25" s="1"/>
  <c r="AE279" i="25"/>
  <c r="AI284" i="25"/>
  <c r="AG284" i="25"/>
  <c r="AI293" i="25"/>
  <c r="S310" i="25"/>
  <c r="AA317" i="25"/>
  <c r="Z316" i="25"/>
  <c r="AC317" i="25"/>
  <c r="AB317" i="25"/>
  <c r="AK350" i="25"/>
  <c r="L15" i="33" s="1"/>
  <c r="O15" i="33" s="1"/>
  <c r="AB355" i="25"/>
  <c r="AA355" i="25"/>
  <c r="AJ355" i="25" s="1"/>
  <c r="K14" i="33" s="1"/>
  <c r="N14" i="33" s="1"/>
  <c r="AB388" i="25"/>
  <c r="AE388" i="25"/>
  <c r="AA388" i="25"/>
  <c r="AC388" i="25"/>
  <c r="AJ157" i="25"/>
  <c r="K17" i="27" s="1"/>
  <c r="AJ158" i="25"/>
  <c r="K19" i="27" s="1"/>
  <c r="AJ159" i="25"/>
  <c r="K13" i="27" s="1"/>
  <c r="AG164" i="25"/>
  <c r="AG165" i="25"/>
  <c r="AG166" i="25"/>
  <c r="AG167" i="25"/>
  <c r="AG168" i="25"/>
  <c r="AG169" i="25"/>
  <c r="AG170" i="25"/>
  <c r="AG171" i="25"/>
  <c r="AG172" i="25"/>
  <c r="AJ179" i="25"/>
  <c r="K31" i="27" s="1"/>
  <c r="AJ183" i="25"/>
  <c r="K30" i="27" s="1"/>
  <c r="AE225" i="25"/>
  <c r="AE229" i="25"/>
  <c r="AE233" i="25"/>
  <c r="AE237" i="25"/>
  <c r="AE244" i="25"/>
  <c r="AB278" i="25"/>
  <c r="AI285" i="25"/>
  <c r="AG285" i="25"/>
  <c r="AE287" i="25"/>
  <c r="AG287" i="25" s="1"/>
  <c r="AG288" i="25"/>
  <c r="AK291" i="25"/>
  <c r="L13" i="28" s="1"/>
  <c r="AK294" i="25"/>
  <c r="AJ294" i="25"/>
  <c r="K18" i="28" s="1"/>
  <c r="AC307" i="25"/>
  <c r="AB307" i="25"/>
  <c r="AE307" i="25"/>
  <c r="AA307" i="25"/>
  <c r="AI308" i="25"/>
  <c r="AB309" i="25"/>
  <c r="AE309" i="25"/>
  <c r="AA309" i="25"/>
  <c r="AC309" i="25"/>
  <c r="AC314" i="25"/>
  <c r="AK314" i="25" s="1"/>
  <c r="AB314" i="25"/>
  <c r="AA314" i="25"/>
  <c r="AJ314" i="25" s="1"/>
  <c r="AB315" i="25"/>
  <c r="AA315" i="25"/>
  <c r="AJ315" i="25" s="1"/>
  <c r="AC315" i="25"/>
  <c r="AK315" i="25" s="1"/>
  <c r="R108" i="36" s="1"/>
  <c r="U108" i="36" s="1"/>
  <c r="V108" i="36" s="1"/>
  <c r="AC320" i="25"/>
  <c r="AB320" i="25"/>
  <c r="AE320" i="25"/>
  <c r="AA320" i="25"/>
  <c r="AA325" i="25"/>
  <c r="AC325" i="25"/>
  <c r="AB325" i="25"/>
  <c r="AC329" i="25"/>
  <c r="AB329" i="25"/>
  <c r="AE329" i="25"/>
  <c r="AA329" i="25"/>
  <c r="AC332" i="25"/>
  <c r="AB332" i="25"/>
  <c r="AB334" i="25"/>
  <c r="AA334" i="25"/>
  <c r="AE342" i="25"/>
  <c r="AA342" i="25"/>
  <c r="Z341" i="25"/>
  <c r="AC342" i="25"/>
  <c r="AB342" i="25"/>
  <c r="AB341" i="25" s="1"/>
  <c r="AB358" i="25"/>
  <c r="AE358" i="25"/>
  <c r="AC376" i="25"/>
  <c r="AB376" i="25"/>
  <c r="Z374" i="25"/>
  <c r="AE376" i="25"/>
  <c r="AA376" i="25"/>
  <c r="AJ376" i="25" s="1"/>
  <c r="AC379" i="25"/>
  <c r="AB379" i="25"/>
  <c r="AA379" i="25"/>
  <c r="AJ379" i="25" s="1"/>
  <c r="AC380" i="25"/>
  <c r="AB380" i="25"/>
  <c r="AA380" i="25"/>
  <c r="AJ380" i="25" s="1"/>
  <c r="AB387" i="25"/>
  <c r="AE387" i="25"/>
  <c r="AA387" i="25"/>
  <c r="AC387" i="25"/>
  <c r="AC278" i="25"/>
  <c r="AK278" i="25" s="1"/>
  <c r="Z281" i="25"/>
  <c r="AK283" i="25"/>
  <c r="L11" i="28" s="1"/>
  <c r="AJ283" i="25"/>
  <c r="K11" i="28" s="1"/>
  <c r="AK288" i="25"/>
  <c r="L16" i="28" s="1"/>
  <c r="AI289" i="25"/>
  <c r="AG289" i="25"/>
  <c r="AL291" i="25"/>
  <c r="AE293" i="25"/>
  <c r="AL293" i="25"/>
  <c r="AE308" i="25"/>
  <c r="AG308" i="25" s="1"/>
  <c r="AA308" i="25"/>
  <c r="AC308" i="25"/>
  <c r="AC313" i="25"/>
  <c r="AB313" i="25"/>
  <c r="AE313" i="25"/>
  <c r="AA313" i="25"/>
  <c r="AB318" i="25"/>
  <c r="AE318" i="25"/>
  <c r="AA318" i="25"/>
  <c r="AC318" i="25"/>
  <c r="AC323" i="25"/>
  <c r="AB323" i="25"/>
  <c r="AE323" i="25"/>
  <c r="AA323" i="25"/>
  <c r="AA332" i="25"/>
  <c r="AC337" i="25"/>
  <c r="AK337" i="25" s="1"/>
  <c r="AB337" i="25"/>
  <c r="AM351" i="25"/>
  <c r="AG351" i="25"/>
  <c r="AC355" i="25"/>
  <c r="AK355" i="25" s="1"/>
  <c r="L14" i="33" s="1"/>
  <c r="O14" i="33" s="1"/>
  <c r="AC357" i="25"/>
  <c r="AK357" i="25" s="1"/>
  <c r="AB357" i="25"/>
  <c r="AE361" i="25"/>
  <c r="AA361" i="25"/>
  <c r="AC361" i="25"/>
  <c r="I20" i="33" s="1"/>
  <c r="AB361" i="25"/>
  <c r="AB360" i="25" s="1"/>
  <c r="AM383" i="25"/>
  <c r="AG383" i="25"/>
  <c r="V316" i="25"/>
  <c r="AC321" i="25"/>
  <c r="AC327" i="25"/>
  <c r="AC330" i="25"/>
  <c r="AC333" i="25"/>
  <c r="AC336" i="25"/>
  <c r="V341" i="25"/>
  <c r="AC343" i="25"/>
  <c r="V349" i="25"/>
  <c r="Z371" i="25"/>
  <c r="AC372" i="25"/>
  <c r="AC371" i="25" s="1"/>
  <c r="AC375" i="25"/>
  <c r="AC377" i="25"/>
  <c r="AK383" i="25"/>
  <c r="V384" i="25"/>
  <c r="AE389" i="25"/>
  <c r="AA389" i="25"/>
  <c r="AC401" i="25"/>
  <c r="AB401" i="25"/>
  <c r="AE401" i="25"/>
  <c r="AA401" i="25"/>
  <c r="AB409" i="25"/>
  <c r="AE409" i="25"/>
  <c r="AA409" i="25"/>
  <c r="AC409" i="25"/>
  <c r="AB414" i="25"/>
  <c r="AE414" i="25"/>
  <c r="AA414" i="25"/>
  <c r="AJ414" i="25" s="1"/>
  <c r="AC414" i="25"/>
  <c r="AK414" i="25" s="1"/>
  <c r="AB427" i="25"/>
  <c r="AE427" i="25"/>
  <c r="AA427" i="25"/>
  <c r="AC427" i="25"/>
  <c r="AE428" i="25"/>
  <c r="AM428" i="25" s="1"/>
  <c r="AA428" i="25"/>
  <c r="AJ428" i="25" s="1"/>
  <c r="AC428" i="25"/>
  <c r="AK428" i="25" s="1"/>
  <c r="AB428" i="25"/>
  <c r="AE430" i="25"/>
  <c r="AM430" i="25" s="1"/>
  <c r="AA430" i="25"/>
  <c r="AJ430" i="25" s="1"/>
  <c r="AC430" i="25"/>
  <c r="AK430" i="25" s="1"/>
  <c r="AB430" i="25"/>
  <c r="Z312" i="25"/>
  <c r="AC312" i="25" s="1"/>
  <c r="AC385" i="25"/>
  <c r="AB385" i="25"/>
  <c r="AE390" i="25"/>
  <c r="AA390" i="25"/>
  <c r="AB396" i="25"/>
  <c r="AE396" i="25"/>
  <c r="AA396" i="25"/>
  <c r="AB397" i="25"/>
  <c r="AE397" i="25"/>
  <c r="AA397" i="25"/>
  <c r="AB398" i="25"/>
  <c r="AE398" i="25"/>
  <c r="AA398" i="25"/>
  <c r="AB399" i="25"/>
  <c r="AE399" i="25"/>
  <c r="AA399" i="25"/>
  <c r="AC400" i="25"/>
  <c r="AB400" i="25"/>
  <c r="AE400" i="25"/>
  <c r="AA400" i="25"/>
  <c r="AC404" i="25"/>
  <c r="AB404" i="25"/>
  <c r="AE404" i="25"/>
  <c r="AA404" i="25"/>
  <c r="AC410" i="25"/>
  <c r="AB410" i="25"/>
  <c r="AE410" i="25"/>
  <c r="AA410" i="25"/>
  <c r="AB413" i="25"/>
  <c r="AE413" i="25"/>
  <c r="AA413" i="25"/>
  <c r="AC413" i="25"/>
  <c r="AB420" i="25"/>
  <c r="AE420" i="25"/>
  <c r="AM420" i="25" s="1"/>
  <c r="AA420" i="25"/>
  <c r="AJ420" i="25" s="1"/>
  <c r="AB429" i="25"/>
  <c r="AE429" i="25"/>
  <c r="AA429" i="25"/>
  <c r="AJ429" i="25" s="1"/>
  <c r="AC429" i="25"/>
  <c r="AK429" i="25" s="1"/>
  <c r="AA431" i="25"/>
  <c r="AE433" i="25"/>
  <c r="AA433" i="25"/>
  <c r="AJ433" i="25" s="1"/>
  <c r="AC433" i="25"/>
  <c r="AK433" i="25" s="1"/>
  <c r="AB433" i="25"/>
  <c r="AE435" i="25"/>
  <c r="AA435" i="25"/>
  <c r="AB435" i="25"/>
  <c r="AC435" i="25"/>
  <c r="AG292" i="25"/>
  <c r="V306" i="25"/>
  <c r="AB319" i="25"/>
  <c r="AA321" i="25"/>
  <c r="AB322" i="25"/>
  <c r="AB324" i="25"/>
  <c r="AB328" i="25"/>
  <c r="AB331" i="25"/>
  <c r="AA333" i="25"/>
  <c r="AE333" i="25"/>
  <c r="AA336" i="25"/>
  <c r="AE336" i="25"/>
  <c r="AA343" i="25"/>
  <c r="AE343" i="25"/>
  <c r="AE345" i="25"/>
  <c r="N348" i="25"/>
  <c r="AB350" i="25"/>
  <c r="AB353" i="25"/>
  <c r="AA354" i="25"/>
  <c r="AJ354" i="25" s="1"/>
  <c r="AE354" i="25"/>
  <c r="AB359" i="25"/>
  <c r="AE372" i="25"/>
  <c r="AB373" i="25"/>
  <c r="AB371" i="25" s="1"/>
  <c r="AA375" i="25"/>
  <c r="AE375" i="25"/>
  <c r="AA377" i="25"/>
  <c r="AJ377" i="25" s="1"/>
  <c r="AE377" i="25"/>
  <c r="AL379" i="25"/>
  <c r="AA385" i="25"/>
  <c r="AC389" i="25"/>
  <c r="AB390" i="25"/>
  <c r="AC391" i="25"/>
  <c r="AE391" i="25"/>
  <c r="AA391" i="25"/>
  <c r="AC392" i="25"/>
  <c r="AE392" i="25"/>
  <c r="AA392" i="25"/>
  <c r="AC396" i="25"/>
  <c r="AC397" i="25"/>
  <c r="AC398" i="25"/>
  <c r="AC399" i="25"/>
  <c r="AC403" i="25"/>
  <c r="AB403" i="25"/>
  <c r="AE403" i="25"/>
  <c r="AA403" i="25"/>
  <c r="AB412" i="25"/>
  <c r="AE412" i="25"/>
  <c r="AA412" i="25"/>
  <c r="AC412" i="25"/>
  <c r="AC417" i="25"/>
  <c r="AK417" i="25" s="1"/>
  <c r="AB417" i="25"/>
  <c r="AE417" i="25"/>
  <c r="AM417" i="25" s="1"/>
  <c r="AA417" i="25"/>
  <c r="AJ417" i="25" s="1"/>
  <c r="AE419" i="25"/>
  <c r="AM419" i="25" s="1"/>
  <c r="AA419" i="25"/>
  <c r="AJ419" i="25" s="1"/>
  <c r="AC419" i="25"/>
  <c r="AK419" i="25" s="1"/>
  <c r="AB419" i="25"/>
  <c r="AE421" i="25"/>
  <c r="AA421" i="25"/>
  <c r="AC421" i="25"/>
  <c r="AB421" i="25"/>
  <c r="U316" i="25"/>
  <c r="U349" i="25"/>
  <c r="U348" i="25" s="1"/>
  <c r="AC362" i="25"/>
  <c r="T374" i="25"/>
  <c r="T371" i="25" s="1"/>
  <c r="AB382" i="25"/>
  <c r="AA383" i="25"/>
  <c r="AJ383" i="25" s="1"/>
  <c r="AC386" i="25"/>
  <c r="AB386" i="25"/>
  <c r="AC390" i="25"/>
  <c r="AB391" i="25"/>
  <c r="AB392" i="25"/>
  <c r="AC402" i="25"/>
  <c r="AB402" i="25"/>
  <c r="AE402" i="25"/>
  <c r="AA402" i="25"/>
  <c r="AE406" i="25"/>
  <c r="AA406" i="25"/>
  <c r="AC406" i="25"/>
  <c r="AB406" i="25"/>
  <c r="AC416" i="25"/>
  <c r="AB416" i="25"/>
  <c r="AE416" i="25"/>
  <c r="AA416" i="25"/>
  <c r="AE418" i="25"/>
  <c r="AA418" i="25"/>
  <c r="AC418" i="25"/>
  <c r="AB418" i="25"/>
  <c r="AC432" i="25"/>
  <c r="S434" i="25"/>
  <c r="T436" i="25"/>
  <c r="AI437" i="25"/>
  <c r="AK437" i="25" s="1"/>
  <c r="AC439" i="25"/>
  <c r="AK439" i="25" s="1"/>
  <c r="AE439" i="25"/>
  <c r="AA439" i="25"/>
  <c r="AJ439" i="25" s="1"/>
  <c r="AL468" i="25"/>
  <c r="AL472" i="25"/>
  <c r="AA393" i="25"/>
  <c r="AE393" i="25"/>
  <c r="AA394" i="25"/>
  <c r="AE394" i="25"/>
  <c r="AA395" i="25"/>
  <c r="AE408" i="25"/>
  <c r="AA411" i="25"/>
  <c r="AE411" i="25"/>
  <c r="AB422" i="25"/>
  <c r="AB423" i="25"/>
  <c r="AB424" i="25"/>
  <c r="AB425" i="25"/>
  <c r="AA426" i="25"/>
  <c r="AE426" i="25"/>
  <c r="AM438" i="25"/>
  <c r="AC443" i="25"/>
  <c r="AK443" i="25" s="1"/>
  <c r="AB443" i="25"/>
  <c r="AE443" i="25"/>
  <c r="AA443" i="25"/>
  <c r="AE444" i="25"/>
  <c r="AA444" i="25"/>
  <c r="AJ444" i="25" s="1"/>
  <c r="AC444" i="25"/>
  <c r="AK444" i="25" s="1"/>
  <c r="AB444" i="25"/>
  <c r="AE446" i="25"/>
  <c r="AA446" i="25"/>
  <c r="AC446" i="25"/>
  <c r="AB446" i="25"/>
  <c r="AC449" i="25"/>
  <c r="AK449" i="25" s="1"/>
  <c r="L11" i="36" s="1"/>
  <c r="M11" i="36" s="1"/>
  <c r="AB449" i="25"/>
  <c r="AE449" i="25"/>
  <c r="AA449" i="25"/>
  <c r="AJ449" i="25" s="1"/>
  <c r="K11" i="36" s="1"/>
  <c r="AB450" i="25"/>
  <c r="AE450" i="25"/>
  <c r="AA450" i="25"/>
  <c r="AJ450" i="25" s="1"/>
  <c r="AC450" i="25"/>
  <c r="AK450" i="25" s="1"/>
  <c r="AE456" i="25"/>
  <c r="AA456" i="25"/>
  <c r="AC456" i="25"/>
  <c r="AB456" i="25"/>
  <c r="AJ468" i="25"/>
  <c r="K15" i="36" s="1"/>
  <c r="AK468" i="25"/>
  <c r="L15" i="36" s="1"/>
  <c r="AJ472" i="25"/>
  <c r="K23" i="36" s="1"/>
  <c r="AK472" i="25"/>
  <c r="L23" i="36" s="1"/>
  <c r="AJ476" i="25"/>
  <c r="K14" i="36" s="1"/>
  <c r="AK476" i="25"/>
  <c r="L14" i="36" s="1"/>
  <c r="M14" i="36" s="1"/>
  <c r="AB411" i="25"/>
  <c r="AB415" i="25"/>
  <c r="AB426" i="25"/>
  <c r="AA432" i="25"/>
  <c r="AE434" i="25"/>
  <c r="AE437" i="25"/>
  <c r="AA437" i="25"/>
  <c r="Z436" i="25"/>
  <c r="AD439" i="25"/>
  <c r="AJ466" i="25"/>
  <c r="K20" i="36" s="1"/>
  <c r="AK466" i="25"/>
  <c r="L20" i="36" s="1"/>
  <c r="M20" i="36" s="1"/>
  <c r="AM466" i="25"/>
  <c r="AE470" i="25"/>
  <c r="AG470" i="25" s="1"/>
  <c r="AE474" i="25"/>
  <c r="AG474" i="25" s="1"/>
  <c r="AL474" i="25"/>
  <c r="AB437" i="25"/>
  <c r="AB436" i="25" s="1"/>
  <c r="AC455" i="25"/>
  <c r="AB455" i="25"/>
  <c r="AE455" i="25"/>
  <c r="AA455" i="25"/>
  <c r="AB457" i="25"/>
  <c r="AE457" i="25"/>
  <c r="AA457" i="25"/>
  <c r="AJ457" i="25" s="1"/>
  <c r="AC457" i="25"/>
  <c r="AK457" i="25" s="1"/>
  <c r="AJ470" i="25"/>
  <c r="K22" i="36" s="1"/>
  <c r="AK470" i="25"/>
  <c r="L22" i="36" s="1"/>
  <c r="AJ474" i="25"/>
  <c r="K21" i="36" s="1"/>
  <c r="AK474" i="25"/>
  <c r="L21" i="36" s="1"/>
  <c r="AE493" i="25"/>
  <c r="AL493" i="25"/>
  <c r="AI442" i="25"/>
  <c r="AJ442" i="25" s="1"/>
  <c r="AE476" i="25"/>
  <c r="AG476" i="25" s="1"/>
  <c r="AG479" i="25"/>
  <c r="AI480" i="25"/>
  <c r="AM480" i="25" s="1"/>
  <c r="AK484" i="25"/>
  <c r="L50" i="36" s="1"/>
  <c r="M50" i="36" s="1"/>
  <c r="AJ484" i="25"/>
  <c r="K50" i="36" s="1"/>
  <c r="AL488" i="25"/>
  <c r="AJ496" i="25"/>
  <c r="AK496" i="25"/>
  <c r="AK497" i="25"/>
  <c r="AJ497" i="25"/>
  <c r="AE499" i="25"/>
  <c r="AG499" i="25" s="1"/>
  <c r="AK502" i="25"/>
  <c r="L45" i="36" s="1"/>
  <c r="M45" i="36" s="1"/>
  <c r="AJ502" i="25"/>
  <c r="K45" i="36" s="1"/>
  <c r="AK506" i="25"/>
  <c r="L31" i="36" s="1"/>
  <c r="M31" i="36" s="1"/>
  <c r="AJ506" i="25"/>
  <c r="K31" i="36" s="1"/>
  <c r="AJ513" i="25"/>
  <c r="AK513" i="25"/>
  <c r="AK514" i="25"/>
  <c r="L30" i="36" s="1"/>
  <c r="M30" i="36" s="1"/>
  <c r="AJ514" i="25"/>
  <c r="K30" i="36" s="1"/>
  <c r="AM518" i="25"/>
  <c r="AE527" i="25"/>
  <c r="J63" i="36" s="1"/>
  <c r="AL527" i="25"/>
  <c r="AA447" i="25"/>
  <c r="AE447" i="25"/>
  <c r="AA448" i="25"/>
  <c r="AJ448" i="25" s="1"/>
  <c r="K13" i="36" s="1"/>
  <c r="AE448" i="25"/>
  <c r="AA451" i="25"/>
  <c r="AJ451" i="25" s="1"/>
  <c r="K12" i="36" s="1"/>
  <c r="AE451" i="25"/>
  <c r="AA453" i="25"/>
  <c r="AE453" i="25"/>
  <c r="AA454" i="25"/>
  <c r="AJ454" i="25" s="1"/>
  <c r="AE454" i="25"/>
  <c r="AM454" i="25" s="1"/>
  <c r="AE464" i="25"/>
  <c r="AG466" i="25"/>
  <c r="AG467" i="25"/>
  <c r="AL476" i="25"/>
  <c r="AI478" i="25"/>
  <c r="AL484" i="25"/>
  <c r="AM488" i="25"/>
  <c r="AG489" i="25"/>
  <c r="AJ490" i="25"/>
  <c r="K52" i="36" s="1"/>
  <c r="AK493" i="25"/>
  <c r="L24" i="36" s="1"/>
  <c r="AJ493" i="25"/>
  <c r="K24" i="36" s="1"/>
  <c r="AL495" i="25"/>
  <c r="AJ499" i="25"/>
  <c r="K44" i="36" s="1"/>
  <c r="AK499" i="25"/>
  <c r="L44" i="36" s="1"/>
  <c r="AJ501" i="25"/>
  <c r="K37" i="36" s="1"/>
  <c r="AK501" i="25"/>
  <c r="L37" i="36" s="1"/>
  <c r="AK504" i="25"/>
  <c r="L49" i="36" s="1"/>
  <c r="AJ504" i="25"/>
  <c r="K49" i="36" s="1"/>
  <c r="AE507" i="25"/>
  <c r="AE515" i="25"/>
  <c r="AK518" i="25"/>
  <c r="L56" i="36" s="1"/>
  <c r="M56" i="36" s="1"/>
  <c r="AJ518" i="25"/>
  <c r="K56" i="36" s="1"/>
  <c r="AL528" i="25"/>
  <c r="AE528" i="25"/>
  <c r="J65" i="36" s="1"/>
  <c r="AL544" i="25"/>
  <c r="AE544" i="25"/>
  <c r="J92" i="36" s="1"/>
  <c r="AL553" i="25"/>
  <c r="AE553" i="25"/>
  <c r="J73" i="36" s="1"/>
  <c r="AB445" i="25"/>
  <c r="AB447" i="25"/>
  <c r="AB448" i="25"/>
  <c r="AB451" i="25"/>
  <c r="AA452" i="25"/>
  <c r="AE452" i="25"/>
  <c r="AB453" i="25"/>
  <c r="AB454" i="25"/>
  <c r="AA458" i="25"/>
  <c r="AE458" i="25"/>
  <c r="AK462" i="25"/>
  <c r="AG465" i="25"/>
  <c r="AI467" i="25"/>
  <c r="AM467" i="25" s="1"/>
  <c r="AI469" i="25"/>
  <c r="AI471" i="25"/>
  <c r="AM471" i="25" s="1"/>
  <c r="AI473" i="25"/>
  <c r="AM473" i="25" s="1"/>
  <c r="AG477" i="25"/>
  <c r="AL480" i="25"/>
  <c r="AI482" i="25"/>
  <c r="AM482" i="25" s="1"/>
  <c r="AM484" i="25"/>
  <c r="AG485" i="25"/>
  <c r="AK489" i="25"/>
  <c r="L41" i="36" s="1"/>
  <c r="M41" i="36" s="1"/>
  <c r="AM490" i="25"/>
  <c r="AK491" i="25"/>
  <c r="L53" i="36" s="1"/>
  <c r="AI492" i="25"/>
  <c r="AG492" i="25"/>
  <c r="AE505" i="25"/>
  <c r="AL505" i="25"/>
  <c r="AK511" i="25"/>
  <c r="L35" i="36" s="1"/>
  <c r="M35" i="36" s="1"/>
  <c r="AJ511" i="25"/>
  <c r="K35" i="36" s="1"/>
  <c r="AJ519" i="25"/>
  <c r="K40" i="36" s="1"/>
  <c r="AK519" i="25"/>
  <c r="L40" i="36" s="1"/>
  <c r="M40" i="36" s="1"/>
  <c r="AL538" i="25"/>
  <c r="AE538" i="25"/>
  <c r="J80" i="36" s="1"/>
  <c r="AL549" i="25"/>
  <c r="AE549" i="25"/>
  <c r="J100" i="36" s="1"/>
  <c r="AE461" i="25"/>
  <c r="AJ461" i="25"/>
  <c r="K55" i="36" s="1"/>
  <c r="AL462" i="25"/>
  <c r="AI464" i="25"/>
  <c r="AF475" i="25"/>
  <c r="AE478" i="25"/>
  <c r="AG481" i="25"/>
  <c r="AE483" i="25"/>
  <c r="AJ483" i="25"/>
  <c r="K36" i="36" s="1"/>
  <c r="AK485" i="25"/>
  <c r="L46" i="36" s="1"/>
  <c r="M46" i="36" s="1"/>
  <c r="AI486" i="25"/>
  <c r="AM486" i="25" s="1"/>
  <c r="AG486" i="25"/>
  <c r="AE487" i="25"/>
  <c r="AK488" i="25"/>
  <c r="L42" i="36" s="1"/>
  <c r="M42" i="36" s="1"/>
  <c r="AJ488" i="25"/>
  <c r="K42" i="36" s="1"/>
  <c r="AM489" i="25"/>
  <c r="AL491" i="25"/>
  <c r="AM496" i="25"/>
  <c r="AM497" i="25"/>
  <c r="AM502" i="25"/>
  <c r="AM506" i="25"/>
  <c r="AK508" i="25"/>
  <c r="L33" i="36" s="1"/>
  <c r="M33" i="36" s="1"/>
  <c r="AJ508" i="25"/>
  <c r="K33" i="36" s="1"/>
  <c r="AM510" i="25"/>
  <c r="AG510" i="25"/>
  <c r="AL512" i="25"/>
  <c r="AM513" i="25"/>
  <c r="AK516" i="25"/>
  <c r="AJ516" i="25"/>
  <c r="AL526" i="25"/>
  <c r="AE526" i="25"/>
  <c r="J66" i="36" s="1"/>
  <c r="AM500" i="25"/>
  <c r="AG496" i="25"/>
  <c r="AE498" i="25"/>
  <c r="AJ498" i="25"/>
  <c r="K60" i="36" s="1"/>
  <c r="AE509" i="25"/>
  <c r="AJ509" i="25"/>
  <c r="AG513" i="25"/>
  <c r="AE517" i="25"/>
  <c r="AJ517" i="25"/>
  <c r="K59" i="36" s="1"/>
  <c r="AG519" i="25"/>
  <c r="P523" i="25"/>
  <c r="P522" i="25" s="1"/>
  <c r="AE534" i="25"/>
  <c r="J68" i="36" s="1"/>
  <c r="AE535" i="25"/>
  <c r="J96" i="36" s="1"/>
  <c r="AE536" i="25"/>
  <c r="J86" i="36" s="1"/>
  <c r="AE537" i="25"/>
  <c r="J75" i="36" s="1"/>
  <c r="AE540" i="25"/>
  <c r="J95" i="36" s="1"/>
  <c r="AE547" i="25"/>
  <c r="J101" i="36" s="1"/>
  <c r="AE548" i="25"/>
  <c r="J90" i="36" s="1"/>
  <c r="AE551" i="25"/>
  <c r="J98" i="36" s="1"/>
  <c r="AE552" i="25"/>
  <c r="J81" i="36" s="1"/>
  <c r="AL557" i="25"/>
  <c r="AL561" i="25"/>
  <c r="AL565" i="25"/>
  <c r="AL569" i="25"/>
  <c r="AL573" i="25"/>
  <c r="AL579" i="25"/>
  <c r="AL583" i="25"/>
  <c r="AL587" i="25"/>
  <c r="AL591" i="25"/>
  <c r="AL595" i="25"/>
  <c r="AL599" i="25"/>
  <c r="AJ495" i="25"/>
  <c r="K58" i="36" s="1"/>
  <c r="AG497" i="25"/>
  <c r="AG502" i="25"/>
  <c r="AJ505" i="25"/>
  <c r="K39" i="36" s="1"/>
  <c r="AG506" i="25"/>
  <c r="AJ507" i="25"/>
  <c r="K54" i="36" s="1"/>
  <c r="AJ510" i="25"/>
  <c r="K34" i="36" s="1"/>
  <c r="AG511" i="25"/>
  <c r="AJ512" i="25"/>
  <c r="K32" i="36" s="1"/>
  <c r="AJ515" i="25"/>
  <c r="K28" i="36" s="1"/>
  <c r="AJ520" i="25"/>
  <c r="K29" i="36" s="1"/>
  <c r="AD524" i="25"/>
  <c r="I64" i="36" s="1"/>
  <c r="T531" i="25"/>
  <c r="T522" i="25" s="1"/>
  <c r="AL556" i="25"/>
  <c r="AE556" i="25"/>
  <c r="J94" i="36" s="1"/>
  <c r="AL560" i="25"/>
  <c r="AE560" i="25"/>
  <c r="J74" i="36" s="1"/>
  <c r="AL564" i="25"/>
  <c r="AE564" i="25"/>
  <c r="J84" i="36" s="1"/>
  <c r="AL568" i="25"/>
  <c r="AE568" i="25"/>
  <c r="J103" i="36" s="1"/>
  <c r="AL572" i="25"/>
  <c r="AE572" i="25"/>
  <c r="J79" i="36" s="1"/>
  <c r="AL578" i="25"/>
  <c r="AE578" i="25"/>
  <c r="AL582" i="25"/>
  <c r="AE582" i="25"/>
  <c r="AL586" i="25"/>
  <c r="AE586" i="25"/>
  <c r="AM586" i="25" s="1"/>
  <c r="AL590" i="25"/>
  <c r="AE590" i="25"/>
  <c r="AL594" i="25"/>
  <c r="AE594" i="25"/>
  <c r="AL598" i="25"/>
  <c r="AE598" i="25"/>
  <c r="AL602" i="25"/>
  <c r="AE602" i="25"/>
  <c r="AE530" i="25"/>
  <c r="J62" i="36" s="1"/>
  <c r="AD532" i="25"/>
  <c r="I97" i="36" s="1"/>
  <c r="AE543" i="25"/>
  <c r="J76" i="36" s="1"/>
  <c r="W10" i="28" l="1"/>
  <c r="C12" i="30" s="1"/>
  <c r="H10" i="36"/>
  <c r="J123" i="36"/>
  <c r="Q107" i="36"/>
  <c r="AL507" i="25"/>
  <c r="J54" i="36"/>
  <c r="I54" i="36"/>
  <c r="J121" i="36"/>
  <c r="J114" i="36"/>
  <c r="J49" i="36"/>
  <c r="I49" i="36"/>
  <c r="AL470" i="25"/>
  <c r="J22" i="36"/>
  <c r="I22" i="36"/>
  <c r="J61" i="36"/>
  <c r="I61" i="36"/>
  <c r="J16" i="36"/>
  <c r="I16" i="36"/>
  <c r="J117" i="36"/>
  <c r="J35" i="36"/>
  <c r="I35" i="36"/>
  <c r="AM575" i="25"/>
  <c r="J112" i="36"/>
  <c r="J118" i="36"/>
  <c r="J115" i="36"/>
  <c r="J57" i="36"/>
  <c r="I57" i="36"/>
  <c r="J15" i="36"/>
  <c r="I15" i="36"/>
  <c r="J120" i="36"/>
  <c r="AM574" i="25"/>
  <c r="J111" i="36"/>
  <c r="J21" i="36"/>
  <c r="I21" i="36"/>
  <c r="AL515" i="25"/>
  <c r="J28" i="36"/>
  <c r="I28" i="36"/>
  <c r="Q108" i="36"/>
  <c r="T108" i="36" s="1"/>
  <c r="R107" i="36"/>
  <c r="U107" i="36" s="1"/>
  <c r="AE512" i="25"/>
  <c r="J32" i="36"/>
  <c r="I32" i="36"/>
  <c r="AE501" i="25"/>
  <c r="J37" i="36"/>
  <c r="I37" i="36"/>
  <c r="AE472" i="25"/>
  <c r="J23" i="36"/>
  <c r="I23" i="36"/>
  <c r="J138" i="36"/>
  <c r="J122" i="36"/>
  <c r="J119" i="36"/>
  <c r="J53" i="36"/>
  <c r="I53" i="36"/>
  <c r="J33" i="36"/>
  <c r="I33" i="36"/>
  <c r="J58" i="36"/>
  <c r="I58" i="36"/>
  <c r="J39" i="36"/>
  <c r="I39" i="36"/>
  <c r="AL499" i="25"/>
  <c r="J44" i="36"/>
  <c r="I44" i="36"/>
  <c r="AM573" i="25"/>
  <c r="J110" i="36"/>
  <c r="J24" i="36"/>
  <c r="I24" i="36"/>
  <c r="J52" i="36"/>
  <c r="I52" i="36"/>
  <c r="J19" i="36"/>
  <c r="I19" i="36"/>
  <c r="J31" i="36"/>
  <c r="I31" i="36"/>
  <c r="J26" i="36"/>
  <c r="I26" i="36"/>
  <c r="J109" i="36"/>
  <c r="J18" i="36"/>
  <c r="I18" i="36"/>
  <c r="V65" i="36"/>
  <c r="M65" i="36"/>
  <c r="V28" i="36"/>
  <c r="M28" i="36"/>
  <c r="V32" i="36"/>
  <c r="M32" i="36"/>
  <c r="V37" i="36"/>
  <c r="M37" i="36"/>
  <c r="V23" i="36"/>
  <c r="M23" i="36"/>
  <c r="V53" i="36"/>
  <c r="M53" i="36"/>
  <c r="V39" i="36"/>
  <c r="M39" i="36"/>
  <c r="V44" i="36"/>
  <c r="M44" i="36"/>
  <c r="V15" i="36"/>
  <c r="M15" i="36"/>
  <c r="V58" i="36"/>
  <c r="M58" i="36"/>
  <c r="V54" i="36"/>
  <c r="M54" i="36"/>
  <c r="V22" i="36"/>
  <c r="M22" i="36"/>
  <c r="H11" i="27"/>
  <c r="H10" i="27" s="1"/>
  <c r="V21" i="27"/>
  <c r="V11" i="27" s="1"/>
  <c r="AM520" i="25"/>
  <c r="AM514" i="25"/>
  <c r="Z384" i="25"/>
  <c r="AB431" i="25"/>
  <c r="AJ521" i="25"/>
  <c r="K38" i="36" s="1"/>
  <c r="AC431" i="25"/>
  <c r="M13" i="28"/>
  <c r="M25" i="27"/>
  <c r="M16" i="28"/>
  <c r="M21" i="27"/>
  <c r="M11" i="26"/>
  <c r="AE381" i="25"/>
  <c r="AD475" i="25"/>
  <c r="AM21" i="25"/>
  <c r="J11" i="33"/>
  <c r="AA381" i="25"/>
  <c r="J11" i="27"/>
  <c r="AC381" i="25"/>
  <c r="M57" i="27"/>
  <c r="M20" i="27"/>
  <c r="M34" i="27"/>
  <c r="M24" i="27"/>
  <c r="M18" i="27"/>
  <c r="M32" i="27"/>
  <c r="M28" i="27"/>
  <c r="M15" i="28"/>
  <c r="M16" i="27"/>
  <c r="M15" i="27"/>
  <c r="AM138" i="25"/>
  <c r="AJ181" i="25"/>
  <c r="AM355" i="25"/>
  <c r="AM354" i="25"/>
  <c r="K13" i="33"/>
  <c r="N13" i="33" s="1"/>
  <c r="AM358" i="25"/>
  <c r="AM152" i="25"/>
  <c r="AB352" i="25"/>
  <c r="AC352" i="25"/>
  <c r="N7" i="25"/>
  <c r="I71" i="27"/>
  <c r="J71" i="27"/>
  <c r="AF7" i="25"/>
  <c r="I19" i="28"/>
  <c r="J19" i="28"/>
  <c r="U374" i="25"/>
  <c r="U371" i="25" s="1"/>
  <c r="AG107" i="25"/>
  <c r="AG82" i="25"/>
  <c r="AG337" i="25"/>
  <c r="AM145" i="25"/>
  <c r="AG21" i="25"/>
  <c r="AM583" i="25"/>
  <c r="AM373" i="25"/>
  <c r="AM584" i="25"/>
  <c r="AG174" i="25"/>
  <c r="AM579" i="25"/>
  <c r="AD267" i="25"/>
  <c r="AM275" i="25"/>
  <c r="AG101" i="25"/>
  <c r="AK124" i="25"/>
  <c r="Z33" i="25"/>
  <c r="AG482" i="25"/>
  <c r="I10" i="26"/>
  <c r="Q7" i="25"/>
  <c r="L18" i="33"/>
  <c r="O18" i="33" s="1"/>
  <c r="L14" i="27"/>
  <c r="L22" i="33"/>
  <c r="O22" i="33" s="1"/>
  <c r="I17" i="33"/>
  <c r="L13" i="27"/>
  <c r="I18" i="33"/>
  <c r="AG430" i="25"/>
  <c r="AK379" i="25"/>
  <c r="AG357" i="25"/>
  <c r="L33" i="27"/>
  <c r="AG133" i="25"/>
  <c r="L35" i="27"/>
  <c r="L12" i="27"/>
  <c r="L17" i="28"/>
  <c r="L31" i="27"/>
  <c r="L19" i="27"/>
  <c r="I12" i="33"/>
  <c r="AK380" i="25"/>
  <c r="AK376" i="25"/>
  <c r="AK378" i="25"/>
  <c r="L17" i="27"/>
  <c r="AE371" i="25"/>
  <c r="AK377" i="25"/>
  <c r="L18" i="28"/>
  <c r="L23" i="27"/>
  <c r="AM149" i="25"/>
  <c r="AB268" i="25"/>
  <c r="L22" i="27"/>
  <c r="L36" i="27"/>
  <c r="L27" i="27"/>
  <c r="L13" i="33"/>
  <c r="O13" i="33" s="1"/>
  <c r="I13" i="33"/>
  <c r="L30" i="27"/>
  <c r="AK163" i="25"/>
  <c r="AM578" i="25"/>
  <c r="AD460" i="25"/>
  <c r="AD459" i="25" s="1"/>
  <c r="AL501" i="25"/>
  <c r="AE468" i="25"/>
  <c r="AM468" i="25" s="1"/>
  <c r="AG124" i="25"/>
  <c r="AG109" i="25"/>
  <c r="V33" i="25"/>
  <c r="AM124" i="25"/>
  <c r="AK363" i="25"/>
  <c r="AM151" i="25"/>
  <c r="AG442" i="25"/>
  <c r="AG463" i="25"/>
  <c r="H10" i="28"/>
  <c r="AM545" i="25"/>
  <c r="AG103" i="25"/>
  <c r="AG326" i="25"/>
  <c r="R7" i="25"/>
  <c r="P7" i="25"/>
  <c r="AM530" i="25"/>
  <c r="AM598" i="25"/>
  <c r="AM590" i="25"/>
  <c r="AM582" i="25"/>
  <c r="AM572" i="25"/>
  <c r="AM564" i="25"/>
  <c r="AM556" i="25"/>
  <c r="AM527" i="25"/>
  <c r="AM551" i="25"/>
  <c r="AM537" i="25"/>
  <c r="AM470" i="25"/>
  <c r="AD436" i="25"/>
  <c r="AD384" i="25" s="1"/>
  <c r="AM472" i="25"/>
  <c r="AM439" i="25"/>
  <c r="AJ382" i="25"/>
  <c r="AM229" i="25"/>
  <c r="AM238" i="25"/>
  <c r="AM210" i="25"/>
  <c r="AM192" i="25"/>
  <c r="AG111" i="25"/>
  <c r="AM206" i="25"/>
  <c r="AM28" i="25"/>
  <c r="J14" i="26"/>
  <c r="AL516" i="25"/>
  <c r="AE516" i="25"/>
  <c r="AE491" i="25"/>
  <c r="AD306" i="25"/>
  <c r="AM592" i="25"/>
  <c r="AM558" i="25"/>
  <c r="AM569" i="25"/>
  <c r="AM565" i="25"/>
  <c r="AM561" i="25"/>
  <c r="AM557" i="25"/>
  <c r="AM546" i="25"/>
  <c r="AE286" i="25"/>
  <c r="I15" i="28"/>
  <c r="AL286" i="25"/>
  <c r="AM205" i="25"/>
  <c r="AM193" i="25"/>
  <c r="AM538" i="25"/>
  <c r="AM553" i="25"/>
  <c r="AM528" i="25"/>
  <c r="AM549" i="25"/>
  <c r="AM544" i="25"/>
  <c r="AM499" i="25"/>
  <c r="AM287" i="25"/>
  <c r="AM244" i="25"/>
  <c r="AM225" i="25"/>
  <c r="AG293" i="25"/>
  <c r="Z348" i="25"/>
  <c r="AM194" i="25"/>
  <c r="AM182" i="25"/>
  <c r="AM240" i="25"/>
  <c r="AM223" i="25"/>
  <c r="AM208" i="25"/>
  <c r="AM141" i="25"/>
  <c r="AM226" i="25"/>
  <c r="AM212" i="25"/>
  <c r="AG130" i="25"/>
  <c r="AM245" i="25"/>
  <c r="AM234" i="25"/>
  <c r="AM291" i="25"/>
  <c r="AM550" i="25"/>
  <c r="AM588" i="25"/>
  <c r="AM570" i="25"/>
  <c r="AM542" i="25"/>
  <c r="AM533" i="25"/>
  <c r="AG521" i="25"/>
  <c r="AM503" i="25"/>
  <c r="AG469" i="25"/>
  <c r="AM239" i="25"/>
  <c r="AE179" i="25"/>
  <c r="I31" i="27"/>
  <c r="AM222" i="25"/>
  <c r="AM207" i="25"/>
  <c r="AM543" i="25"/>
  <c r="AM602" i="25"/>
  <c r="AM594" i="25"/>
  <c r="AM568" i="25"/>
  <c r="AM560" i="25"/>
  <c r="AM548" i="25"/>
  <c r="AM536" i="25"/>
  <c r="AM547" i="25"/>
  <c r="AM535" i="25"/>
  <c r="AM526" i="25"/>
  <c r="AM474" i="25"/>
  <c r="AG437" i="25"/>
  <c r="AB374" i="25"/>
  <c r="V348" i="25"/>
  <c r="AB306" i="25"/>
  <c r="AM237" i="25"/>
  <c r="AG194" i="25"/>
  <c r="AM228" i="25"/>
  <c r="AM218" i="25"/>
  <c r="AM241" i="25"/>
  <c r="AM230" i="25"/>
  <c r="AG141" i="25"/>
  <c r="AM236" i="25"/>
  <c r="AM214" i="25"/>
  <c r="AM136" i="25"/>
  <c r="AG19" i="25"/>
  <c r="AK77" i="25"/>
  <c r="AM415" i="25"/>
  <c r="AJ163" i="25"/>
  <c r="K26" i="27" s="1"/>
  <c r="AM132" i="25"/>
  <c r="AM521" i="25"/>
  <c r="AM539" i="25"/>
  <c r="AL494" i="25"/>
  <c r="AE494" i="25"/>
  <c r="AG480" i="25"/>
  <c r="AD348" i="25"/>
  <c r="AM600" i="25"/>
  <c r="AM566" i="25"/>
  <c r="AM554" i="25"/>
  <c r="AL508" i="25"/>
  <c r="AE508" i="25"/>
  <c r="AE495" i="25"/>
  <c r="AD374" i="25"/>
  <c r="AM599" i="25"/>
  <c r="AM595" i="25"/>
  <c r="AM591" i="25"/>
  <c r="AM587" i="25"/>
  <c r="AG473" i="25"/>
  <c r="AM217" i="25"/>
  <c r="AM24" i="25"/>
  <c r="J13" i="26"/>
  <c r="AM525" i="25"/>
  <c r="AM246" i="25"/>
  <c r="AM215" i="25"/>
  <c r="AM211" i="25"/>
  <c r="AM552" i="25"/>
  <c r="AM540" i="25"/>
  <c r="AM534" i="25"/>
  <c r="AM233" i="25"/>
  <c r="AM294" i="25"/>
  <c r="AD186" i="25"/>
  <c r="I57" i="27"/>
  <c r="AM180" i="25"/>
  <c r="AM242" i="25"/>
  <c r="AM216" i="25"/>
  <c r="AM232" i="25"/>
  <c r="AM220" i="25"/>
  <c r="AM204" i="25"/>
  <c r="AM29" i="25"/>
  <c r="AM596" i="25"/>
  <c r="AM580" i="25"/>
  <c r="AM562" i="25"/>
  <c r="AL504" i="25"/>
  <c r="AE504" i="25"/>
  <c r="AM231" i="25"/>
  <c r="AM209" i="25"/>
  <c r="AD155" i="25"/>
  <c r="AG291" i="25"/>
  <c r="AM219" i="25"/>
  <c r="AM203" i="25"/>
  <c r="AM434" i="25"/>
  <c r="AM449" i="25"/>
  <c r="AG443" i="25"/>
  <c r="AG361" i="25"/>
  <c r="AJ308" i="25"/>
  <c r="AM376" i="25"/>
  <c r="AM315" i="25"/>
  <c r="AM378" i="25"/>
  <c r="AJ145" i="25"/>
  <c r="AG118" i="25"/>
  <c r="AJ93" i="25"/>
  <c r="AM77" i="25"/>
  <c r="AJ363" i="25"/>
  <c r="K21" i="33" s="1"/>
  <c r="N21" i="33" s="1"/>
  <c r="AM356" i="25"/>
  <c r="AG128" i="25"/>
  <c r="AM147" i="25"/>
  <c r="AM379" i="25"/>
  <c r="AM448" i="25"/>
  <c r="AM308" i="25"/>
  <c r="AG307" i="25"/>
  <c r="AM143" i="25"/>
  <c r="AJ141" i="25"/>
  <c r="AJ117" i="25"/>
  <c r="AG137" i="25"/>
  <c r="AM134" i="25"/>
  <c r="AM129" i="25"/>
  <c r="AM444" i="25"/>
  <c r="AM278" i="25"/>
  <c r="AG272" i="25"/>
  <c r="AM122" i="25"/>
  <c r="AG120" i="25"/>
  <c r="AM153" i="25"/>
  <c r="AM445" i="25"/>
  <c r="AM451" i="25"/>
  <c r="AM314" i="25"/>
  <c r="AG350" i="25"/>
  <c r="AM359" i="25"/>
  <c r="AM380" i="25"/>
  <c r="AG116" i="25"/>
  <c r="K12" i="26"/>
  <c r="AK17" i="25"/>
  <c r="K13" i="26"/>
  <c r="AG415" i="25"/>
  <c r="AJ277" i="25"/>
  <c r="AM277" i="25"/>
  <c r="AK145" i="25"/>
  <c r="K11" i="26"/>
  <c r="AM353" i="25"/>
  <c r="AM179" i="25"/>
  <c r="AG122" i="25"/>
  <c r="L12" i="26"/>
  <c r="L13" i="26"/>
  <c r="AJ373" i="25"/>
  <c r="AJ462" i="25"/>
  <c r="AM462" i="25"/>
  <c r="AM464" i="25"/>
  <c r="AA312" i="25"/>
  <c r="AJ312" i="25" s="1"/>
  <c r="AG94" i="25"/>
  <c r="AC34" i="25"/>
  <c r="AA371" i="25"/>
  <c r="AJ415" i="25"/>
  <c r="AJ128" i="25"/>
  <c r="AG419" i="25"/>
  <c r="AM293" i="25"/>
  <c r="AA341" i="25"/>
  <c r="AK93" i="25"/>
  <c r="AJ353" i="25"/>
  <c r="K19" i="33" s="1"/>
  <c r="N19" i="33" s="1"/>
  <c r="AG353" i="25"/>
  <c r="AG356" i="25"/>
  <c r="AJ132" i="25"/>
  <c r="AM382" i="25"/>
  <c r="AG132" i="25"/>
  <c r="AM128" i="25"/>
  <c r="AC349" i="25"/>
  <c r="AK128" i="25"/>
  <c r="AG449" i="25"/>
  <c r="AG444" i="25"/>
  <c r="AG454" i="25"/>
  <c r="AG434" i="25"/>
  <c r="AG376" i="25"/>
  <c r="AB271" i="25"/>
  <c r="U7" i="25"/>
  <c r="AM93" i="25"/>
  <c r="AG117" i="25"/>
  <c r="AA34" i="25"/>
  <c r="AG113" i="25"/>
  <c r="AM95" i="25"/>
  <c r="AG86" i="25"/>
  <c r="AM181" i="25"/>
  <c r="AG373" i="25"/>
  <c r="AK174" i="25"/>
  <c r="AJ174" i="25"/>
  <c r="K29" i="27" s="1"/>
  <c r="AG73" i="25"/>
  <c r="AM22" i="25"/>
  <c r="AG22" i="25"/>
  <c r="AK312" i="25"/>
  <c r="AC310" i="25"/>
  <c r="AG509" i="25"/>
  <c r="AM509" i="25"/>
  <c r="AG487" i="25"/>
  <c r="AM487" i="25"/>
  <c r="AM461" i="25"/>
  <c r="AG461" i="25"/>
  <c r="AE460" i="25"/>
  <c r="AJ492" i="25"/>
  <c r="K47" i="36" s="1"/>
  <c r="AK492" i="25"/>
  <c r="L47" i="36" s="1"/>
  <c r="M47" i="36" s="1"/>
  <c r="AJ471" i="25"/>
  <c r="K16" i="36" s="1"/>
  <c r="AK471" i="25"/>
  <c r="L16" i="36" s="1"/>
  <c r="M16" i="36" s="1"/>
  <c r="AG464" i="25"/>
  <c r="AM515" i="25"/>
  <c r="AG515" i="25"/>
  <c r="AM492" i="25"/>
  <c r="AM493" i="25"/>
  <c r="AG493" i="25"/>
  <c r="AM457" i="25"/>
  <c r="AG457" i="25"/>
  <c r="AG439" i="25"/>
  <c r="AG451" i="25"/>
  <c r="AG417" i="25"/>
  <c r="AB440" i="25"/>
  <c r="AG428" i="25"/>
  <c r="AC434" i="25"/>
  <c r="AC384" i="25" s="1"/>
  <c r="S384" i="25"/>
  <c r="S7" i="25" s="1"/>
  <c r="AC436" i="25"/>
  <c r="AM377" i="25"/>
  <c r="AG377" i="25"/>
  <c r="AJ375" i="25"/>
  <c r="AA374" i="25"/>
  <c r="AG358" i="25"/>
  <c r="AG314" i="25"/>
  <c r="AM433" i="25"/>
  <c r="AG433" i="25"/>
  <c r="AM414" i="25"/>
  <c r="AG414" i="25"/>
  <c r="AJ361" i="25"/>
  <c r="K20" i="33" s="1"/>
  <c r="N20" i="33" s="1"/>
  <c r="AA360" i="25"/>
  <c r="AM289" i="25"/>
  <c r="AK289" i="25"/>
  <c r="L12" i="28" s="1"/>
  <c r="AJ289" i="25"/>
  <c r="K12" i="28" s="1"/>
  <c r="AC341" i="25"/>
  <c r="AE306" i="25"/>
  <c r="AM307" i="25"/>
  <c r="AC316" i="25"/>
  <c r="AJ351" i="25"/>
  <c r="AA349" i="25"/>
  <c r="AC276" i="25"/>
  <c r="AB276" i="25"/>
  <c r="AB274" i="25" s="1"/>
  <c r="AE276" i="25"/>
  <c r="AA276" i="25"/>
  <c r="Z274" i="25"/>
  <c r="AE268" i="25"/>
  <c r="AJ149" i="25"/>
  <c r="AM280" i="25"/>
  <c r="AG280" i="25"/>
  <c r="AJ272" i="25"/>
  <c r="AA271" i="25"/>
  <c r="AG144" i="25"/>
  <c r="AM144" i="25"/>
  <c r="AM139" i="25"/>
  <c r="AG139" i="25"/>
  <c r="AG114" i="25"/>
  <c r="AG95" i="25"/>
  <c r="AC119" i="25"/>
  <c r="AK120" i="25"/>
  <c r="AJ77" i="25"/>
  <c r="AG74" i="25"/>
  <c r="AM91" i="25"/>
  <c r="AG91" i="25"/>
  <c r="AM106" i="25"/>
  <c r="AG106" i="25"/>
  <c r="AK95" i="25"/>
  <c r="AG90" i="25"/>
  <c r="AM17" i="25"/>
  <c r="AG517" i="25"/>
  <c r="AM517" i="25"/>
  <c r="AM512" i="25"/>
  <c r="AG512" i="25"/>
  <c r="AG483" i="25"/>
  <c r="AM483" i="25"/>
  <c r="AK464" i="25"/>
  <c r="L25" i="36" s="1"/>
  <c r="M25" i="36" s="1"/>
  <c r="AJ464" i="25"/>
  <c r="K25" i="36" s="1"/>
  <c r="AJ469" i="25"/>
  <c r="K19" i="36" s="1"/>
  <c r="AK469" i="25"/>
  <c r="L19" i="36" s="1"/>
  <c r="AG472" i="25"/>
  <c r="AJ480" i="25"/>
  <c r="AK480" i="25"/>
  <c r="AM476" i="25"/>
  <c r="AM442" i="25"/>
  <c r="AG448" i="25"/>
  <c r="AA384" i="25"/>
  <c r="AB349" i="25"/>
  <c r="AB348" i="25" s="1"/>
  <c r="AB312" i="25"/>
  <c r="AB310" i="25" s="1"/>
  <c r="AE312" i="25"/>
  <c r="Z310" i="25"/>
  <c r="AK375" i="25"/>
  <c r="AC374" i="25"/>
  <c r="AM361" i="25"/>
  <c r="AE360" i="25"/>
  <c r="AK308" i="25"/>
  <c r="AK284" i="25"/>
  <c r="AJ284" i="25"/>
  <c r="AA268" i="25"/>
  <c r="AE191" i="25"/>
  <c r="AM191" i="25"/>
  <c r="AM272" i="25"/>
  <c r="AE271" i="25"/>
  <c r="AG143" i="25"/>
  <c r="AM150" i="25"/>
  <c r="AG150" i="25"/>
  <c r="AM142" i="25"/>
  <c r="AG142" i="25"/>
  <c r="AM89" i="25"/>
  <c r="AG89" i="25"/>
  <c r="AA22" i="25"/>
  <c r="AJ22" i="25" s="1"/>
  <c r="AC22" i="25"/>
  <c r="AK22" i="25" s="1"/>
  <c r="AB22" i="25"/>
  <c r="AB12" i="25" s="1"/>
  <c r="AJ120" i="25"/>
  <c r="AA119" i="25"/>
  <c r="AM100" i="25"/>
  <c r="AG100" i="25"/>
  <c r="AB34" i="25"/>
  <c r="AE119" i="25"/>
  <c r="AM120" i="25"/>
  <c r="AM112" i="25"/>
  <c r="AG112" i="25"/>
  <c r="AC71" i="25"/>
  <c r="AE34" i="25"/>
  <c r="AM110" i="25"/>
  <c r="AG110" i="25"/>
  <c r="AJ95" i="25"/>
  <c r="AG77" i="25"/>
  <c r="AE71" i="25"/>
  <c r="AL532" i="25"/>
  <c r="AE532" i="25"/>
  <c r="J97" i="36" s="1"/>
  <c r="AD531" i="25"/>
  <c r="AK486" i="25"/>
  <c r="L51" i="36" s="1"/>
  <c r="M51" i="36" s="1"/>
  <c r="AJ486" i="25"/>
  <c r="K51" i="36" s="1"/>
  <c r="AM505" i="25"/>
  <c r="AG505" i="25"/>
  <c r="AJ467" i="25"/>
  <c r="K18" i="36" s="1"/>
  <c r="AK467" i="25"/>
  <c r="L18" i="36" s="1"/>
  <c r="M18" i="36" s="1"/>
  <c r="AM507" i="25"/>
  <c r="AG507" i="25"/>
  <c r="AK478" i="25"/>
  <c r="AJ478" i="25"/>
  <c r="AK442" i="25"/>
  <c r="AJ437" i="25"/>
  <c r="AA436" i="25"/>
  <c r="AA440" i="25"/>
  <c r="AJ443" i="25"/>
  <c r="AG354" i="25"/>
  <c r="AB384" i="25"/>
  <c r="AC306" i="25"/>
  <c r="AK307" i="25"/>
  <c r="R106" i="36" s="1"/>
  <c r="AM285" i="25"/>
  <c r="AJ285" i="25"/>
  <c r="K14" i="28" s="1"/>
  <c r="AK285" i="25"/>
  <c r="L14" i="28" s="1"/>
  <c r="AA316" i="25"/>
  <c r="AE316" i="25"/>
  <c r="AE281" i="25"/>
  <c r="AG283" i="25"/>
  <c r="AM283" i="25"/>
  <c r="AK275" i="25"/>
  <c r="AC271" i="25"/>
  <c r="AK272" i="25"/>
  <c r="AM154" i="25"/>
  <c r="AG154" i="25"/>
  <c r="AG148" i="25"/>
  <c r="AM148" i="25"/>
  <c r="AM146" i="25"/>
  <c r="AG146" i="25"/>
  <c r="AG115" i="25"/>
  <c r="AM85" i="25"/>
  <c r="AG85" i="25"/>
  <c r="AA71" i="25"/>
  <c r="AM104" i="25"/>
  <c r="AG104" i="25"/>
  <c r="AM83" i="25"/>
  <c r="AG83" i="25"/>
  <c r="AM98" i="25"/>
  <c r="AG98" i="25"/>
  <c r="AG81" i="25"/>
  <c r="AG76" i="25"/>
  <c r="AB71" i="25"/>
  <c r="AM20" i="25"/>
  <c r="AG20" i="25"/>
  <c r="AD523" i="25"/>
  <c r="AE524" i="25"/>
  <c r="J64" i="36" s="1"/>
  <c r="AL524" i="25"/>
  <c r="AG498" i="25"/>
  <c r="AM498" i="25"/>
  <c r="AM478" i="25"/>
  <c r="AJ482" i="25"/>
  <c r="K48" i="36" s="1"/>
  <c r="AK482" i="25"/>
  <c r="L48" i="36" s="1"/>
  <c r="AJ473" i="25"/>
  <c r="K26" i="36" s="1"/>
  <c r="AK473" i="25"/>
  <c r="L26" i="36" s="1"/>
  <c r="M26" i="36" s="1"/>
  <c r="AG468" i="25"/>
  <c r="AM501" i="25"/>
  <c r="AG501" i="25"/>
  <c r="AG478" i="25"/>
  <c r="AC440" i="25"/>
  <c r="AM437" i="25"/>
  <c r="AE436" i="25"/>
  <c r="AE384" i="25" s="1"/>
  <c r="AG420" i="25"/>
  <c r="AM450" i="25"/>
  <c r="AG450" i="25"/>
  <c r="AM443" i="25"/>
  <c r="AE440" i="25"/>
  <c r="AM469" i="25"/>
  <c r="AG378" i="25"/>
  <c r="AE374" i="25"/>
  <c r="AM375" i="25"/>
  <c r="AG375" i="25"/>
  <c r="AG345" i="25"/>
  <c r="AE344" i="25"/>
  <c r="AE341" i="25" s="1"/>
  <c r="AM429" i="25"/>
  <c r="AG429" i="25"/>
  <c r="AC360" i="25"/>
  <c r="AC348" i="25" s="1"/>
  <c r="AK361" i="25"/>
  <c r="L20" i="33" s="1"/>
  <c r="O20" i="33" s="1"/>
  <c r="AE349" i="25"/>
  <c r="AJ307" i="25"/>
  <c r="AA306" i="25"/>
  <c r="T186" i="25"/>
  <c r="T7" i="25" s="1"/>
  <c r="AG180" i="25"/>
  <c r="AB316" i="25"/>
  <c r="AJ293" i="25"/>
  <c r="K19" i="28" s="1"/>
  <c r="AK293" i="25"/>
  <c r="L19" i="28" s="1"/>
  <c r="AM284" i="25"/>
  <c r="AE155" i="25"/>
  <c r="AM121" i="25"/>
  <c r="AG121" i="25"/>
  <c r="AB119" i="25"/>
  <c r="AM108" i="25"/>
  <c r="AG108" i="25"/>
  <c r="AM87" i="25"/>
  <c r="AG87" i="25"/>
  <c r="AM102" i="25"/>
  <c r="AG102" i="25"/>
  <c r="AJ17" i="25"/>
  <c r="AE12" i="25"/>
  <c r="B10" i="6"/>
  <c r="C10" i="6" s="1"/>
  <c r="D10" i="6" s="1"/>
  <c r="E10" i="6" s="1"/>
  <c r="F10" i="6" s="1"/>
  <c r="G10" i="6" s="1"/>
  <c r="H10" i="6" s="1"/>
  <c r="I10" i="6" s="1"/>
  <c r="J10" i="6" s="1"/>
  <c r="K10" i="6" s="1"/>
  <c r="L10" i="6" s="1"/>
  <c r="M10" i="6" s="1"/>
  <c r="N10" i="6" s="1"/>
  <c r="S10" i="6" s="1"/>
  <c r="T10" i="6" s="1"/>
  <c r="U10" i="6" s="1"/>
  <c r="V10" i="6" s="1"/>
  <c r="W10" i="6" s="1"/>
  <c r="X10" i="6" s="1"/>
  <c r="Y10" i="6" s="1"/>
  <c r="Z10" i="6" s="1"/>
  <c r="AA10" i="6" s="1"/>
  <c r="AB10" i="6" s="1"/>
  <c r="AC10" i="6" s="1"/>
  <c r="AD10" i="6" s="1"/>
  <c r="AE10" i="6" s="1"/>
  <c r="AF10" i="6" s="1"/>
  <c r="AG10" i="6" s="1"/>
  <c r="AK10" i="6" s="1"/>
  <c r="AJ16" i="4"/>
  <c r="AK16" i="4" s="1"/>
  <c r="AL16" i="4" s="1"/>
  <c r="AM16" i="4" s="1"/>
  <c r="AN16" i="4" s="1"/>
  <c r="AO16" i="4" s="1"/>
  <c r="AP16" i="4" s="1"/>
  <c r="AQ16" i="4" s="1"/>
  <c r="AR16" i="4" s="1"/>
  <c r="AS16" i="4" s="1"/>
  <c r="AT16" i="4" s="1"/>
  <c r="AU16" i="4" s="1"/>
  <c r="AV16" i="4" s="1"/>
  <c r="AW16" i="4" s="1"/>
  <c r="AX16" i="4" s="1"/>
  <c r="AY16" i="4" s="1"/>
  <c r="AZ16" i="4" s="1"/>
  <c r="BA16" i="4" s="1"/>
  <c r="BB16" i="4" s="1"/>
  <c r="BC16" i="4" s="1"/>
  <c r="BD16" i="4" s="1"/>
  <c r="BE16" i="4" s="1"/>
  <c r="BF16" i="4" s="1"/>
  <c r="BG16" i="4" s="1"/>
  <c r="BH16" i="4" s="1"/>
  <c r="BI16" i="4" s="1"/>
  <c r="BJ16" i="4" s="1"/>
  <c r="BK16" i="4" s="1"/>
  <c r="BL16" i="4" s="1"/>
  <c r="BM16" i="4" s="1"/>
  <c r="BN16" i="4" s="1"/>
  <c r="BO16" i="4" s="1"/>
  <c r="BP16" i="4" s="1"/>
  <c r="BQ16" i="4" s="1"/>
  <c r="X16" i="4"/>
  <c r="Y16" i="4" s="1"/>
  <c r="Z16" i="4" s="1"/>
  <c r="AA16" i="4" s="1"/>
  <c r="AB16" i="4" s="1"/>
  <c r="AC16" i="4" s="1"/>
  <c r="AD16" i="4" s="1"/>
  <c r="AE16" i="4" s="1"/>
  <c r="AF16" i="4" s="1"/>
  <c r="AG16" i="4" s="1"/>
  <c r="AH16" i="4" s="1"/>
  <c r="B16" i="4"/>
  <c r="C16" i="4" s="1"/>
  <c r="D16" i="4" s="1"/>
  <c r="E16" i="4" s="1"/>
  <c r="F16" i="4" s="1"/>
  <c r="G16" i="4" s="1"/>
  <c r="H16" i="4" s="1"/>
  <c r="I16" i="4" s="1"/>
  <c r="J16" i="4" s="1"/>
  <c r="K16" i="4" s="1"/>
  <c r="L16" i="4" s="1"/>
  <c r="M16" i="4" s="1"/>
  <c r="N16" i="4" s="1"/>
  <c r="O16" i="4" s="1"/>
  <c r="P16" i="4" s="1"/>
  <c r="Q16" i="4" s="1"/>
  <c r="R16" i="4" s="1"/>
  <c r="S16" i="4" s="1"/>
  <c r="T16" i="4" s="1"/>
  <c r="U16" i="4" s="1"/>
  <c r="V16" i="4" s="1"/>
  <c r="T107" i="36" l="1"/>
  <c r="T10" i="36" s="1"/>
  <c r="Q10" i="36"/>
  <c r="U106" i="36"/>
  <c r="V106" i="36" s="1"/>
  <c r="R10" i="36"/>
  <c r="P18" i="33"/>
  <c r="V107" i="36"/>
  <c r="I10" i="36"/>
  <c r="J10" i="36"/>
  <c r="L10" i="36"/>
  <c r="K10" i="36"/>
  <c r="M10" i="36"/>
  <c r="AE475" i="25"/>
  <c r="K10" i="26"/>
  <c r="M18" i="28"/>
  <c r="M17" i="28"/>
  <c r="M14" i="28"/>
  <c r="M11" i="28"/>
  <c r="M13" i="26"/>
  <c r="M12" i="26"/>
  <c r="J10" i="27"/>
  <c r="L10" i="26"/>
  <c r="K11" i="27"/>
  <c r="K10" i="27" s="1"/>
  <c r="I11" i="27"/>
  <c r="I10" i="27" s="1"/>
  <c r="M30" i="27"/>
  <c r="M22" i="27"/>
  <c r="M19" i="27"/>
  <c r="M12" i="27"/>
  <c r="M33" i="27"/>
  <c r="M17" i="27"/>
  <c r="M35" i="27"/>
  <c r="M13" i="27"/>
  <c r="M27" i="27"/>
  <c r="M36" i="27"/>
  <c r="M23" i="27"/>
  <c r="M31" i="27"/>
  <c r="M14" i="27"/>
  <c r="M19" i="28"/>
  <c r="L17" i="33"/>
  <c r="O17" i="33" s="1"/>
  <c r="P17" i="33" s="1"/>
  <c r="AK352" i="25"/>
  <c r="I11" i="33"/>
  <c r="I10" i="33" s="1"/>
  <c r="I10" i="37"/>
  <c r="AA310" i="25"/>
  <c r="L21" i="33"/>
  <c r="O21" i="33" s="1"/>
  <c r="L12" i="33"/>
  <c r="O12" i="33" s="1"/>
  <c r="L26" i="27"/>
  <c r="L19" i="33"/>
  <c r="O19" i="33" s="1"/>
  <c r="AK276" i="25"/>
  <c r="I10" i="28"/>
  <c r="AK434" i="25"/>
  <c r="L29" i="27"/>
  <c r="AC33" i="25"/>
  <c r="AG491" i="25"/>
  <c r="AM491" i="25"/>
  <c r="AE186" i="25"/>
  <c r="AE33" i="25" s="1"/>
  <c r="AM504" i="25"/>
  <c r="AG504" i="25"/>
  <c r="AD33" i="25"/>
  <c r="AD7" i="25" s="1"/>
  <c r="AM495" i="25"/>
  <c r="AG495" i="25"/>
  <c r="AG494" i="25"/>
  <c r="AM494" i="25"/>
  <c r="AM516" i="25"/>
  <c r="AG516" i="25"/>
  <c r="AA12" i="25"/>
  <c r="AG508" i="25"/>
  <c r="AM508" i="25"/>
  <c r="AG179" i="25"/>
  <c r="J10" i="28"/>
  <c r="AM286" i="25"/>
  <c r="AG286" i="25"/>
  <c r="AD522" i="25"/>
  <c r="AA33" i="25"/>
  <c r="AA348" i="25"/>
  <c r="J10" i="33"/>
  <c r="K10" i="37"/>
  <c r="AB267" i="25"/>
  <c r="J10" i="37"/>
  <c r="L10" i="37"/>
  <c r="AM276" i="25"/>
  <c r="AG276" i="25"/>
  <c r="AE274" i="25"/>
  <c r="AE267" i="25" s="1"/>
  <c r="AE459" i="25"/>
  <c r="AM524" i="25"/>
  <c r="AE523" i="25"/>
  <c r="AC12" i="25"/>
  <c r="AB33" i="25"/>
  <c r="AE310" i="25"/>
  <c r="AM312" i="25"/>
  <c r="AG312" i="25"/>
  <c r="AJ276" i="25"/>
  <c r="AA274" i="25"/>
  <c r="AA267" i="25" s="1"/>
  <c r="AE348" i="25"/>
  <c r="AC274" i="25"/>
  <c r="AC267" i="25" s="1"/>
  <c r="AE531" i="25"/>
  <c r="AM532" i="25"/>
  <c r="P19" i="33" l="1"/>
  <c r="P11" i="33" s="1"/>
  <c r="V10" i="36"/>
  <c r="C35" i="30" s="1"/>
  <c r="U10" i="36"/>
  <c r="O11" i="33"/>
  <c r="O10" i="33" s="1"/>
  <c r="J10" i="26"/>
  <c r="M10" i="26"/>
  <c r="M12" i="28"/>
  <c r="L11" i="27"/>
  <c r="L10" i="27" s="1"/>
  <c r="M29" i="27"/>
  <c r="M26" i="27"/>
  <c r="K17" i="33"/>
  <c r="AM352" i="25"/>
  <c r="L11" i="33"/>
  <c r="L10" i="33" s="1"/>
  <c r="AB7" i="25"/>
  <c r="AA7" i="25"/>
  <c r="K10" i="28"/>
  <c r="AE7" i="25"/>
  <c r="AC7" i="25"/>
  <c r="AE522" i="25"/>
  <c r="P10" i="33" l="1"/>
  <c r="C19" i="30" s="1"/>
  <c r="C14" i="30" s="1"/>
  <c r="K11" i="33"/>
  <c r="K10" i="33" s="1"/>
  <c r="N17" i="33"/>
  <c r="N11" i="33" s="1"/>
  <c r="N10" i="33" s="1"/>
  <c r="M10" i="28"/>
  <c r="M11" i="27"/>
  <c r="M10" i="27" s="1"/>
  <c r="L10" i="28"/>
  <c r="C25" i="30"/>
  <c r="M11" i="33" l="1"/>
  <c r="M10" i="33" s="1"/>
  <c r="D12" i="30"/>
  <c r="D9" i="30"/>
  <c r="V10" i="27" l="1"/>
  <c r="C10" i="30" l="1"/>
  <c r="C8" i="30" s="1"/>
  <c r="D10" i="30" l="1"/>
  <c r="C7" i="30"/>
</calcChain>
</file>

<file path=xl/comments1.xml><?xml version="1.0" encoding="utf-8"?>
<comments xmlns="http://schemas.openxmlformats.org/spreadsheetml/2006/main">
  <authors>
    <author>Phan Kiều Hương</author>
  </authors>
  <commentList>
    <comment ref="G50" authorId="0" shapeId="0">
      <text>
        <r>
          <rPr>
            <b/>
            <sz val="9"/>
            <color indexed="81"/>
            <rFont val="Tahoma"/>
            <family val="2"/>
          </rPr>
          <t>Phan Kiều Hương:</t>
        </r>
        <r>
          <rPr>
            <sz val="9"/>
            <color indexed="81"/>
            <rFont val="Tahoma"/>
            <family val="2"/>
          </rPr>
          <t xml:space="preserve">
giao đất ròng không có hạ tầng
</t>
        </r>
      </text>
    </comment>
    <comment ref="D137" authorId="0" shapeId="0">
      <text>
        <r>
          <rPr>
            <b/>
            <sz val="9"/>
            <color indexed="81"/>
            <rFont val="Tahoma"/>
            <family val="2"/>
          </rPr>
          <t>Phan Kiều Hương:</t>
        </r>
        <r>
          <rPr>
            <sz val="9"/>
            <color indexed="81"/>
            <rFont val="Tahoma"/>
            <family val="2"/>
          </rPr>
          <t xml:space="preserve">
giao đất ròng, không có hạ tầng
</t>
        </r>
      </text>
    </comment>
    <comment ref="D138" authorId="0" shapeId="0">
      <text>
        <r>
          <rPr>
            <b/>
            <sz val="9"/>
            <color indexed="81"/>
            <rFont val="Tahoma"/>
            <family val="2"/>
          </rPr>
          <t>Phan Kiều Hương:</t>
        </r>
        <r>
          <rPr>
            <sz val="9"/>
            <color indexed="81"/>
            <rFont val="Tahoma"/>
            <family val="2"/>
          </rPr>
          <t xml:space="preserve">
giao đất ròng, không có hạ tầng</t>
        </r>
      </text>
    </comment>
    <comment ref="D139" authorId="0" shapeId="0">
      <text>
        <r>
          <rPr>
            <b/>
            <sz val="9"/>
            <color indexed="81"/>
            <rFont val="Tahoma"/>
            <family val="2"/>
          </rPr>
          <t>Phan Kiều Hương:giao đất ròng, đã trừ hạ tầng</t>
        </r>
      </text>
    </comment>
    <comment ref="D180" authorId="0" shapeId="0">
      <text>
        <r>
          <rPr>
            <b/>
            <sz val="9"/>
            <color indexed="81"/>
            <rFont val="Tahoma"/>
            <family val="2"/>
          </rPr>
          <t>Phan Kiều Hương:</t>
        </r>
        <r>
          <rPr>
            <sz val="9"/>
            <color indexed="81"/>
            <rFont val="Tahoma"/>
            <family val="2"/>
          </rPr>
          <t xml:space="preserve">
giao đất ròng, đã trừ hạ tầng</t>
        </r>
      </text>
    </comment>
    <comment ref="D194" authorId="0" shapeId="0">
      <text>
        <r>
          <rPr>
            <b/>
            <sz val="9"/>
            <color indexed="81"/>
            <rFont val="Tahoma"/>
            <family val="2"/>
          </rPr>
          <t>Phan Kiều Hương:</t>
        </r>
        <r>
          <rPr>
            <sz val="9"/>
            <color indexed="81"/>
            <rFont val="Tahoma"/>
            <family val="2"/>
          </rPr>
          <t xml:space="preserve">
giao đất ròng đã trừ hạ tầng</t>
        </r>
      </text>
    </comment>
  </commentList>
</comments>
</file>

<file path=xl/comments2.xml><?xml version="1.0" encoding="utf-8"?>
<comments xmlns="http://schemas.openxmlformats.org/spreadsheetml/2006/main">
  <authors>
    <author>Admin</author>
  </authors>
  <commentList>
    <comment ref="AN316" authorId="0" shapeId="0">
      <text>
        <r>
          <rPr>
            <b/>
            <sz val="9"/>
            <color indexed="81"/>
            <rFont val="Tahoma"/>
            <family val="2"/>
          </rPr>
          <t>Admin:</t>
        </r>
        <r>
          <rPr>
            <sz val="9"/>
            <color indexed="81"/>
            <rFont val="Tahoma"/>
            <family val="2"/>
          </rPr>
          <t xml:space="preserve">
cũ</t>
        </r>
      </text>
    </comment>
    <comment ref="T434" authorId="0" shapeId="0">
      <text>
        <r>
          <rPr>
            <b/>
            <sz val="9"/>
            <color indexed="81"/>
            <rFont val="Tahoma"/>
            <family val="2"/>
          </rPr>
          <t>Admin:</t>
        </r>
        <r>
          <rPr>
            <sz val="9"/>
            <color indexed="81"/>
            <rFont val="Tahoma"/>
            <family val="2"/>
          </rPr>
          <t xml:space="preserve">
trước 15507</t>
        </r>
      </text>
    </comment>
    <comment ref="AD434" authorId="0" shapeId="0">
      <text>
        <r>
          <rPr>
            <b/>
            <sz val="9"/>
            <color indexed="81"/>
            <rFont val="Tahoma"/>
            <family val="2"/>
          </rPr>
          <t>Admin:</t>
        </r>
        <r>
          <rPr>
            <sz val="9"/>
            <color indexed="81"/>
            <rFont val="Tahoma"/>
            <family val="2"/>
          </rPr>
          <t xml:space="preserve">
trước 15507</t>
        </r>
      </text>
    </comment>
  </commentList>
</comments>
</file>

<file path=xl/sharedStrings.xml><?xml version="1.0" encoding="utf-8"?>
<sst xmlns="http://schemas.openxmlformats.org/spreadsheetml/2006/main" count="6278" uniqueCount="2611">
  <si>
    <t>Đơn vị báo cáo:</t>
  </si>
  <si>
    <t>(Ban hành kèm theo Thông tư số                /TT-BKHĐT ngày       tháng       năm 2016 của Bộ Kế hoạch và Đầu tư)</t>
  </si>
  <si>
    <t>Ủy ban nhân dân các tỉnh, thành phố trực thuộc Trung ương</t>
  </si>
  <si>
    <t>Đơn vị: Triệu đồng</t>
  </si>
  <si>
    <t>STT</t>
  </si>
  <si>
    <t>Năm N</t>
  </si>
  <si>
    <t>Nhu cầu kế hoạch năm N+1</t>
  </si>
  <si>
    <t>Ghi chú</t>
  </si>
  <si>
    <t>Kế hoạch giao</t>
  </si>
  <si>
    <t>Tổng số</t>
  </si>
  <si>
    <t>Trong nước</t>
  </si>
  <si>
    <t>Ngoài nước</t>
  </si>
  <si>
    <t>Nước ngoài</t>
  </si>
  <si>
    <t>TỔNG SỐ</t>
  </si>
  <si>
    <t>Trong đó:</t>
  </si>
  <si>
    <t xml:space="preserve">Trong đó: </t>
  </si>
  <si>
    <t>Vốn công trái quốc gia</t>
  </si>
  <si>
    <t>Vốn trái phiếu chính quyền địa phương</t>
  </si>
  <si>
    <t>Vốn tín dụng đầu tư phát triển của Nhà nước</t>
  </si>
  <si>
    <t>Ghi chú:</t>
  </si>
  <si>
    <t>(1) Năm N là năm đang thực hiện kế hoạch (dựa trên thời điểm báo cáo)</t>
  </si>
  <si>
    <t>(2) Kế hoạch trung hạn 5 năm giai đoạn chứa năm N+1. Nếu năm N+1 là năm đầu tiên của kế hoạch trung hạn thì lấy dự kiến kế hoạch trung hạn giai đoạn chứa năm N+1</t>
  </si>
  <si>
    <t>TT</t>
  </si>
  <si>
    <t>Danh mục dự án</t>
  </si>
  <si>
    <t>Địa điểm XD</t>
  </si>
  <si>
    <t>Năng lực thiết kế</t>
  </si>
  <si>
    <t>Thời gian KC-HT</t>
  </si>
  <si>
    <t>Quyết định đầu tư</t>
  </si>
  <si>
    <t>Nhu cầu kế hoạch năm N+1</t>
  </si>
  <si>
    <t>Dự kiến kế hoạch năm N+1</t>
  </si>
  <si>
    <t>Số quyết định; ngày, tháng, năm ban hành</t>
  </si>
  <si>
    <t xml:space="preserve">TMĐT </t>
  </si>
  <si>
    <t>Tổng số (tất cả các nguồn vốn)</t>
  </si>
  <si>
    <t>I</t>
  </si>
  <si>
    <t>(1)</t>
  </si>
  <si>
    <t>Các dự án hoàn thành, bàn giao, đi vào sử dụng trước ngày 31/12 năm N</t>
  </si>
  <si>
    <t>a</t>
  </si>
  <si>
    <t>Dự án nhóm A</t>
  </si>
  <si>
    <t>1</t>
  </si>
  <si>
    <t>Dự án ...</t>
  </si>
  <si>
    <t>2</t>
  </si>
  <si>
    <t>…</t>
  </si>
  <si>
    <t>………..</t>
  </si>
  <si>
    <t>b</t>
  </si>
  <si>
    <t>Dự án nhóm B</t>
  </si>
  <si>
    <t>c</t>
  </si>
  <si>
    <t>Dự án nhóm C</t>
  </si>
  <si>
    <t>(2)</t>
  </si>
  <si>
    <t>Các dự án dự kiến hoàn thành năm N+1</t>
  </si>
  <si>
    <t>II</t>
  </si>
  <si>
    <t>UBND các tỉnh, thành phố trực thuộc trung ương</t>
  </si>
  <si>
    <t>Tỉnh, thành phố ……</t>
  </si>
  <si>
    <t>Danh mục công trình, dự án</t>
  </si>
  <si>
    <t>Nhà tài trợ</t>
  </si>
  <si>
    <t>Ngày ký kết hiệp định</t>
  </si>
  <si>
    <t>Quyết định đầu tư hoặc Quyết định đầu tư điều chỉnh đã được cấp có thẩm quyền phê duyệt</t>
  </si>
  <si>
    <t>Lũy kế vốn đã bố trí đến hết kế hoạch năm N-1</t>
  </si>
  <si>
    <t>Lũy kế vốn đã giải ngân đến hết kế hoạch năm N-1</t>
  </si>
  <si>
    <t>Kế hoạch năm N</t>
  </si>
  <si>
    <r>
      <t>Ước thực hiện kế hoạch 2014 từ 1/1/2014 đến 31/12/2014</t>
    </r>
    <r>
      <rPr>
        <vertAlign val="superscript"/>
        <sz val="14"/>
        <rFont val="Times New Roman"/>
        <family val="1"/>
      </rPr>
      <t>(3)</t>
    </r>
  </si>
  <si>
    <r>
      <t xml:space="preserve">Kế hoạch 5 năm giai đoạn… </t>
    </r>
    <r>
      <rPr>
        <vertAlign val="superscript"/>
        <sz val="14"/>
        <rFont val="Times New Roman"/>
        <family val="1"/>
      </rPr>
      <t>(4)</t>
    </r>
  </si>
  <si>
    <t xml:space="preserve">Số quyết định </t>
  </si>
  <si>
    <r>
      <t>Vốn đối ứng</t>
    </r>
    <r>
      <rPr>
        <vertAlign val="superscript"/>
        <sz val="14"/>
        <rFont val="Times New Roman"/>
        <family val="1"/>
      </rPr>
      <t>(1)</t>
    </r>
  </si>
  <si>
    <r>
      <t>Vốn nước ngoài (theo Hiệp định)</t>
    </r>
    <r>
      <rPr>
        <vertAlign val="superscript"/>
        <sz val="14"/>
        <rFont val="Times New Roman"/>
        <family val="1"/>
      </rPr>
      <t>(2)</t>
    </r>
  </si>
  <si>
    <t xml:space="preserve">Vốn đối ứng </t>
  </si>
  <si>
    <t>Vốn nước ngoài (tính theo tiền Việt)</t>
  </si>
  <si>
    <t>Trong đó</t>
  </si>
  <si>
    <t>Tính bằng nguyên tệ</t>
  </si>
  <si>
    <t>Quy đổi ra tiền Việt</t>
  </si>
  <si>
    <t>NSTW</t>
  </si>
  <si>
    <t>TPCP</t>
  </si>
  <si>
    <t>Đưa vào cân đối NSTW</t>
  </si>
  <si>
    <t>Vay lại</t>
  </si>
  <si>
    <t>Trong đó: thu hồi các khoản vốn ứng trước</t>
  </si>
  <si>
    <t>A</t>
  </si>
  <si>
    <t>CÁC CHƯƠNG TRÌNH, DỰ ÁN ĐƯỢC CÂN ĐỐI VỐN ODA TỪ NSTW</t>
  </si>
  <si>
    <t>Ngành, Lĩnh vực/Chương trình.......</t>
  </si>
  <si>
    <t>Danh mục dự án hoàn thành, bàn giao, đi vào sử dụng trước ngày 31/12/2011</t>
  </si>
  <si>
    <t>3</t>
  </si>
  <si>
    <t>Danh mục dự án chuyển tiếp hoàn thành sau năm N+1</t>
  </si>
  <si>
    <t>4</t>
  </si>
  <si>
    <t>Danh mục dự án khởi công mới năm N</t>
  </si>
  <si>
    <t>Phân loại như trên</t>
  </si>
  <si>
    <t>B</t>
  </si>
  <si>
    <t>CÁC CHƯƠNG TRÌNH, DỰ ÁN ĐƯỢC CÂN ĐỐI VỐN ĐỐI ỨNG TỪ NSĐP</t>
  </si>
  <si>
    <t>Phân loại như phần A</t>
  </si>
  <si>
    <t>C</t>
  </si>
  <si>
    <t>CÁC CHƯƠNG TRÌNH, DỰ ÁN DO CHỦ DỰ ÁN TỰ BỐ TRÍ</t>
  </si>
  <si>
    <t>D</t>
  </si>
  <si>
    <t xml:space="preserve">Ghi chú: </t>
  </si>
  <si>
    <t>(3) Năm N là năm đang thực hiện kế hoạch (dựa trên thời điểm báo cáo)</t>
  </si>
  <si>
    <t>(4) Kế hoạch trung hạn 5 năm giai đoạn chứa năm N+1. Nếu năm N+1 là năm đầu tiên của kế hoạch trung hạn thì lấy dự kiến kế hoạch trung hạn giai đoạn chứa năm N+1</t>
  </si>
  <si>
    <t>Biểu mẫu số 4</t>
  </si>
  <si>
    <t>Tỉnh/Thành phố…</t>
  </si>
  <si>
    <t>(Áp dụng cho các bộ, ngành, cơ quan Trung ương, các tập đoàn kinh tế và tổng công ty nhà nước và các tỉnh, thành phố trực thuộc trung ương có các dự án sử dụng vốn ODA)</t>
  </si>
  <si>
    <r>
      <t xml:space="preserve">TÌNH HÌNH THỰC HIỆN CÁC DỰ ÁN ĐẦU TƯ TỪ VỐN ODA (VAY, VIỆN TRỢ) ĐƯA VÀO NGÂN SÁCH ĐỊA PHƯƠNG KẾ HOẠCH NĂM N </t>
    </r>
    <r>
      <rPr>
        <b/>
        <vertAlign val="superscript"/>
        <sz val="18"/>
        <rFont val="Times New Roman"/>
        <family val="1"/>
      </rPr>
      <t xml:space="preserve">(3) </t>
    </r>
    <r>
      <rPr>
        <b/>
        <sz val="18"/>
        <rFont val="Times New Roman"/>
        <family val="1"/>
      </rPr>
      <t>VÀ DỰ KIẾN KẾ HOẠCH NĂM 2016</t>
    </r>
  </si>
  <si>
    <t>(Biểu mẫu kèm theo văn bản số             /BKHĐT-TH ngày         tháng 6 năm 2015)</t>
  </si>
  <si>
    <t>Lũy kế vốn đã giải ngân đến hết KH năm N-1</t>
  </si>
  <si>
    <t>KH năm N</t>
  </si>
  <si>
    <t>Ước giải ngân kế hoạch năm N từ 1/1/2015 đến 31/1/2016</t>
  </si>
  <si>
    <t>Trong đó: NSĐP</t>
  </si>
  <si>
    <t>- (1) Phần vốn đối ứng là phần vốn trong nước tính theo tiền Việt Nam đồng</t>
  </si>
  <si>
    <t>- (2) Số vốn nước ngoài (tính bằng ngoại tệ, ghi rõ kèm theo đơn vị ngoại tệ), quy đổi ra Việt nam đồng theo quy định tại Hiệp định, trường hợp Hiệp định không quy đổi sang Việt nam đồng quy đổi theo tỷ giá thời điểm ký kết Hiệp định.
Phần vốn bố trí kế hoạch, thực hiện và giải ngân hàng năm quy đổi theo Việt nam đồng tính đến thời điểm thanh toán.</t>
  </si>
  <si>
    <t>Biểu mẫu số 5</t>
  </si>
  <si>
    <r>
      <t>TỔNG HỢP TÌNH HÌNH THỰC HIỆN KẾ HOẠCH ĐẦU TƯ NGUỒN TRÁI PHIẾU CHÍNH PHỦ NĂM N</t>
    </r>
    <r>
      <rPr>
        <b/>
        <vertAlign val="superscript"/>
        <sz val="16"/>
        <color indexed="8"/>
        <rFont val="Times New Roman"/>
        <family val="1"/>
      </rPr>
      <t>(1)</t>
    </r>
    <r>
      <rPr>
        <b/>
        <sz val="16"/>
        <color indexed="8"/>
        <rFont val="Times New Roman"/>
        <family val="1"/>
      </rPr>
      <t xml:space="preserve"> VÀ DỰ KIẾN KẾ HOẠCH NĂM N+1</t>
    </r>
  </si>
  <si>
    <t>Ngành, lĩnh vực, chương trình</t>
  </si>
  <si>
    <r>
      <t xml:space="preserve">Kế hoạch trung hạn 5 năm giai đoạn…. </t>
    </r>
    <r>
      <rPr>
        <vertAlign val="superscript"/>
        <sz val="14"/>
        <color indexed="8"/>
        <rFont val="Times New Roman"/>
        <family val="1"/>
      </rPr>
      <t>(2)</t>
    </r>
  </si>
  <si>
    <t>Dự kiến kế hoạch năm N+1</t>
  </si>
  <si>
    <t>Thực hiện từ 01/01 năm N đến 31 tháng 12 năm N</t>
  </si>
  <si>
    <t>Ước thực hiện từ 01/01 năm N đến hết thời hạn thực hiện theo quy định tại các Quyết định giao kế hoạch của TTgCP</t>
  </si>
  <si>
    <t>Các nguồn vốn khác</t>
  </si>
  <si>
    <t>Ngành, lĩnh vực/Chương trình…</t>
  </si>
  <si>
    <t>Biểu mẫu số 6</t>
  </si>
  <si>
    <r>
      <t>CHI TIẾT TÌNH HÌNH THỰC HIỆN KẾ HOẠCH VỐN TRÁI PHIẾU CHÍNH PHỦ NĂM N</t>
    </r>
    <r>
      <rPr>
        <b/>
        <vertAlign val="superscript"/>
        <sz val="16"/>
        <rFont val="Times New Roman"/>
        <family val="1"/>
      </rPr>
      <t xml:space="preserve"> (1)</t>
    </r>
    <r>
      <rPr>
        <b/>
        <sz val="16"/>
        <rFont val="Times New Roman"/>
        <family val="1"/>
      </rPr>
      <t xml:space="preserve"> VÀ DỰ KIẾN KẾ HOẠCH NĂM N+1 THEO NGÀNH, LĨNH VỰC</t>
    </r>
  </si>
  <si>
    <t>Quyết định đầu tư ban đầu</t>
  </si>
  <si>
    <t>Quyết định đầu tư điều chỉnh được cấp có thẩm quyền phê duyệt</t>
  </si>
  <si>
    <t>Quyết định đầu tư cập nhật hoặc điêu chỉnh được sự đồng ý của Thủ tướng Chính phủ</t>
  </si>
  <si>
    <t>Kế hoạch năm N được giao</t>
  </si>
  <si>
    <t>Ước khối lượng thực hiện từ KC đến 31/12 năm N</t>
  </si>
  <si>
    <t>Ước giải ngân kế hoạch năm N từ 1/1 năm N đến hết thời hạn quy định</t>
  </si>
  <si>
    <t>Dự kiến kế hoạch trung hạn 5 năm 2016-2020</t>
  </si>
  <si>
    <t>Số QĐ; ngày, tháng, năm ban hành</t>
  </si>
  <si>
    <t>Trong đó:  TPCP</t>
  </si>
  <si>
    <t>Trong đó: TPCP</t>
  </si>
  <si>
    <t>KH vốn TPCP đã giao năm 2014</t>
  </si>
  <si>
    <t>Điều chỉnh do tăng giá</t>
  </si>
  <si>
    <t>Thay đổi giải pháp kỹ thuật</t>
  </si>
  <si>
    <t>Điều chỉnh tăng quy mô</t>
  </si>
  <si>
    <t xml:space="preserve">Trong đó ước từ 1/1 năm N đến 31/12 năm N </t>
  </si>
  <si>
    <t>Dự kiến thu hồi các khoản ứng trước</t>
  </si>
  <si>
    <t>Danh mục dự án hoàn thành, đã bàn giao, đi vào sử dụng trước ngày 31/12 năm N</t>
  </si>
  <si>
    <t>Danh mục dự án dự kiến hoàn thành năm N+1</t>
  </si>
  <si>
    <t>Danh mục dự án quan trọng, trọng điểm</t>
  </si>
  <si>
    <t>Danh mục dự án hoàn thành sau năm N+1</t>
  </si>
  <si>
    <t>5</t>
  </si>
  <si>
    <t>Danh mục các dự án giãn, hoãn tiến độ thực hiện, bố trí vốn để thanh toán khối lượng đã thực hiện và đến điểm dừng kỹ thuật hợp lý</t>
  </si>
  <si>
    <t>…..</t>
  </si>
  <si>
    <t>IV</t>
  </si>
  <si>
    <t>KÝ TÚC XÁ SINH VIÊN</t>
  </si>
  <si>
    <t>V</t>
  </si>
  <si>
    <t>CHƯƠNG TRÌNH KIÊN CỐ HÓA TRƯỜNG LỚP HỌC VÀ NHÀ CÔNG VỤ CHO GIÁO VIÊN</t>
  </si>
  <si>
    <t>DỰ ÁN DI DÂN TÁI ĐỊNH CƯ THỦY ĐIỆN SƠN LA</t>
  </si>
  <si>
    <t>Biểu mẫu số 7</t>
  </si>
  <si>
    <t>(Ban hành kèm theo Thông tư số                /TT-BKHĐT ngày       tháng       năm 2016
 của Bộ Kế hoạch và Đầu tư)</t>
  </si>
  <si>
    <t>DỰ KIẾN KẾ HOẠCH NĂM N+1 THỰC HIỆN CÁC DỰ ÁN ĐẦU TƯ THEO HÌNH THỨC ĐỐI TÁC CÔNG - TƯ (PPP)</t>
  </si>
  <si>
    <t>Tổng mức đầu tư</t>
  </si>
  <si>
    <r>
      <t>Kế hoạch năm N</t>
    </r>
    <r>
      <rPr>
        <vertAlign val="superscript"/>
        <sz val="14"/>
        <rFont val="Times New Roman"/>
        <family val="1"/>
      </rPr>
      <t>(1)</t>
    </r>
  </si>
  <si>
    <t>Dự kiến kế hoạch năm 2016</t>
  </si>
  <si>
    <t>Trong đó: năm 2015</t>
  </si>
  <si>
    <r>
      <t>Vốn nhà nước đóng góp vào phần tham gia của Nhà nước</t>
    </r>
    <r>
      <rPr>
        <vertAlign val="superscript"/>
        <sz val="14"/>
        <rFont val="Times New Roman"/>
        <family val="1"/>
      </rPr>
      <t>(*)</t>
    </r>
  </si>
  <si>
    <t>Vốn nhà nước chuẩn bị dự án</t>
  </si>
  <si>
    <t>Vốn do nhà thầu tự huy động</t>
  </si>
  <si>
    <t>Vốn nhà nước đóng góp vào phần tham gia của Nhà nước(*)</t>
  </si>
  <si>
    <t>NSTW hỗ trợ</t>
  </si>
  <si>
    <t>NSĐP tự cân đối</t>
  </si>
  <si>
    <t>Trong trường hợp phần tham gia của Nhà nước bằng các tài sản vật chất thì vốn nhà nước đóng góp vào phần tham gia của Nhà nước là giá trị tài sản vật chất được lượng hóa bằng tiền</t>
  </si>
  <si>
    <t>Biểu mẫu số 8</t>
  </si>
  <si>
    <t>Tỉnh, thành phố …</t>
  </si>
  <si>
    <r>
      <t xml:space="preserve">BÁO CÁO TÌNH HÌNH THÔNG BÁO VÀ GIAO KẾ HOẠCH ĐẦU TƯ CÔNG NĂM N </t>
    </r>
    <r>
      <rPr>
        <b/>
        <vertAlign val="superscript"/>
        <sz val="14"/>
        <color theme="1"/>
        <rFont val="Times New Roman"/>
        <family val="1"/>
      </rPr>
      <t>(1)</t>
    </r>
  </si>
  <si>
    <t>Chương trình/ngành, lĩnh vực</t>
  </si>
  <si>
    <t>Kế hoạch năm N được Thủ tướng Chính phủ và Bộ Kế hoạch và Đầu tư giao</t>
  </si>
  <si>
    <t>Kế hoạch năm N được địa phương giao</t>
  </si>
  <si>
    <t>Số dự án</t>
  </si>
  <si>
    <t>Số vốn</t>
  </si>
  <si>
    <t>Số dự án giao theo QĐ giao KH năm N của Thủ tướng Chính phủ</t>
  </si>
  <si>
    <t>Số dự án không được Thủ tướng Chính phủ giao chi tiết, do các địa phương giao</t>
  </si>
  <si>
    <t>TỔNG SỐ VỐN</t>
  </si>
  <si>
    <t>Vốn đầu tư nguồn NSNN</t>
  </si>
  <si>
    <t>Cân đối ngân sách địa phương</t>
  </si>
  <si>
    <t>-</t>
  </si>
  <si>
    <t>Chuẩn bị đầu tư</t>
  </si>
  <si>
    <t>Thực hiện dự án</t>
  </si>
  <si>
    <t>Vốn đầu tư trong cân đối theo tiêu chí, định mức</t>
  </si>
  <si>
    <t>Đầu tư khoa học và công nghệ</t>
  </si>
  <si>
    <t>Đầu tư giáo dục, đào tạo và giáo dục nghề nghiệp</t>
  </si>
  <si>
    <t>Đầu tư từ nguồn thu sử dụng đất</t>
  </si>
  <si>
    <t>Ngân sách trung ương</t>
  </si>
  <si>
    <t>Các chương trình mục tiêu Quốc gia</t>
  </si>
  <si>
    <t>Chương trình...</t>
  </si>
  <si>
    <t>Các chương trình mục tiêu</t>
  </si>
  <si>
    <t>Ngành, lĩnh vực, chương trình …</t>
  </si>
  <si>
    <t>III</t>
  </si>
  <si>
    <t>Vốn Trái phiếu Chính phủ</t>
  </si>
  <si>
    <t>Vốn từ nguồn thu để lại cho đầu tư nhưng chưa đưa vào cân đối ngân sách nhà nước</t>
  </si>
  <si>
    <t>VI</t>
  </si>
  <si>
    <t>Ngành, lĩnh vực…</t>
  </si>
  <si>
    <t>VII</t>
  </si>
  <si>
    <t>Các khoản vốn vay khác của ngân sách địa phương để đầu tư</t>
  </si>
  <si>
    <r>
      <t xml:space="preserve">TỔNG HỢP TÌNH HÌNH THỰC HIỆN VÀ GIẢI NGÂN KẾ HOẠCH ĐẦU TƯ CÔNG KẾ HOẠCH NĂM N </t>
    </r>
    <r>
      <rPr>
        <b/>
        <vertAlign val="superscript"/>
        <sz val="14"/>
        <color theme="1"/>
        <rFont val="Times New Roman"/>
        <family val="1"/>
      </rPr>
      <t>(1)</t>
    </r>
  </si>
  <si>
    <t>Khối lượng thực hiện Kế hoạch năm N tính từ 01/01 năm N đến tháng cuối quý trước</t>
  </si>
  <si>
    <t>Giải ngân Kế hoạch năm N tính từ 01/01 năm N đến tháng cuối quý trước</t>
  </si>
  <si>
    <t>So với Kế hoạch năm N (%)</t>
  </si>
  <si>
    <t>Khối lượng thực hiện</t>
  </si>
  <si>
    <t>Giải ngân</t>
  </si>
  <si>
    <t>Có chuẩn bị đầu tư, thực hiện dự án k</t>
  </si>
  <si>
    <t>Biểu mẫu số 10</t>
  </si>
  <si>
    <t>BÁO CÁO 6 THÁNG</t>
  </si>
  <si>
    <t>Thu hồi các khoản ứng trước</t>
  </si>
  <si>
    <t>Thanh toán nợ đọng xây dựng cơ bản</t>
  </si>
  <si>
    <t>2.1</t>
  </si>
  <si>
    <t>Các dự án hoàn thành, bàn giao, đi vào sử dụng trước ngày 31/12 năm N-1</t>
  </si>
  <si>
    <t>2.2</t>
  </si>
  <si>
    <t>Các dự án dự kiến hoàn thành năm N</t>
  </si>
  <si>
    <t>2.3</t>
  </si>
  <si>
    <t>2.4</t>
  </si>
  <si>
    <t>Các dự án khởi công mới năm N</t>
  </si>
  <si>
    <t>2.5</t>
  </si>
  <si>
    <t>Các dự án giãn hoãn tiến độ thi công và chuyển đổi hình thức đầu tư</t>
  </si>
  <si>
    <t>Biểu mẫu số 12</t>
  </si>
  <si>
    <r>
      <t xml:space="preserve">CHI TIẾT TÌNH HÌNH THỰC HIỆN VÀ GIẢI NGÂN CÁC DỰ ÁN SỬ DỤNG VỐN TRÁI PHIẾU CHÍNH PHỦ KẾ HOẠCH NĂM N </t>
    </r>
    <r>
      <rPr>
        <b/>
        <vertAlign val="superscript"/>
        <sz val="16"/>
        <rFont val="Times New Roman"/>
        <family val="1"/>
      </rPr>
      <t>(1)</t>
    </r>
  </si>
  <si>
    <t>Kế hoạch năm N (vốn TPCP)</t>
  </si>
  <si>
    <t>Khối lượng thực hiện Kế hoạch năm N tính từ 01/01 năm N đến hết ngày 30/6 năm N (vốn TPCP)</t>
  </si>
  <si>
    <t>Giải ngân Kế hoạch năm N tính từ 01/01 năm N đến hết ngày 30/6 năm N</t>
  </si>
  <si>
    <t>Số quyết định ngày, tháng, năm ban hành</t>
  </si>
  <si>
    <t>Tổng số 
(tất cả các nguồn vốn)</t>
  </si>
  <si>
    <t>Vốn NSTW</t>
  </si>
  <si>
    <t>Vốn TPCP</t>
  </si>
  <si>
    <t>Ngành, Lĩnh vực.......</t>
  </si>
  <si>
    <t xml:space="preserve">Các dự án chuyển tiếp hoàn thành sau năm N </t>
  </si>
  <si>
    <t>........................</t>
  </si>
  <si>
    <t>...................</t>
  </si>
  <si>
    <t>Ngành, Lĩnh vực</t>
  </si>
  <si>
    <t>PHÂN LOẠI NHƯ I</t>
  </si>
  <si>
    <t>Giải thích các cột:</t>
  </si>
  <si>
    <t>- (1): Số thứ tự</t>
  </si>
  <si>
    <t>- (2): Tên dự án theo Quyết định đầu tư được cấp có thẩm quyền phê duyệt</t>
  </si>
  <si>
    <t>- (3): Nhóm dự án theo quy định tại Nghị định số 112/2006/NĐ-CP ngày 29/9/2006 của Chính phủ</t>
  </si>
  <si>
    <t>- (4): Địa điểm xây dựng của dự án theo Quyết định đầu tư được cấp có thẩm quyền phê duyệt</t>
  </si>
  <si>
    <t>- (5) Năng lực thiết kế của dự án theo Quyết định đầu tư được cấp có thẩm quyền phê duyệt</t>
  </si>
  <si>
    <t>- (6) Thời gian khởi công hoàn thành dự kiến của dự án theo Quyết định đầu tư được cấp có thẩm quyền phê duyệt</t>
  </si>
  <si>
    <t>- (7) Số, ngày tháng của Quyết định đầu tư được cấp có thẩm quyền phê duyệt, nếu có nhiều quyết định đầu tư thì ghi đầy đủ tất cả các quyết định</t>
  </si>
  <si>
    <t>- (8) Tổng mức đầu tư (bao gồm tất cả các nguồn vốn) theo Quyết định đầu tư được cấp có thẩm quyền phê duyệt</t>
  </si>
  <si>
    <t>- (9) Tổng mức đầu tư nguồn NSNN (bao gồm vốn trong nước và nước ngoài) của dự án theo Quyết định đầu tư được cấp có thẩm quyền phê duyệt</t>
  </si>
  <si>
    <t>- (10) Tổng mức đầu tư nguồn  vốn NSNN (vốn trong nước) của dự án theo Quyết định đầu tư được cấp có thẩm quyền phê duyệt</t>
  </si>
  <si>
    <t>- (11) Tổng mức đầu tư nguồn vốn NSNN (vốn nước ngoài) của dự án theo Quyết định đầu tư được cấp có thẩm quyền phê duyệt</t>
  </si>
  <si>
    <t>- (12) Tổng số vốn (bao gồm tất cả các nguồn vốn) đã bố trí cho dự án đến hết năm 2010 (không bao gồm các nguồn vốn ứng trước)</t>
  </si>
  <si>
    <t>- (13) Tổng số vốn nguồn NSNN (bao gồm vốn trong nước và nước ngoài) đã bố trí cho dự án đến hết năm 2010 (không bao gồm các nguồn vốn ứng trước)</t>
  </si>
  <si>
    <t>- (14) Tổng số vốn nguồn NSNN (vốn trong nước) đã bố trí cho dự án đến hết năm 2010 (không bao gồm các nguồn vốn ứng trước)</t>
  </si>
  <si>
    <t xml:space="preserve">- (15) Tổng số vốn nguồn NSNN (vốn nước ngoài) đã bố trí cho dự án đến hết năm 2010 </t>
  </si>
  <si>
    <t>- (16) Lũy kế khối lượng thực hiện (bao gồm tất cả các nguồn vốn) của dự án từ khởi công đến hết ngày 31/12/2010</t>
  </si>
  <si>
    <t>- (17) Lũy kế khối lượng thực hiện nguồn vốn NSNN (bao gồm vốn trong nước và nước ngoài) của dự án từ khởi công đến hết ngày 31/12/2010</t>
  </si>
  <si>
    <t>- (18) Lũy kế khối lượng thực hiện nguồn vốn NSNN (vốn trong nước) của dự án từ khởi công đến hết ngày 31/12/2010</t>
  </si>
  <si>
    <t>- (19) Lũy kế khối lượng thực hiện nguồn vốn NSNN (vốn nước ngoài) của dự án từ khởi công đến hết ngày 31/12/2010</t>
  </si>
  <si>
    <t>- (20) Lũy kế giải ngân (bao gồm tất cả các nguồn vốn) của dự án từ khởi công đến hết ngày 31/01/2011</t>
  </si>
  <si>
    <t>- (21) Lũy kế giải ngân nguồn vốn NSNN (bao gồm vốn trong nước và nước ngoài của dự án từ khởi công đến hết ngày 31/01/2011</t>
  </si>
  <si>
    <t>- (22) Lũy kế giải ngân nguồn vốn NSNN (vốn trong nước) của dự án từ khởi công đến hết ngày 31/01/2011</t>
  </si>
  <si>
    <t>- (23) Lũy kế giải ngân nguồn vốn NSNN (vốn nước ngoài) của dự án từ khởi công đến hết ngày 31/01/2011</t>
  </si>
  <si>
    <t>- (24) Tổng số vốn (bao gồm tất cả các nguồn vốn) kế hoạch 2011 đã bố trí cho dự án (không bao gồm các nguồn vốn ứng trước)</t>
  </si>
  <si>
    <t>- (25) Tổng số vốn nguồn NSNN (bao gồm vốn trong nước và nước ngoài) kế hoạch 2011 đã bố trí cho dự án (không bao gồm các nguồn vốn ứng trước)</t>
  </si>
  <si>
    <t>- (26) Tổng số vốn nguồn NSNN (vốn trong nước) kế hoạch 2011 đã bố trí cho dự án (không bao gồm các nguồn vốn ứng trước)</t>
  </si>
  <si>
    <t>- (27) Tổng số vốn nguồn NSNN (vốn nước ngoài) kế hoạch 2011 đã bố trí cho dự án</t>
  </si>
  <si>
    <t>- (28) Lũy kế khối lượng thực hiện (bao gồm tất cả các nguồn vốn) của dự án từ 01/01/2011-15/10/2011</t>
  </si>
  <si>
    <t>- (29) Lũy kế khối lượng thực hiện nguồn vốn NSNN (bao gồm vốn trong nước và nước ngoài) của dự án từ 01/01/2011 đến hết ngày 15/10/2011</t>
  </si>
  <si>
    <t>- (30) Lũy kế khối lượng thực hiện nguồn vốn NSNN (vốn trong nước) của dự án từ 01/01/2011 đến hết ngày 15/10/2011</t>
  </si>
  <si>
    <t>- (31) Lũy kế khối lượng thực hiện nguồn vốn NSNN (vốn nước ngoài) của dự án từ 01/01/2011 đến hết ngày 15/10/2011</t>
  </si>
  <si>
    <t>- (32) Lũy kế giải ngân (bao gồm tất cả các nguồn vốn) của dự án từ 01/01/2011 đến hết ngày 15/10/2011</t>
  </si>
  <si>
    <t>- (33) Lũy kế giải ngân nguồn vốn NSNN (bao gồm vốn trong nước và nước ngoài của dự án từ 01/01/2011 đến hết ngày 15/10/2011</t>
  </si>
  <si>
    <t>- (34) Lũy kế giải ngân nguồn vốn NSNN (vốn trong nước) của dự án từ 01/01/2011 đến hết ngày 15/10/2011</t>
  </si>
  <si>
    <t>- (35) Lũy kế giải ngân nguồn vốn NSNN (vốn nước ngoài) của dự án từ 01/01/2011 đến hết ngày 15/10/2011</t>
  </si>
  <si>
    <t>- (16) Số vốn kế hoạch năm 2011 (bao gồm tất cả các nguồn vốn) bố trí cho dự án</t>
  </si>
  <si>
    <t>- (17) Số vốn kế hoạch năm 2011 nguồn vốn NSNN bố trí cho dự án</t>
  </si>
  <si>
    <t>- (18) Khối lượng thực hiện kế hoạch năm 2011(bao gồm tất cả các nguồn vốn) từ ngày 01/01/20111 đến hết ngày 15/10/2011 của dự án</t>
  </si>
  <si>
    <t>- (19) Khối lượng thực hiện kế hoạch năm 2011 nguồn vốn NSNN từ ngày 01/01/20111 đến hết ngày 15/10/2011 của dự án</t>
  </si>
  <si>
    <t>- (20) Giải ngân kế hoạch năm 2011(bao gồm tất cả các nguồn vốn) từ ngày 01/01/20111 đến hết ngày 15/10/2011 của dự án</t>
  </si>
  <si>
    <t>- (21) Giải ngân kế hoạch năm 2011 nguồn vốn NSNN từ ngày 01/01/20111 đến hết ngày 15/10/2011 của dự án</t>
  </si>
  <si>
    <t>- (22) Số vốn NSNN đã quyết toán tính đến ngày 15/10/2011</t>
  </si>
  <si>
    <t>- (23) Nhu cầu vốn NSNN còn thiếu so với tổng mức đầu tư ở cột (9)</t>
  </si>
  <si>
    <t>- (24) Dự kiến bố trí kế hoạch năm 2012 cho dự án</t>
  </si>
  <si>
    <t>- (25) Năm hoàn thành dự kiến của dự án</t>
  </si>
  <si>
    <t>- (26) Ghi chú thêm (nếu cần)</t>
  </si>
  <si>
    <t>Biểu mẫu số 14</t>
  </si>
  <si>
    <r>
      <t>CHI TIẾT TÌNH HÌNH THỰC HIỆN VÀ GIẢI NGÂN CÁC DỰ ÁN SỬ DỤNG VỐN ……</t>
    </r>
    <r>
      <rPr>
        <b/>
        <vertAlign val="superscript"/>
        <sz val="16"/>
        <rFont val="Times New Roman"/>
        <family val="1"/>
      </rPr>
      <t>(1)</t>
    </r>
    <r>
      <rPr>
        <b/>
        <sz val="16"/>
        <rFont val="Times New Roman"/>
        <family val="1"/>
      </rPr>
      <t xml:space="preserve"> KẾ HOẠCH NĂM N </t>
    </r>
    <r>
      <rPr>
        <b/>
        <vertAlign val="superscript"/>
        <sz val="16"/>
        <rFont val="Times New Roman"/>
        <family val="1"/>
      </rPr>
      <t>(2)</t>
    </r>
  </si>
  <si>
    <r>
      <t>Kế hoạch năm N (vốn …</t>
    </r>
    <r>
      <rPr>
        <vertAlign val="superscript"/>
        <sz val="14"/>
        <rFont val="Times New Roman"/>
        <family val="1"/>
      </rPr>
      <t>(1)</t>
    </r>
    <r>
      <rPr>
        <sz val="14"/>
        <rFont val="Times New Roman"/>
        <family val="1"/>
      </rPr>
      <t>)</t>
    </r>
  </si>
  <si>
    <r>
      <t>Khối lượng thực hiện Kế hoạch năm N tính từ 01/01 năm N đến hết ngày 30/6 năm N 
(vốn …..</t>
    </r>
    <r>
      <rPr>
        <vertAlign val="superscript"/>
        <sz val="14"/>
        <rFont val="Times New Roman"/>
        <family val="1"/>
      </rPr>
      <t>(1)</t>
    </r>
    <r>
      <rPr>
        <sz val="14"/>
        <rFont val="Times New Roman"/>
        <family val="1"/>
      </rPr>
      <t>)</t>
    </r>
  </si>
  <si>
    <r>
      <t>Giải ngân Kế hoạch năm N tính từ 01/01 năm N đến hết ngày 30/6 năm N
 (vốn …..</t>
    </r>
    <r>
      <rPr>
        <vertAlign val="superscript"/>
        <sz val="14"/>
        <rFont val="Times New Roman"/>
        <family val="1"/>
      </rPr>
      <t>(1)</t>
    </r>
    <r>
      <rPr>
        <sz val="14"/>
        <rFont val="Times New Roman"/>
        <family val="1"/>
      </rPr>
      <t>)</t>
    </r>
  </si>
  <si>
    <r>
      <t>Trong đó: vốn …..</t>
    </r>
    <r>
      <rPr>
        <vertAlign val="superscript"/>
        <sz val="14"/>
        <rFont val="Times New Roman"/>
        <family val="1"/>
      </rPr>
      <t>(1)</t>
    </r>
  </si>
  <si>
    <t>(1) Tên nguồn vốn đầu tư công báo cáo</t>
  </si>
  <si>
    <t>(2) Năm N là năm đang thực hiện kế hoạch (dựa trên thời điểm báo cáo)</t>
  </si>
  <si>
    <t>Trong đó: vốn NS tỉnh</t>
  </si>
  <si>
    <t>Kế hoạch năm trung hạn 5 năm giai đoạn 2016-2020</t>
  </si>
  <si>
    <t>Kế hoạch trung hạn đã giao đến hết năm 2019</t>
  </si>
  <si>
    <t>Dự kiến kế hoạch năm 2020</t>
  </si>
  <si>
    <t>Chủ đầu tư</t>
  </si>
  <si>
    <t xml:space="preserve">Tổng số </t>
  </si>
  <si>
    <t>Tỷ lệ</t>
  </si>
  <si>
    <t>Số TT</t>
  </si>
  <si>
    <t>DA QT</t>
  </si>
  <si>
    <t>Lĩnh vực</t>
  </si>
  <si>
    <t>Phân loại 1</t>
  </si>
  <si>
    <t>Địa điểm xây dựng</t>
  </si>
  <si>
    <t>Khởi công</t>
  </si>
  <si>
    <t>Khởi công Thực tế</t>
  </si>
  <si>
    <t>Hoàn thành</t>
  </si>
  <si>
    <t>Hoàn thành Thực tế</t>
  </si>
  <si>
    <t>LK vốn đã bố trí đến hết năm 2017</t>
  </si>
  <si>
    <t>KHĐTC 2016-2020</t>
  </si>
  <si>
    <t>Kế hoạch 2018 QĐ</t>
  </si>
  <si>
    <t>Kế hoạch 2018 NQ</t>
  </si>
  <si>
    <t>Kế hoạch 2018 điều chỉnh/bổ sung</t>
  </si>
  <si>
    <t>Kế hoạch 2018 sau điều chỉnh</t>
  </si>
  <si>
    <t>LK vốn đã bố trí đến hết năm 2018</t>
  </si>
  <si>
    <t>Kế hoạch 2019</t>
  </si>
  <si>
    <t>Kế hoạch 2019 điều chỉnh/bổ sung</t>
  </si>
  <si>
    <t>Kế hoạch 2019 sau điều chỉnh</t>
  </si>
  <si>
    <t>Lũy kế vốn bố trí đến hết năm 2019</t>
  </si>
  <si>
    <t>Địa điêm</t>
  </si>
  <si>
    <t>xã thuộc diện</t>
  </si>
  <si>
    <t>NTM</t>
  </si>
  <si>
    <t>QĐ Quyết toán</t>
  </si>
  <si>
    <t>QĐ Chủ trương đầu tư</t>
  </si>
  <si>
    <t>QĐ Phê duyệt dự án</t>
  </si>
  <si>
    <t>TMĐT</t>
  </si>
  <si>
    <t>Tổng số
(tất cả các
nguồn vốn)</t>
  </si>
  <si>
    <t>Trong đó NS tỉnh</t>
  </si>
  <si>
    <t>Giai đoạn
2018-2020</t>
  </si>
  <si>
    <t>Giai đoạn
2019-2020</t>
  </si>
  <si>
    <t>Còn lại năm 2020</t>
  </si>
  <si>
    <t>TỔNG CỘNG</t>
  </si>
  <si>
    <t>CBĐT</t>
  </si>
  <si>
    <t>Hỗ trợ DN cung cấp hàng hóa DV công ích</t>
  </si>
  <si>
    <t>Hỗ trợ ưu đãi ĐT</t>
  </si>
  <si>
    <t>Nhỏ lẻ</t>
  </si>
  <si>
    <t>Khoa học công nghệ</t>
  </si>
  <si>
    <t xml:space="preserve">Dự án chuyển tiếp </t>
  </si>
  <si>
    <t>Đầu tư nâng cấp, triển khai nhân rộng phần mềm một cửa liên thông và dịch vụ hành chính công tỉnh Quảng Bình (giai đoạn I: 5930 triệu đồng)</t>
  </si>
  <si>
    <t>1KH-CN</t>
  </si>
  <si>
    <t>5KCM</t>
  </si>
  <si>
    <t>Quảng Bình</t>
  </si>
  <si>
    <t>chưa</t>
  </si>
  <si>
    <t>3438/QĐ-UBND ngày 28/10/2016</t>
  </si>
  <si>
    <t>Cập nhật số QĐ</t>
  </si>
  <si>
    <t>Sở Thông tin và Truyền thông</t>
  </si>
  <si>
    <t>Đầu tư mua sắm hệ thống lưu trữ và khai thác chương trình đài phát thanh và truyền hình Quảng Bình</t>
  </si>
  <si>
    <t>Đồng Hới</t>
  </si>
  <si>
    <t>3437/QĐ-UBND ngày 28/10/2016</t>
  </si>
  <si>
    <t>Đài phát thanh và truyền hình Quảng Bình</t>
  </si>
  <si>
    <t>Dự án khởi công mới 2018</t>
  </si>
  <si>
    <t>Đầu tư xây dựng cơ sở thực nghiệm nghiên cứu, sản xuất và phát triển các sản phẩm nấm ăn và nấm dược liệu</t>
  </si>
  <si>
    <t>3849/QĐ-UBND ngày 30/10/2017</t>
  </si>
  <si>
    <t>Trung tâm ứng dụng và thống kê khoa học và công nghệ</t>
  </si>
  <si>
    <t>Nâng cấp hệ thống công nghệ thông tin phục vụ công tác chỉ đạo điều hành huyện ủy Quảng Ninh</t>
  </si>
  <si>
    <t>Quảng Ninh</t>
  </si>
  <si>
    <t>3932/QĐ-UBND ngày 30/10/2017</t>
  </si>
  <si>
    <t>Văn phòng Huyện ủy Quảng Ninh</t>
  </si>
  <si>
    <t>Hệ thống thông tin kinh tế, xã hội tỉnh Quảng Bình</t>
  </si>
  <si>
    <t>3848/QĐ-UBND ngày 30/10/2017</t>
  </si>
  <si>
    <t>Diệp điện hỏi CĐT, trên QLVB không có</t>
  </si>
  <si>
    <t>Đầu tư bổ sung thiết bị kỹ thuật Trung tâm Kỹ thuật Đo lường thử nghiệm</t>
  </si>
  <si>
    <t>1400/QĐ-UBND ngày 24/7/2017</t>
  </si>
  <si>
    <t>Trung tâm Kỹ thuật Đo lường thử nghiệm</t>
  </si>
  <si>
    <t>Đầu tư tăng cường thiết bị lĩnh vực khoa học và công nghệ</t>
  </si>
  <si>
    <t>3227/QĐ-UBND ngày 14/9/2017</t>
  </si>
  <si>
    <t>Phát triển công nghệ thông tin trong hoạt động của các cơ quan Đảng, Mặt trận, đoàn thể tỉnh Quảng Bình giai đoạn 2017-2020</t>
  </si>
  <si>
    <t>2143/QĐ-UBND ngày 19/6/2017</t>
  </si>
  <si>
    <t>Cập nhật số QĐ và TMĐT và tên dự án</t>
  </si>
  <si>
    <t>Văn phòng Tỉnh ủy</t>
  </si>
  <si>
    <t>Dự Khởi công mới năm 2019 (Đề nghị bổ sung trung hạn và bố trí từ năm 2019)</t>
  </si>
  <si>
    <t>Đầu tư xây dựng Vườn thực nghiệm khoa học công nghệ và ứng dụng, phát triển công nghệ cao trong sản xuất và chế biến tại Trung tâm ứng dụng tiến bộ khoa học công nghệ</t>
  </si>
  <si>
    <t>3715/QĐ-UBND ngày 30/10/2018</t>
  </si>
  <si>
    <t>K</t>
  </si>
  <si>
    <t>Đ/c Dũng PCT</t>
  </si>
  <si>
    <t>Xây dựng và áp dụng hệ thống ISO điện tử theo tiêu chuẩn TCVN 9001:2005 vào hoạt động của các cơ quan hành chính Nhà nước tỉnh Quảng Bình</t>
  </si>
  <si>
    <t>3740/QĐ-UBND ngày 30/10/2018</t>
  </si>
  <si>
    <t>Sở Khoa học và Công nghệ</t>
  </si>
  <si>
    <t>P.VX : Đ/c Giám đốc</t>
  </si>
  <si>
    <t>Đầu tư nâng cấp Trung tâm dữ liệu điện tử và phần mềm theo dõi thực hiện nhiệm vụ</t>
  </si>
  <si>
    <t>3719/QĐ-UBND ngày 30/10/2018</t>
  </si>
  <si>
    <t>Dự Khởi công mới năm 2020 (Đề nghị bổ sung trung hạn và bố trí từ năm 2020)</t>
  </si>
  <si>
    <t>Xây dựng và áp dụng Hệ thống ISO điện tử theo tiêu chuẩn TCVN ISO 9001:2015 vào hoạt động của các cơ quan hành chính nhà nước tỉnh Quảng Bình</t>
  </si>
  <si>
    <t>Giáo dục đào tạo</t>
  </si>
  <si>
    <t>Dự án dự kiến hoàn thành 2018</t>
  </si>
  <si>
    <t>Trường Mầm non Hương Hóa (4 phòng 2 tầng)</t>
  </si>
  <si>
    <t>2GDĐT</t>
  </si>
  <si>
    <t>Tuyên Hóa</t>
  </si>
  <si>
    <t>2901/QĐ-UBND ngày 16/10/2015</t>
  </si>
  <si>
    <t>3127a/QĐ-UBND ngày 30/10/2015</t>
  </si>
  <si>
    <t>Hương Hóa</t>
  </si>
  <si>
    <t>Xây dựng khuôn viên, hàng rào và hạ tầng kỹ thuật Trường THPT Hùng Vương</t>
  </si>
  <si>
    <t>Bố Trạch</t>
  </si>
  <si>
    <t>3101/QĐ-UBND ngày 30/10/2015</t>
  </si>
  <si>
    <t>Cự Nẫm</t>
  </si>
  <si>
    <t>Trường tiểu học số 1 phường Ba Đồn (6 phòng)</t>
  </si>
  <si>
    <t>Ba Đồn</t>
  </si>
  <si>
    <t>2515/QĐ-UBND ngày 10/9/2015</t>
  </si>
  <si>
    <t>3058/QĐ-UBND ngày 29/10/2015</t>
  </si>
  <si>
    <t>Trường Tiểu học Hải Trạch (6 phòng)</t>
  </si>
  <si>
    <t>5656/QĐ-UBND ngày 28/10/2015</t>
  </si>
  <si>
    <t>Hải Trạch</t>
  </si>
  <si>
    <t>Nhà lớp học 6 phòng Trường TH thị trấn Quán Hàu</t>
  </si>
  <si>
    <t>3090/QĐ-UBND ngày 30/10/2015</t>
  </si>
  <si>
    <t>Nhà lớp học bộ môn 6 phòng 2 tầng Trường THCS Tân Ninh</t>
  </si>
  <si>
    <t>3118a/QĐ-UBND ngày 30/10/2015</t>
  </si>
  <si>
    <t xml:space="preserve">Xây dựng khu hành chính quản trị Trường THPT Chuyên Võ Nguyên Giáp </t>
  </si>
  <si>
    <t>3112/QĐ-UBND ngày 31/10/2015</t>
  </si>
  <si>
    <t>Nhà hiệu bộ Trường tiểu học Tân Thủy</t>
  </si>
  <si>
    <t>Lệ Thủy</t>
  </si>
  <si>
    <t>2667/QĐ-UBND ngày 29/09/2015</t>
  </si>
  <si>
    <t>3075a/QĐ-UBND ngày 30/10/2015</t>
  </si>
  <si>
    <t>Trường Mầm non xã Võ Ninh (3 phòng học, phòng chức năng, phòng làm việc)</t>
  </si>
  <si>
    <t>2977/QĐ-UBND ngày 26/10/2015</t>
  </si>
  <si>
    <t>Khuôn viên hàng rào trường, công trình cấp nước, phòng học THCS&amp;THPT Hóa Tiến</t>
  </si>
  <si>
    <t>Minh Hóa</t>
  </si>
  <si>
    <t>3021/QĐ-UBND ngày 28/10/2015</t>
  </si>
  <si>
    <t>Trường Tiểu học xã Quảng Sơn (6 phòng)</t>
  </si>
  <si>
    <t>3120/QĐ-UBND ngày 30/10/2015</t>
  </si>
  <si>
    <t>Xây dựng Nhà đa năng Trường PT Dân tộc nội trú tỉnh</t>
  </si>
  <si>
    <t>3077a/QĐ-UBND ngày 30/10/2015</t>
  </si>
  <si>
    <t>Xây dựng hạ tầng kỹ thuật Trường THPT số 3 Bố Trạch</t>
  </si>
  <si>
    <t>3108/QĐ-UBND ngày 30/10/2015</t>
  </si>
  <si>
    <t>Xây dựng hệ thống thoát nước và hạ tầng kỹ thuật trường THPT Lê Trực</t>
  </si>
  <si>
    <t>2534/QĐ-UBND ngày 15/09/2015</t>
  </si>
  <si>
    <t>2777/QĐ-UBND ngày 12/10/2015</t>
  </si>
  <si>
    <t>STC cấp 600, giảm ĐTC</t>
  </si>
  <si>
    <t>Khuôn viên hàng rào và hạ tầng kỹ thuật Trường THPT Lê Lợi, thị xã Ba Đồn</t>
  </si>
  <si>
    <t>2533/QĐ-UBND ngày 15/09/2015</t>
  </si>
  <si>
    <t>2745/QĐ-UBDN ngày 07/10/2015</t>
  </si>
  <si>
    <t>Nhà phòng học bộ môn Trường THPT số 5 Bố Trạch (nay là Trường THPT Ngô Quyền)</t>
  </si>
  <si>
    <t>2880a/QĐ-UBND ngày 16/10/2015</t>
  </si>
  <si>
    <t>3109/QĐ-UBND ngày 30/10/2015</t>
  </si>
  <si>
    <t>Xây dựng hàng rào, nhà phòng học 8 phòng 2 tầng THPT Hoàng Hoa Thám</t>
  </si>
  <si>
    <t>3041/QĐ-UBND ngày 29/10/2015</t>
  </si>
  <si>
    <t xml:space="preserve">Cụm Mầm non trung tâm xã Sơn Thủy nhà lớp học 6 phòng </t>
  </si>
  <si>
    <t>3038/QĐ-UBND ngày 29/10/2015</t>
  </si>
  <si>
    <t>Trường Tiểu học số 1 Xuân Ninh (8 phòng)</t>
  </si>
  <si>
    <t>3066/QĐ-UBND ngày 30/10/2015</t>
  </si>
  <si>
    <t>Nhà lớp học 2 tầng 4 phòng Trường Mầm non xã Lý Trạch, huyện Bố Trạch</t>
  </si>
  <si>
    <t>3115a/QĐ-UBND ngày 31/10/2015</t>
  </si>
  <si>
    <t>Trường Mầm non khu vực 2 Phường Quảng Long, thị xã Ba Đồn, tỉnh Quảng Bình</t>
  </si>
  <si>
    <t>2665/QĐ-UBND ngày 29/09/2015</t>
  </si>
  <si>
    <t>3105/QĐ-UBND ngày 30/10/2015</t>
  </si>
  <si>
    <t>Nhà lớp học 2 tầng 4 phòng Trường Mầm non Hồng Thủy</t>
  </si>
  <si>
    <t>3040/QĐ-UBND ngày 29/10/2015</t>
  </si>
  <si>
    <t>Cải tạo, nâng cấp khối phòng học trường Tiểu học Đồng Phú</t>
  </si>
  <si>
    <t>4463/QĐ-UBND ngày 29/10/2015</t>
  </si>
  <si>
    <t>Trường THCS xã Quảng Trường (phòng học chức năng và phòng học bộ môn)</t>
  </si>
  <si>
    <t>Quảng Trạch</t>
  </si>
  <si>
    <t>2848/QĐ-UBND ngày 15/10/2015</t>
  </si>
  <si>
    <t>3059/QĐ-UBND ngày 29/10/2015</t>
  </si>
  <si>
    <t>Trường mầm non thôn Chày Lập xã Phúc Trạch (4 phòng)</t>
  </si>
  <si>
    <t>2903a/QĐ-UBND ngày 30/10/2015</t>
  </si>
  <si>
    <t>Nhà lớp học 2 tầng 4 phòng Trường mầm non Ngư Thủy Trung</t>
  </si>
  <si>
    <t>3039/QĐ-UBND ngày 29/10/2015</t>
  </si>
  <si>
    <t>Trường Mầm non Khu vực Lộc An (6 phòng)</t>
  </si>
  <si>
    <t>3042/QĐ-UBND ngày 29/10/2015</t>
  </si>
  <si>
    <t>Trường Mầm non xã Hàm Ninh (điểm trường Trần Xá)</t>
  </si>
  <si>
    <t>3124/QĐ-UBND ngày 30/10/2015</t>
  </si>
  <si>
    <t>Trường TH Trường Sơn (4 phòng)</t>
  </si>
  <si>
    <t>809/QĐ-UBND ngày 28/10/2015</t>
  </si>
  <si>
    <t>Trường Mầm non Tân Thủy (hỗ trợ nông thôn mới)</t>
  </si>
  <si>
    <t>2896/QĐ-UBND ngày 30/5/2016</t>
  </si>
  <si>
    <t>Cập nhật số vốn bố trí</t>
  </si>
  <si>
    <t>Nhà lớp học 2 tầng 6 phòng Trường THCS xã Quảng Lưu</t>
  </si>
  <si>
    <t>3103/QĐ-UBND ngày 30/10/2015</t>
  </si>
  <si>
    <t>Trường TH Thái Thủy (4 phòng)</t>
  </si>
  <si>
    <t>1582/QĐ-UBND ngày 30/5/2016</t>
  </si>
  <si>
    <t>Trường TH và THCS Trọng Hóa (6 phòng)</t>
  </si>
  <si>
    <t>3082/QĐ-UBND ngày 30/10/2015</t>
  </si>
  <si>
    <t>3076a/QĐ-UBND ngày 30/10/2015</t>
  </si>
  <si>
    <t>Trường TH số 1 Đồng Lê (6 phòng chức năng)</t>
  </si>
  <si>
    <t>3045/QĐ-UBND ngày 29/10/2015</t>
  </si>
  <si>
    <t>3119a/QĐ-UBND ngày 30/10/2015</t>
  </si>
  <si>
    <t>Trường THCS Tân Hóa (6 phòng)</t>
  </si>
  <si>
    <t>3081/QĐ-UBND ngày 30/10/2015</t>
  </si>
  <si>
    <t>3074a/QĐ-UBND ngày 30/10/2015</t>
  </si>
  <si>
    <t>Nhà hiệu bộ trường THCS Xuân Ninh</t>
  </si>
  <si>
    <t>323/QĐ-UBND ngày 9/5/2016</t>
  </si>
  <si>
    <t>Dự án chuyển tiếp</t>
  </si>
  <si>
    <t>Nhà lớp học 2 tầng 6 phòng Trường cấp 1,2 xã Trường Thủy</t>
  </si>
  <si>
    <t>5362/QĐ-UBND ngày 23/10/2016</t>
  </si>
  <si>
    <t>Trường Mầm non Văn Thủy (6 phòng)</t>
  </si>
  <si>
    <t>3024/QĐ-UBND ngày 28/10/2015</t>
  </si>
  <si>
    <t>3458/QĐ-UBND ngày 28/10/2016</t>
  </si>
  <si>
    <t>Văn Thủy</t>
  </si>
  <si>
    <t>UBND xã Văn Thủy</t>
  </si>
  <si>
    <t>Nhà lớp học 2 tầng 6 phòng Trường Mầm non khu vực Nhân Hồng xã Nhân Trạch</t>
  </si>
  <si>
    <t>2432/QĐ-UBND ngày 12/08/2016</t>
  </si>
  <si>
    <t>3302/QĐ-UBND ngày 24/10/2016</t>
  </si>
  <si>
    <t>Nhân Trạch</t>
  </si>
  <si>
    <t>UBND xã Nhân Trạch</t>
  </si>
  <si>
    <t>Trường tiểu học Liên Thủy (6 phòng)</t>
  </si>
  <si>
    <t>2862/QĐ-UBND ngày 15/10/2015</t>
  </si>
  <si>
    <t>3019/QĐ-UBND ngày 30/9/2016</t>
  </si>
  <si>
    <t>Hệ thống thoát nước và hạ tầng kỹ thuật trường THPT Phan Bội Châu</t>
  </si>
  <si>
    <t>2514/QĐ-UBND ngày 10/09/2015</t>
  </si>
  <si>
    <t>2642/QĐ-UBND ngày 29/8/2016</t>
  </si>
  <si>
    <t>Phong Hóa</t>
  </si>
  <si>
    <t>Trường THPT Phan Bội Châu</t>
  </si>
  <si>
    <t>Nhà lớp học 6 phòng 2 tầng Trường Tiểu học xã Văn Hóa</t>
  </si>
  <si>
    <t>2937/QĐ-UBND ngày 19/10/2015</t>
  </si>
  <si>
    <t>2481/QĐ-UBND ngày 16/8/2016</t>
  </si>
  <si>
    <t>Văn Hóa</t>
  </si>
  <si>
    <t>UBND xã Văn Hóa</t>
  </si>
  <si>
    <t>Nhà lớp học 2 tầng 6 phòng trường THCS xã Quảng Tiến, huyện Quảng Trạch</t>
  </si>
  <si>
    <t>3025/QĐ-UBND ngày 28/10/2015</t>
  </si>
  <si>
    <t>3310/QĐ-UBND ngày 24/10/2016</t>
  </si>
  <si>
    <t>Quảng Tiến</t>
  </si>
  <si>
    <t>xã 135</t>
  </si>
  <si>
    <t>Trường PTDTNT Lệ Thủy (Nhà nội trú học sinh 20 phòng)</t>
  </si>
  <si>
    <t>3457/QĐ-UBND ngày 28/10/2016</t>
  </si>
  <si>
    <t>Mai Thủy</t>
  </si>
  <si>
    <t xml:space="preserve">Trường Phổ thông Dân tộc nội trú Lệ Thủy </t>
  </si>
  <si>
    <t>Trường Tiểu học Ngư Thủy Bắc (2 tầng 6 phòng)</t>
  </si>
  <si>
    <t>2570/QĐ-UBND ngày 24/8/2016</t>
  </si>
  <si>
    <t>Ngư Thủy Bắc</t>
  </si>
  <si>
    <t>UBND xã Ngư Thủy Bắc</t>
  </si>
  <si>
    <t>Nhà lớp học bộ môn 6 phòng Trường THCS Mỹ Thủy</t>
  </si>
  <si>
    <t>3047/QĐ-UBND ngày 29/10/2015</t>
  </si>
  <si>
    <t>3312/QĐ-UBND ngày 24/10/2016</t>
  </si>
  <si>
    <t>Mỹ Thủy</t>
  </si>
  <si>
    <t>UBND xã Mỹ Thủy</t>
  </si>
  <si>
    <t>Nhà lớp học 6 phòng 2 tầng trường Tiểu học số 1 Phong Hóa</t>
  </si>
  <si>
    <t>2573/QĐ-UBND ngày 25/8/2016</t>
  </si>
  <si>
    <t>UBND xã Phong Hóa</t>
  </si>
  <si>
    <t>Nhà lớp học 8 phòng Trường THPT Ninh Châu</t>
  </si>
  <si>
    <t>2175/QĐ-UBND ngày 22/7/2016</t>
  </si>
  <si>
    <t>Võ Ninh</t>
  </si>
  <si>
    <t>Trường THPT Ninh Châu</t>
  </si>
  <si>
    <t>Trường mầm non Cụm Thanh Tân xã Thanh Thủy</t>
  </si>
  <si>
    <t>2433/QĐ-UBND ngày 12/08/2016</t>
  </si>
  <si>
    <t>2956/QĐ-UBND ngày 28/9/2016</t>
  </si>
  <si>
    <t>Thanh Thủy</t>
  </si>
  <si>
    <t>UBND xã Thanh Thủy</t>
  </si>
  <si>
    <t>Trường Tiểu học Bắc Lý (02 tầng, 8 phòng)</t>
  </si>
  <si>
    <t>2368/QĐ-UBND ngày 8/8/2016</t>
  </si>
  <si>
    <t>Bắc Lý</t>
  </si>
  <si>
    <t>UBND phường Bắc Lý</t>
  </si>
  <si>
    <t>Trường Mầm non Quảng Hải (4 phòng)</t>
  </si>
  <si>
    <t>2868/QĐ-UBND ngày 15/10/2015</t>
  </si>
  <si>
    <t>3404/QĐ-UBND ngày 26/11/2015</t>
  </si>
  <si>
    <t>Quảng Hải</t>
  </si>
  <si>
    <t>UBND xã Quảng Hải</t>
  </si>
  <si>
    <t>Nhà giảng đường, thư viện Trung tâm Bồi dưỡng chính trị huyện Quảng Ninh</t>
  </si>
  <si>
    <t>254/QĐ-UBND ngày 29/01/2016</t>
  </si>
  <si>
    <t>Quán Hàu</t>
  </si>
  <si>
    <t>Trung tâm Bồi dưỡng chính trị huyện Quảng Ninh</t>
  </si>
  <si>
    <t>Trường THPT Trần Phú (6 phòng)</t>
  </si>
  <si>
    <t>3459/QĐ-UBND ngày 28/10/2016</t>
  </si>
  <si>
    <t>Tên cũ Trường THPT số 3 Bố Trạch (6 phòng học)</t>
  </si>
  <si>
    <t>Bắc Trạch</t>
  </si>
  <si>
    <t>Trường THPT Trần Phú</t>
  </si>
  <si>
    <t>Trường THCS Lộc Thủy (8 phòng)</t>
  </si>
  <si>
    <t>2584/QĐ-UBND ngày 25/8/2016</t>
  </si>
  <si>
    <t>Lộc Thủy</t>
  </si>
  <si>
    <t>UBND xã Lộc Thủy</t>
  </si>
  <si>
    <t>Nhà nội trú Trường Phổ thông dân tộc nội trú Minh Hóa</t>
  </si>
  <si>
    <t>3477/QĐ-UBND ngày 28/10/2016</t>
  </si>
  <si>
    <t>Quy Đạt</t>
  </si>
  <si>
    <t>Trường Phổ thông Dân tộc nội trú Minh Hóa</t>
  </si>
  <si>
    <t>Xây dựng Trường Tiểu học Đức Trạch</t>
  </si>
  <si>
    <t>3469/QĐ-UBND ngày 28/10/2016</t>
  </si>
  <si>
    <t>Đức Trạch</t>
  </si>
  <si>
    <t>UBND xã Đức Trạch</t>
  </si>
  <si>
    <t>Nhà lớp học và phòng học chức năng Trường MN xã Đồng Hóa</t>
  </si>
  <si>
    <t>3309/QĐ-UBND ngày 24/10/2016</t>
  </si>
  <si>
    <t>Đồng Hóa</t>
  </si>
  <si>
    <t>UBND xã Đồng Hóa</t>
  </si>
  <si>
    <t>Nhà đa chức năng, trường THPT Lương Thế Vinh</t>
  </si>
  <si>
    <t>2912/QĐ-UBND ngày 16/10/2015</t>
  </si>
  <si>
    <t>3311/QĐ-UBND ngày 24/10/2016</t>
  </si>
  <si>
    <t>Trường THPT Lương Thế Vinh</t>
  </si>
  <si>
    <t>Nhà đa năng trường THCS&amp;THPT Hóa Tiến</t>
  </si>
  <si>
    <t>3020/QĐ-UBND ngày 28/10/2015</t>
  </si>
  <si>
    <t>3345/QĐ-UBND ngày 25/10/2016</t>
  </si>
  <si>
    <t>Hóa Tiến</t>
  </si>
  <si>
    <t>Trường THCS&amp;THPT Hóa Tiến</t>
  </si>
  <si>
    <t xml:space="preserve">Hệ thống thoát nước và hạ tầng kỹ thuật trường THPT Lương Thế Vinh </t>
  </si>
  <si>
    <t>3129/QĐ-UBND ngày 11/10/2016</t>
  </si>
  <si>
    <t>3366/QĐ-UBND ngày 26/10/2016</t>
  </si>
  <si>
    <t xml:space="preserve">Hệ thống thoát nước và hạ tầng kỹ thuật trường THPT Trần Hưng Đạo </t>
  </si>
  <si>
    <t>3279/QĐ-UBND ngày 20/10/2016</t>
  </si>
  <si>
    <t>3466/QĐ-UBND ngày 28/10/2016</t>
  </si>
  <si>
    <t>Hưng Thủy</t>
  </si>
  <si>
    <t>bãi ngang</t>
  </si>
  <si>
    <t>Dãy nhà hiệu bộ và nhà vệ sinh học sinh trường Tiểu học Đức Ninh</t>
  </si>
  <si>
    <t>3297/QĐ-UBND ngày 21/10/2016</t>
  </si>
  <si>
    <t>3467/QĐ-UBND ngày 28/10/2016</t>
  </si>
  <si>
    <t>Đức Ninh</t>
  </si>
  <si>
    <t>UBND xã Đức Ninh</t>
  </si>
  <si>
    <t>Nhà lớp học 2 tầng 8 phòng Trương Tiểu học số 1 Võ Ninh</t>
  </si>
  <si>
    <t>3314/QĐ-UBND ngày 25/10/2016</t>
  </si>
  <si>
    <t>3387/QĐ-UBND ngày 28/10/2016</t>
  </si>
  <si>
    <t>UBND xã Võ Ninh</t>
  </si>
  <si>
    <t>Nhà lớp học 2 tầng 6 phòng Trường THCS xã Quảng Trung</t>
  </si>
  <si>
    <t>3298/QĐ-UBND ngày 21/10/2016</t>
  </si>
  <si>
    <t>3406/QĐ-UBND ngày 27/10/2016</t>
  </si>
  <si>
    <t>Quảng Trung</t>
  </si>
  <si>
    <t>UBND xã Quảng Trung</t>
  </si>
  <si>
    <t xml:space="preserve">Nhà lớp học 2 tầng 8 phòng Trường THCS Quảng Thọ </t>
  </si>
  <si>
    <t>3293/QĐ-UBND ngày 21/10/2016</t>
  </si>
  <si>
    <t>3472/QĐ-UBND ngày 28/10/2016</t>
  </si>
  <si>
    <t>Quảng Thọ</t>
  </si>
  <si>
    <t>UBND phường Quảng Thọ</t>
  </si>
  <si>
    <t>Nhà lớp học 4 phòng 2 tầng trường Tiểu học phường Quảng Long</t>
  </si>
  <si>
    <t>3368/QĐ-UBND ngày 26/10/2016</t>
  </si>
  <si>
    <t>3407/QĐ-UBND ngày 27/10/2016</t>
  </si>
  <si>
    <t>Quảng Long</t>
  </si>
  <si>
    <t>UBND phường Quảng Long</t>
  </si>
  <si>
    <t>Trường THCS Quảng Liên (6 phòng)</t>
  </si>
  <si>
    <t>2979/QĐ-UBND ngày 26/10/2015</t>
  </si>
  <si>
    <t>3483/QĐ-UBND ngày 28/10/2016</t>
  </si>
  <si>
    <t>Quảng Liên</t>
  </si>
  <si>
    <t>UBND xã Quảng Liên</t>
  </si>
  <si>
    <t>Nhà lớp học 2 tầng 8 phòng Trường TH và THCS xã Nam Hóa</t>
  </si>
  <si>
    <t>3482/QĐ-UBND ngày 28/10/2016</t>
  </si>
  <si>
    <t>Nam Hóa</t>
  </si>
  <si>
    <t>UBND xã Nam Hóa</t>
  </si>
  <si>
    <t>Trường Tiểu học xã Cảnh Dương (8 phòng)</t>
  </si>
  <si>
    <t>3484/QĐ-UBND ngày 28/10/2016</t>
  </si>
  <si>
    <t>Cảnh Dương</t>
  </si>
  <si>
    <t>UBND xã Cảnh Dương</t>
  </si>
  <si>
    <t>Xây dựng trường MN xã Quảng Lưu</t>
  </si>
  <si>
    <t>3326/QĐ-UBND ngày 25/10/2016</t>
  </si>
  <si>
    <t>3475/QĐ-UBND ngày 28/10/2016</t>
  </si>
  <si>
    <t>Quảng Lưu</t>
  </si>
  <si>
    <t>UBND xã Quảng Lưu</t>
  </si>
  <si>
    <t>Trường THCS Quảng Phú (8 phòng)</t>
  </si>
  <si>
    <t>3474/QĐ-UBND ngày 28/10/2016</t>
  </si>
  <si>
    <t>Quảng Phú</t>
  </si>
  <si>
    <t>UBND xã Quảng Phú</t>
  </si>
  <si>
    <t>Trường TH xã Quảng Trường</t>
  </si>
  <si>
    <t>3403/QĐ-UBND ngày 27/10/2016</t>
  </si>
  <si>
    <t>3478/QĐ-UBND ngày 28/10/2016</t>
  </si>
  <si>
    <t>Quảng Trường</t>
  </si>
  <si>
    <t>UBND xã Quảng Trường</t>
  </si>
  <si>
    <t>Nhà lơp học 2 tầng 8 phòng Trường Mầm non Gia Ninh</t>
  </si>
  <si>
    <t>3316/QĐ-UBND ngày 25/10/2016</t>
  </si>
  <si>
    <t>Gia Ninh</t>
  </si>
  <si>
    <t>UBND xã Gia Ninh</t>
  </si>
  <si>
    <t>Nhà lơp học 2 tầng 8 phòng Trường Tiểu học Hiền Ninh</t>
  </si>
  <si>
    <t>3523/QĐ-UBND  ngày 31/10/2016</t>
  </si>
  <si>
    <t>Hiền Ninh</t>
  </si>
  <si>
    <t>UBND huyện Quảng Ninh</t>
  </si>
  <si>
    <t>Nhà lơp học 2 tầng 6 phòng Trường THCS Duy Ninh</t>
  </si>
  <si>
    <t>3488/QĐ-UBND ngày 28/10/2016</t>
  </si>
  <si>
    <t>Duy Ninh</t>
  </si>
  <si>
    <t>UBND xã Duy Ninh</t>
  </si>
  <si>
    <t>Nhà lơp học 2 tầng 8 phòng Trường Tiểu học Vĩnh Ninh</t>
  </si>
  <si>
    <t>3522/QĐ-UBND ngày 31/10/2016</t>
  </si>
  <si>
    <t>Vĩnh Ninh</t>
  </si>
  <si>
    <t>Nhà lơp học 2 tầng 6 phòng Trường Tiểu học TT Quán Hàu</t>
  </si>
  <si>
    <t>3481/QĐ-UBND ngày 28/10/2016</t>
  </si>
  <si>
    <t>UBND Thị trấn Quán Hàu</t>
  </si>
  <si>
    <t>Nhà lớp học 2 tầng 4 phòng và hạ tầng kỹ thuật cụm trường mầm non xã Sơn Thuỷ</t>
  </si>
  <si>
    <t>3456/QĐ-UBND ngày 28/10/2016</t>
  </si>
  <si>
    <t>Sơn Thủy</t>
  </si>
  <si>
    <t>UBND xã Sơn Thủy</t>
  </si>
  <si>
    <t>Trường THCS xã An Thủy (8 phòng)</t>
  </si>
  <si>
    <t>3461/QĐ-UBND ngày 28/10/2016</t>
  </si>
  <si>
    <t>An Thủy</t>
  </si>
  <si>
    <t>UBND xã An Thủy</t>
  </si>
  <si>
    <t>Nhà lớp học 2 tầng 6 phòng Trường Tiểu học số 2 Tân Thủy</t>
  </si>
  <si>
    <t>3473/QĐ-UBND ngày 28/10/2016</t>
  </si>
  <si>
    <t>Tân Thủy</t>
  </si>
  <si>
    <t>UBND xã Tân Thủy</t>
  </si>
  <si>
    <t>Nhà lớp học 2 tầng 8 phòng Trương Tiểu học Dương Thuỷ</t>
  </si>
  <si>
    <t>3524/QĐ-UBND ngày 31/10/2016</t>
  </si>
  <si>
    <t>Dương Thủy</t>
  </si>
  <si>
    <t>UBND xã Dương Thủy</t>
  </si>
  <si>
    <t>Nhà làm việc Trường THPT Hoàng Hoa Thám</t>
  </si>
  <si>
    <t>3460/QĐ-UBND ngày 28/10/2016</t>
  </si>
  <si>
    <t>NT Lệ Ninh</t>
  </si>
  <si>
    <t>Trường THPT Hoàng Hoa Thám</t>
  </si>
  <si>
    <t>Cải tạo, nâng cấp, sửa chữa nhà làm việc của cán bộ, giảng viên; nhà nội trú học viên và khuôn viên Trường Chính trị tỉnh</t>
  </si>
  <si>
    <t>3491/QĐ-UBND ngày 28/10/2016</t>
  </si>
  <si>
    <t>Đồng Sơn</t>
  </si>
  <si>
    <t>Trường Chính trị tỉnh</t>
  </si>
  <si>
    <t>Dự án khởi công mới năm 2018</t>
  </si>
  <si>
    <t>Cập nhật KH 2018-2020, trừ CBĐT</t>
  </si>
  <si>
    <t>Nhà lớp học bộ môn 2 tầng 6 phòng trường THCS Phong Thủy</t>
  </si>
  <si>
    <t>3958/QĐ-UBND ngày 31/10/2017</t>
  </si>
  <si>
    <t>Phong Thủy</t>
  </si>
  <si>
    <t>UBND xã Phong Thủy</t>
  </si>
  <si>
    <t>Xây dựng nhà lớp học bộ môn Trường THPT Lê Quý Đôn</t>
  </si>
  <si>
    <t>3462/QĐ-UBND ngày 28/10/2016</t>
  </si>
  <si>
    <t>3843/QĐ-UBND ngày 30/10/2017</t>
  </si>
  <si>
    <t>Hoàn Lão</t>
  </si>
  <si>
    <t xml:space="preserve"> Trường THPT Lê Quý Đôn</t>
  </si>
  <si>
    <t>Xây dựng phòng học, khuôn viên, hàng rào, công trình cấp nước trường THPT Lê Quý Đôn</t>
  </si>
  <si>
    <t>3892/QĐ-UBND ngày 30/10/2017</t>
  </si>
  <si>
    <t>Sửa chữa nhà 2 tầng 10 phòng Trường THCS &amp;THPT Trung Hóa</t>
  </si>
  <si>
    <t>3730/QĐ-UBND ngày 21/11/2016</t>
  </si>
  <si>
    <t>3523/QĐ-UBND ngày 05/10/2017</t>
  </si>
  <si>
    <t>Trung Hóa</t>
  </si>
  <si>
    <t>Trường THCS &amp;THPT Trung Hóa</t>
  </si>
  <si>
    <t>3112a/QĐ-UBND ngày 30/10/2015</t>
  </si>
  <si>
    <t>3856/QĐ-UBND ngày 30/10/2017</t>
  </si>
  <si>
    <t>Phúc Trạch</t>
  </si>
  <si>
    <t xml:space="preserve"> Trường THPT Nguyễn Trãi</t>
  </si>
  <si>
    <t>Trường Mầm non Khu vực 2 Bưởi Rỏi xã Quảng Hợp, huyện Quảng Trạch (2 tầng 4 phòng)</t>
  </si>
  <si>
    <t>2807/QĐ-UBND ngày 13/10/2015</t>
  </si>
  <si>
    <t>3841/QĐ-UBND ngày 30/10/2017</t>
  </si>
  <si>
    <t>Quảng Hợp</t>
  </si>
  <si>
    <t>UBND xã Quảng Hợp</t>
  </si>
  <si>
    <t>Sữa chữa khu Hiệu bộ Trường THPT Tuyên Hóa</t>
  </si>
  <si>
    <t>3026/QĐ-UBND ngày 28/10/2015</t>
  </si>
  <si>
    <t>3974/QĐ-UBND ngày 31/10/2017</t>
  </si>
  <si>
    <t>Đồng Lê</t>
  </si>
  <si>
    <t>Trường THPT Tuyên Hóa</t>
  </si>
  <si>
    <t>San lấp mặt bằng, hạ tầng kỹ thuật - Trung tâm Giáo dục - Dạy nghề huyện Tuyên Hóa</t>
  </si>
  <si>
    <t>3054/QĐ-UBND ngày 29/10/2015</t>
  </si>
  <si>
    <t>3430/QĐ-UBND ngày 29/9/2017</t>
  </si>
  <si>
    <t>Năm 2018, bố trí sự nghiệp 1,5 tỷ</t>
  </si>
  <si>
    <t>Trung tâm Giáo dục - Dạy nghề huyện Tuyên Hóa</t>
  </si>
  <si>
    <t>Nhà lớp học 12 phòng Trường THPT Lương Thế Vinh</t>
  </si>
  <si>
    <t>3051/QĐ-UBND ngày 29/10/2015</t>
  </si>
  <si>
    <t>3950/QĐ-UBND ngày 31/10/2017</t>
  </si>
  <si>
    <t>Nhà xưởng thực hành Trung tâm Giáo dục - Dạy nghề huyện Quảng Ninh</t>
  </si>
  <si>
    <t>3962/QĐ-UBND ngày 31/10/2017</t>
  </si>
  <si>
    <t>Trung tâm Giáo dục - Dạy nghề huyện Quảng Ninh</t>
  </si>
  <si>
    <t>Nhà hiệu bộ trường THCS xã Tân Thủy</t>
  </si>
  <si>
    <t>3934/QĐ-UBND ngày 30/10/2017</t>
  </si>
  <si>
    <t>Trường tiểu học Phú Thủy (6 phòng)</t>
  </si>
  <si>
    <t>3529/QĐ-UBND ngày 06/10/2017</t>
  </si>
  <si>
    <t>Phú Thủy</t>
  </si>
  <si>
    <t>UBND xã Phú Thủy</t>
  </si>
  <si>
    <t>Trường Tiểu học Thanh Thủy (Nhà lớp học 2 tầng 6 phòng) xã Tiến Hóa, huyện Tuyên Hóa</t>
  </si>
  <si>
    <t>3046/QĐ-UBND ngày 29/10/2015</t>
  </si>
  <si>
    <t>3645/QĐ-UBND ngày 16/10/2017</t>
  </si>
  <si>
    <t>Tiến Hóa</t>
  </si>
  <si>
    <t>UBND xã Tiến Hóa</t>
  </si>
  <si>
    <t>Trường THCS Bắc Dinh Thị trấn nông trường Việt Trung (6 phòng)</t>
  </si>
  <si>
    <t>3944/QĐ-UBND ngày 31/10/2017</t>
  </si>
  <si>
    <t>NT Việt Trung</t>
  </si>
  <si>
    <t>UBND Thị trấn Nông trường Việt Trung</t>
  </si>
  <si>
    <t>Nhà lớp học 2 tầng Trường mầm non xã Quảng Văn</t>
  </si>
  <si>
    <t>2822/QĐ-UBND ngày 13/10/2015</t>
  </si>
  <si>
    <t>3429/QĐ-UBND ngày 29/9/2017</t>
  </si>
  <si>
    <t>Quảng Văn</t>
  </si>
  <si>
    <t>UBND xã Quảng Văn</t>
  </si>
  <si>
    <t>Trường Mầm non Quảng Xuân (6 phòng)</t>
  </si>
  <si>
    <t>2985/QĐ-UBND ngày 26/10/2015</t>
  </si>
  <si>
    <t>3118/QĐ-UBND ngày 05/9/2017</t>
  </si>
  <si>
    <t>Quảng Xuân</t>
  </si>
  <si>
    <t>UBND xã Quảng Xuân</t>
  </si>
  <si>
    <t>Xây dựng 8 phòng học 2 tầng Trường THCS Cự Nẫm</t>
  </si>
  <si>
    <t>3859/QĐ-UBND ngày 30/10/2017</t>
  </si>
  <si>
    <t>UBND xã Cự Nẫm</t>
  </si>
  <si>
    <t>Nhà lớp học 2 tầng 6 phòng Trường THCS xã Võ Ninh</t>
  </si>
  <si>
    <t>3930/QĐ-UBND ngày 30/10/2017</t>
  </si>
  <si>
    <t>Trường Tiểu học số 1 Quảng Phong (8 phòng)</t>
  </si>
  <si>
    <t>3086/QĐ-UBND ngày 30/10/2015</t>
  </si>
  <si>
    <t>3769/QĐ-UBND ngày 25/10/2007</t>
  </si>
  <si>
    <t>Quảng Phong</t>
  </si>
  <si>
    <t>UBND phường Quảng Phong</t>
  </si>
  <si>
    <t>Nhà lớp học 2 tầng 6 phòng Trường Tiểu học xã Hàm Ninh</t>
  </si>
  <si>
    <t>3830a/QĐ-UBND ngày 30/10/2017</t>
  </si>
  <si>
    <t>Hàm Ninh</t>
  </si>
  <si>
    <t>UBND xã Hàm Ninh</t>
  </si>
  <si>
    <t>Nhà lớp học 2 tầng 8 phòng Trường THCS Quảng Long</t>
  </si>
  <si>
    <t>3631a/QĐ-UBND ngày 10/11/2016</t>
  </si>
  <si>
    <t>3566/QĐ-UBND ngày 09/7/2017</t>
  </si>
  <si>
    <t xml:space="preserve">Xây dựng nhà lớp học trường Mầm non xã Phù Hóa </t>
  </si>
  <si>
    <t>3686/QĐ-UBND ngày 16/11/2016</t>
  </si>
  <si>
    <t>3845/QĐ-UBND ngày 30/10/2017</t>
  </si>
  <si>
    <t>Phù Hóa</t>
  </si>
  <si>
    <t>UBND xã Phù Hóa</t>
  </si>
  <si>
    <t>Trường MN (khu vực Liên Hòa) xã Nam Trạch, huyện Bố Trạch</t>
  </si>
  <si>
    <t>3563/QĐ-UBND ngày 04/11/2016</t>
  </si>
  <si>
    <t>3947/QĐ-UB ND ngày 31/10/2017</t>
  </si>
  <si>
    <t>Nam Trạch</t>
  </si>
  <si>
    <t>UBND xã Nam Trạch</t>
  </si>
  <si>
    <t>Nhà lớp học 2 tầng 6 phòng Trường MN Thị trấn Nông trường Lệ Ninh</t>
  </si>
  <si>
    <t>3397/QĐ-UBND ngày 27/9/2017</t>
  </si>
  <si>
    <t>UBND Thị trấn Nông trường Lệ Ninh</t>
  </si>
  <si>
    <t>Trường THCS xã Quảng Lộc</t>
  </si>
  <si>
    <t>3710/QĐ-UBND ngày 18/11/2016</t>
  </si>
  <si>
    <t>3646/QĐ-UBND ngày 16/10/2017</t>
  </si>
  <si>
    <t>Quảng Lộc</t>
  </si>
  <si>
    <t>UBND xã Quảng Lộc</t>
  </si>
  <si>
    <t>Nhà lớp học 6 phòng 2 tầng Trường THCS Quảng Thạch</t>
  </si>
  <si>
    <t xml:space="preserve"> </t>
  </si>
  <si>
    <t>3715/QĐ-UBND ngày 18/11/2016</t>
  </si>
  <si>
    <t>3926/QĐ-UBND ngày 30/10/2017</t>
  </si>
  <si>
    <t>Quảng Thạch</t>
  </si>
  <si>
    <t>UBND xã Quảng Thạch</t>
  </si>
  <si>
    <t>Nhà lớp học 2 tầng 6 phòng Trường TH Xuân Thủy</t>
  </si>
  <si>
    <t>3711/QĐ-UBND ngày 18/11/2016</t>
  </si>
  <si>
    <t>3688/QĐ-UBND ngày 16/10/2017</t>
  </si>
  <si>
    <t>Xuân Thủy</t>
  </si>
  <si>
    <t>UBND xã Xuân Thủy</t>
  </si>
  <si>
    <t>Nhà đa năng trường THPT Lê Hồng Phong</t>
  </si>
  <si>
    <t>2867/QĐ-UBND ngày 15/10/2015</t>
  </si>
  <si>
    <t>3946/QĐ-UBND ngày 31/10/2017</t>
  </si>
  <si>
    <t>Quảng Hòa</t>
  </si>
  <si>
    <t>Trường THPT Lê Hồng Phong</t>
  </si>
  <si>
    <t>Xây dựng phòng học Trường Tiểu học Quảng Thuận</t>
  </si>
  <si>
    <t>3712/QĐ-UBND ngày 18/11/2016</t>
  </si>
  <si>
    <t>3744/QĐ-UBND ngày 23/10/2017</t>
  </si>
  <si>
    <t>Quảng Thuận</t>
  </si>
  <si>
    <t>UBND phường Quảng Thuận</t>
  </si>
  <si>
    <t>Trường MN mang tên Đại tướng Võ Nguyên Giáp</t>
  </si>
  <si>
    <t>3002/QĐ-UBND ngày 25/10/2014</t>
  </si>
  <si>
    <t>Kiến Giang</t>
  </si>
  <si>
    <t>UBND huyện Lệ Thủy</t>
  </si>
  <si>
    <t>Nhà lớp học 2 tầng 8 phòng Trường THCS Thị trấn nông trường Lệ Ninh</t>
  </si>
  <si>
    <t>3241/QĐ-UBND ngày 18/9/2017</t>
  </si>
  <si>
    <t>UBND thị trấn Nông trường Lệ Ninh</t>
  </si>
  <si>
    <t>Nhà phòng học THPT Lệ Thủy</t>
  </si>
  <si>
    <t>3893/QĐ-UBND ngày 30/10/2017</t>
  </si>
  <si>
    <t>Trường THPT Lệ Thủy</t>
  </si>
  <si>
    <t xml:space="preserve">Trường Tiểu học Bắc Dinh thị trấn Nông trường Việt Trung  (6 phòng) </t>
  </si>
  <si>
    <t>3963/QĐ-UBND ngày 31/10/2017</t>
  </si>
  <si>
    <t>Đ/c thời gian KCM từ 2019 về 2018</t>
  </si>
  <si>
    <t>Nhà đa chức năng Trường THPT Quang Trung</t>
  </si>
  <si>
    <t>3881/QĐ-UBND ngày 30/10/2017</t>
  </si>
  <si>
    <t>Trường THPT Quang Trung</t>
  </si>
  <si>
    <t>Trường Mầm non xã Quảng Tân</t>
  </si>
  <si>
    <t>3955/QĐ-UBND ngày 31/10/2017</t>
  </si>
  <si>
    <t>Bổ sung ngoài Nghị quyết số 11/2016/Q-HĐND</t>
  </si>
  <si>
    <t>Quảng Tân</t>
  </si>
  <si>
    <t>UBND xã Quảng Tân</t>
  </si>
  <si>
    <t>Dự án Khởi công mới  năm 2019</t>
  </si>
  <si>
    <t>Các dự án trong KH trung hạn đã cân đối nguồn</t>
  </si>
  <si>
    <t xml:space="preserve">Nhà lớp học và chức năng 2 tầng 8 phòng trường Tiểu học Hải Thành </t>
  </si>
  <si>
    <t>3346/QĐ-UBND ngày 09/10/2018</t>
  </si>
  <si>
    <t>P.VX
đề xuất bố trí</t>
  </si>
  <si>
    <t>Hải Thành</t>
  </si>
  <si>
    <t>UBND phường Hải Thành</t>
  </si>
  <si>
    <t>Có trong KH trung hạn, phê duyệt CTĐT từ 2015</t>
  </si>
  <si>
    <t>2820/QĐ-UBND ngày 13/10/2015; 2358/QĐ-UBND ngày 18/7/2018</t>
  </si>
  <si>
    <t>Nhà thư viện, phòng học bộ môn Trường THCS xã Thanh Trạch</t>
  </si>
  <si>
    <t>3679/QĐ-UBND ngày 29/10/2018</t>
  </si>
  <si>
    <t>Thanh Trạch</t>
  </si>
  <si>
    <t>UBND xã Thanh Trạch</t>
  </si>
  <si>
    <t>có trong KH trung hạn, phê duyệt CTĐT từ năm 2017</t>
  </si>
  <si>
    <t>4538/QĐ-UBND ngày 13/12/2017</t>
  </si>
  <si>
    <t>Trường Tiểu học xã Thuận Đức (2 tầng 6 phòng)</t>
  </si>
  <si>
    <t>3681/QĐ-UBND ngày 29/10/2018</t>
  </si>
  <si>
    <t>Thuận Đức</t>
  </si>
  <si>
    <t>UBND xã Thuận Đức</t>
  </si>
  <si>
    <t>có trong KH trung hạn, phê duyệt CTĐT từ năm 2015</t>
  </si>
  <si>
    <t>3049/QĐ-UBND ngày 29/10/2015; 2349/QĐ-UBND ngày 18/7/2018</t>
  </si>
  <si>
    <t>Trường Tiểu học xã Vạn Trạch (6 phòng) (Khu vực Thống Nhất)</t>
  </si>
  <si>
    <t>3818/QD-UBND ngày 31/10/2018</t>
  </si>
  <si>
    <t>Vạn Trạch</t>
  </si>
  <si>
    <t>UBND xã Vạn Trạch</t>
  </si>
  <si>
    <t>có trong KH trung hạn</t>
  </si>
  <si>
    <t>3704/QĐ-UBND ngày 30/10/2018</t>
  </si>
  <si>
    <t>Nhà thi đấu đa chức năng trường THCS&amp;THPT Dương Văn An</t>
  </si>
  <si>
    <t>3445/QĐ-UBND ngày 17/10/2018</t>
  </si>
  <si>
    <t xml:space="preserve"> Trường THCS&amp;THPT Dương Văn An</t>
  </si>
  <si>
    <t>2823/QĐ-UBND ngày 13/10/2015</t>
  </si>
  <si>
    <t>Xây mới phòng học bộ môn trường THPT Tuyên Hóa</t>
  </si>
  <si>
    <t>3625/QĐ-UBND ngày 26/10/2018</t>
  </si>
  <si>
    <t>Nhà phòng học 10 phòng trường THPT Minh Hóa</t>
  </si>
  <si>
    <t>3766/QĐ-UBND ngày 31/10/2018</t>
  </si>
  <si>
    <t>Trường THPT Minh Hóa</t>
  </si>
  <si>
    <t>2982/QĐ-UBND ngày 26/10/2015</t>
  </si>
  <si>
    <t>Nhà lớp học bộ môn 6 phòng - Trường THCS Cam Thủy</t>
  </si>
  <si>
    <t>3827/QĐ-UBND ngày 31/10/2018</t>
  </si>
  <si>
    <t>Cam Thủy</t>
  </si>
  <si>
    <t>UBND xã Cam Thủy</t>
  </si>
  <si>
    <t>Trường Tiểu học Quảng Thạch  (6 phòng)</t>
  </si>
  <si>
    <t>3775/QĐ-UBND ngày 31/10/2018</t>
  </si>
  <si>
    <t>P.VX
đề xuất NS tỉnh hỗ trợ 100% TMĐT như trong KH trung hạn</t>
  </si>
  <si>
    <t>Nhà thi đấu đa chức năng  trường THPT Ngô Quyền (trước đây là Trường THPT số 5 Bố Trạch)</t>
  </si>
  <si>
    <t>3765/QĐ-UBND ngày 31/10/2018</t>
  </si>
  <si>
    <t xml:space="preserve"> Trường THPT Ngô Quyền</t>
  </si>
  <si>
    <t>3067a/QĐ-UBND ngày 30/10/2015</t>
  </si>
  <si>
    <t>Trường Tiểu học số 2 xã Quảng Xuân - Hạng mục: Nhà lớp học 6 phòng 2 tầng</t>
  </si>
  <si>
    <t>3117/QĐ-UBND ngày 05/9/2017</t>
  </si>
  <si>
    <t>2989/QĐ-UBND ngày 26/10/2016</t>
  </si>
  <si>
    <t>Xây dựng phòng học trường THCS Kim Hóa (6 phòng học)</t>
  </si>
  <si>
    <t>3825/QĐ-UBND ngày 31/10/2018</t>
  </si>
  <si>
    <t>Kim Hóa</t>
  </si>
  <si>
    <t>UBND xã Kim Hóa</t>
  </si>
  <si>
    <t>2978/QĐ-UBND ngày 26/10/2015</t>
  </si>
  <si>
    <t xml:space="preserve">Trường THCS Sơn Lộc (2 tầng 6 phòng) </t>
  </si>
  <si>
    <t>3167/QĐ-UBND ngày 24/9/2018</t>
  </si>
  <si>
    <t>Sơn Lộc</t>
  </si>
  <si>
    <t>UBND xã Sơn Lộc</t>
  </si>
  <si>
    <t>3027/QĐ-UBND ngày 28/10/2015; 1005/QĐ-UBND ngày 30/3/2018</t>
  </si>
  <si>
    <t>Nhà lớp học 2 tầng 8 phòng trường THCS Cảnh Hóa</t>
  </si>
  <si>
    <t>3624/QĐ-UBND ngày 26/10/2018</t>
  </si>
  <si>
    <t>Cảnh Hóa</t>
  </si>
  <si>
    <t>UBND xã Cảnh Hóa</t>
  </si>
  <si>
    <t>2981/QĐ-UBND ngày 26/10/2015; 2618/QĐ-UBND ngày 08/18/2018</t>
  </si>
  <si>
    <t>Trường Tiểu học số 1 xã Quảng Xuân (06 phòng)</t>
  </si>
  <si>
    <t>3716/QĐ-UBND ngày 30/10/2018</t>
  </si>
  <si>
    <t>3371/QĐ-UBND ngày 11/10/2018</t>
  </si>
  <si>
    <t>Nhà lớp học 2 tầng 4 phòng cụm MN Xuân Bồ, Xuân Thủy</t>
  </si>
  <si>
    <t>3857a/QĐ-UBND ngày 31/10/2018</t>
  </si>
  <si>
    <t>Trường Tiểu học xã Quảng Sơn (8 phòng)</t>
  </si>
  <si>
    <t>3804/QĐ-UBND ngày 31/10/2018</t>
  </si>
  <si>
    <t>Điều chỉnh năm khởi công từ 2020 thành 2019</t>
  </si>
  <si>
    <t>Quảng Sơn</t>
  </si>
  <si>
    <t>UBND xã Quảng Sơn</t>
  </si>
  <si>
    <t>Đ/c Giám đốc, phê duyệt CTĐT từ năm 2016</t>
  </si>
  <si>
    <t>4160/QĐ-UBND ngày 28/11/2016; 3367/QĐ-UBND ngày 10/10/2018</t>
  </si>
  <si>
    <t>Nhà lớp học 8 phòng 2 tầng trường THCS Quảng Hải</t>
  </si>
  <si>
    <t>3786/QĐ-UBND ngày 31/10/2018</t>
  </si>
  <si>
    <t>Điều chỉnh ngày 20.11</t>
  </si>
  <si>
    <t>Các dự án trong KH trung hạn chưa cân đối nguồn</t>
  </si>
  <si>
    <t>XD mới Nhà đa chức năng Trường CĐ Kỹ thuật công nông nghiệp Quảng Bình</t>
  </si>
  <si>
    <t>2753/QĐ-UBDN ngày  20/8/2018</t>
  </si>
  <si>
    <t>Bắc Nghĩa</t>
  </si>
  <si>
    <t>Trường CĐ Kỹ thuật công nông nghiệp Quảng Bình</t>
  </si>
  <si>
    <t>4123/QĐ-UBDN ngày  15/11/2017</t>
  </si>
  <si>
    <t xml:space="preserve">Các dự án bổ sung KH trung hạn </t>
  </si>
  <si>
    <t>Nhà hiệu bộ Trường Mầm non xã Nghĩa Ninh</t>
  </si>
  <si>
    <t>3773/QĐ-UBND ngày 31/10/2018</t>
  </si>
  <si>
    <t>Thay thế dự án Trường THCS xã Nghĩa Ninh (2 tầng 6 phòng)</t>
  </si>
  <si>
    <t>Nghĩa Ninh</t>
  </si>
  <si>
    <t>UBND xã Nghĩa Ninh</t>
  </si>
  <si>
    <t xml:space="preserve">Nhà lớp học 2 tầng 8 phòng Trường Tiểu học Lộc Ninh </t>
  </si>
  <si>
    <t>3876a/QĐ-UBND ngày 31/10/2018</t>
  </si>
  <si>
    <t>Thay thế Dự án Nhà Hiệu bộ trường TH Lộc Ninh cơ sở 2 (thuộc KH trung hạn)</t>
  </si>
  <si>
    <t>Lộc Ninh</t>
  </si>
  <si>
    <t>UBND xã Lộc Ninh</t>
  </si>
  <si>
    <t>3651/QĐ-UBND ngày 26/10/2018</t>
  </si>
  <si>
    <t>Sửa chữa, nâng cấp khối nhà lớp học 3 tầng, 24 phòng Trường THPT Đồng Hới</t>
  </si>
  <si>
    <t>3884a/QĐ-UBND ngày 31/10/2018</t>
  </si>
  <si>
    <t>Thay thế Dự án Nhà lớp học 8 phòng trường THPT Đồng Hới (VB số 137/HĐND-VP ngày 25/10/2018)</t>
  </si>
  <si>
    <t>Trường THPT Đồng Hới</t>
  </si>
  <si>
    <t>3597/QĐ-UBND ngày 26/10/2018</t>
  </si>
  <si>
    <t>Nhà lớp học 6 phòng, cổng và hàng rào Trường Tiểu học số 1 xã An Ninh</t>
  </si>
  <si>
    <t>3964/QĐ-UBND ngày 31/10/2017</t>
  </si>
  <si>
    <t>NS xã bố trí năm 2018</t>
  </si>
  <si>
    <t>An Ninh</t>
  </si>
  <si>
    <t>UBND xã An Ninh</t>
  </si>
  <si>
    <t>Đ/c Giám đốc, phê duyệt CTĐT từ năm 2017</t>
  </si>
  <si>
    <t>3666/QĐ-UBND ngày 18/10/2017</t>
  </si>
  <si>
    <t>Trường Mầm non Bắc Lý ( Cụm Khu công nghiệp Tây Bắc Đồng Hới)</t>
  </si>
  <si>
    <t>3806/QĐ-UBND ngày 31/10/2018</t>
  </si>
  <si>
    <t>Liên đoàn Lao động tỉnh</t>
  </si>
  <si>
    <t>Đ/c Quang PCT, đ/c Giám đốc</t>
  </si>
  <si>
    <t>Nhà đa năng Trường THPT Trần Hưng Đạo</t>
  </si>
  <si>
    <t>3891/QĐ-UBND ngày 31/10/2018</t>
  </si>
  <si>
    <t>Trường THPT Trần Hưng Đạo</t>
  </si>
  <si>
    <t>1595/QĐ-UBDN ngày 17/5/2018</t>
  </si>
  <si>
    <t>Nhà thư viện, hội trường, văn phòng trường THPT Nguyễn Chí Thanh</t>
  </si>
  <si>
    <t>3644/QĐ-UBND ngày 29/10/2018</t>
  </si>
  <si>
    <t>Đề nghị không bố trí vốn do sát nhập trường</t>
  </si>
  <si>
    <t>Trường THPT Nguyễn Chí Thanh</t>
  </si>
  <si>
    <t>3435/QĐ-UBND ngày 17/10/2018</t>
  </si>
  <si>
    <t>Nhà ở giáo viên giảng dạy và bồi dưỡng TT GDTX tỉnh</t>
  </si>
  <si>
    <t>2326a/QĐ-UBND ngày 13/7/2018</t>
  </si>
  <si>
    <t>Theo đề án dự kiến giải thể, vì vậy đề nghị không bố trí vốn</t>
  </si>
  <si>
    <t>Trung tâm GDTX tỉnh</t>
  </si>
  <si>
    <t>1441/QĐ-UBND ngày 03/5/2018</t>
  </si>
  <si>
    <t>Các dự án khởi công mới 2019 dùng nguồn vốn huyện, xã (NS tỉnh bố trí từ năm 2020)</t>
  </si>
  <si>
    <t>Trường Tiểu học số 1 Sen Thủy (6 phòng 2 tầng)</t>
  </si>
  <si>
    <t>3796/QĐ-UBND ngày 31/10/2018</t>
  </si>
  <si>
    <t>Sen Thủy</t>
  </si>
  <si>
    <t>UBND xã Sen Thủy</t>
  </si>
  <si>
    <t>Đ/c Giám đốc</t>
  </si>
  <si>
    <t>3648a/QĐ-UBND ngày 26/10/2018</t>
  </si>
  <si>
    <t>Nhà lớp học 2 tầng 6 phòng Trường Mầm non Huyền Thủy, xã Thạch Hóa</t>
  </si>
  <si>
    <t>3824/QĐ-UBND ngày 31/10/2018</t>
  </si>
  <si>
    <t>Thạch Hóa</t>
  </si>
  <si>
    <t>UBND xã Thạch Hóa</t>
  </si>
  <si>
    <t>3626/QĐ-UBND ngày 26/10/2018</t>
  </si>
  <si>
    <t>Trường MN 2 tầng 4 phòng thôn Áng Sơn xã Vạn Ninh</t>
  </si>
  <si>
    <t>3800/QĐ-UBND ngày 31/10/2018</t>
  </si>
  <si>
    <t>PVX đưa xuống KCM năm 2019, dùng NS huyện xã</t>
  </si>
  <si>
    <t>Vạn Ninh</t>
  </si>
  <si>
    <t>UBND xã Vạn Ninh</t>
  </si>
  <si>
    <t>Chủ tịch</t>
  </si>
  <si>
    <t>Nhà lớp học bộ môn 2 tầng 4 phòng Trường THCS xã Tiến Hóa</t>
  </si>
  <si>
    <t>3835/QĐ-UBND ngày 31/10/2018</t>
  </si>
  <si>
    <t>Đ/c Quang PCT</t>
  </si>
  <si>
    <t>3627/QĐ-UBND ngày 26/10/2018</t>
  </si>
  <si>
    <t>Nhà lớp học 2 tầng 8 phòng Trường Tiểu học Quảng Thọ</t>
  </si>
  <si>
    <t>3772/QĐ-UBND ngày 31/10/2018</t>
  </si>
  <si>
    <t>3489/QĐ-UBND ngày 22/10/2018</t>
  </si>
  <si>
    <t>Nhà lớp học 2 tầng 8 phòng Trường Tiểu học Cồn Sẻ, xã Quảng Lộc</t>
  </si>
  <si>
    <t>3795/QĐ-UBND ngày 31/10/2018</t>
  </si>
  <si>
    <t>P VX</t>
  </si>
  <si>
    <t>3519/QĐ-UBND ngày 23/10/2018</t>
  </si>
  <si>
    <t>Nhà lớp học 2 tầng 6 phòng Trường Tiểu học số 1 Ba Đồn</t>
  </si>
  <si>
    <t>3779/QĐ-UBND ngày 31/10/2018</t>
  </si>
  <si>
    <t>UBND phường Ba Đồn</t>
  </si>
  <si>
    <t>3518/QĐ-UBND ngày 23/10/2018</t>
  </si>
  <si>
    <t>Nhà lớp học và các phòng chức năng 2 tầng 6 phòng trường MN xã Quảng Thủy</t>
  </si>
  <si>
    <t>3878a/QĐ-UBND ngày 31/10/2018</t>
  </si>
  <si>
    <t>Quảng Thủy</t>
  </si>
  <si>
    <t>UBND xã Quảng Thủy</t>
  </si>
  <si>
    <t>Nhà lớp học 2 tầng 6 phòng Trường  Tiểu học số 1 Quảng Hòa</t>
  </si>
  <si>
    <t>3780/QĐ-UBND ngày 31/10/2018</t>
  </si>
  <si>
    <t>UBND xã Quảng Hòa</t>
  </si>
  <si>
    <t>3463/QĐ-UBND ngày 18/10/2018</t>
  </si>
  <si>
    <t>Xây dựng 6 phòng 2 tầng Trường Mầm non xã Quảng Liên</t>
  </si>
  <si>
    <t>3807/QĐ-UBND ngày 31/10/2018</t>
  </si>
  <si>
    <t xml:space="preserve">UBND xã Quảng Liên </t>
  </si>
  <si>
    <t>3382/QĐ-UBND ngày 12/10/2018</t>
  </si>
  <si>
    <t>Nhà lớp học 2 tầng 6 phòng Trường Tiểu học Quảng Liên</t>
  </si>
  <si>
    <t>3808/QĐ-UBND ngày 31/10/2018</t>
  </si>
  <si>
    <t>3381/QĐ-UBND ngày 12/10/2018</t>
  </si>
  <si>
    <t>Nhà lớp học 2 tầng 8 phòng Trường THCS xã Quảng Xuân</t>
  </si>
  <si>
    <t>3709/QĐ-UBND ngày 30/10/2018</t>
  </si>
  <si>
    <t>3449/QĐ-UBND ngày 17/10/2018</t>
  </si>
  <si>
    <t>Dãy nhà 2 tầng 8 phòng Trường THCS xã Quảng Châu</t>
  </si>
  <si>
    <t>3782/QĐ-UBND ngày 31/10/2018</t>
  </si>
  <si>
    <t>Quảng Châu</t>
  </si>
  <si>
    <t>UBND xã Quảng Châu</t>
  </si>
  <si>
    <t>3448/QĐ-UBND ngày 17/10/2018</t>
  </si>
  <si>
    <t xml:space="preserve">Nhà hiệu bộ và các phòng chức năng trường THCS Sơn Trạch </t>
  </si>
  <si>
    <t>3744/QĐ-UBND ngày 30/10/2018</t>
  </si>
  <si>
    <t>Sơn Trạch</t>
  </si>
  <si>
    <t>UBND huyện Bố Trạch</t>
  </si>
  <si>
    <r>
      <t>Nhà lớp học 6 phòng 2 tầng Trường tiểu học số 4 Sơn Trạch</t>
    </r>
    <r>
      <rPr>
        <sz val="10"/>
        <color theme="1"/>
        <rFont val="Times New Roman"/>
        <family val="1"/>
      </rPr>
      <t xml:space="preserve"> </t>
    </r>
  </si>
  <si>
    <t>3743/QĐ-UBND ngày 30/10/2018</t>
  </si>
  <si>
    <t>UBND xã Sơn Trạch</t>
  </si>
  <si>
    <t>Hỏi lại VX</t>
  </si>
  <si>
    <r>
      <t>Nhà lớp học 2 tầng 8 phòng Trường tiểu học số 4 Hưng Trạch</t>
    </r>
    <r>
      <rPr>
        <sz val="10"/>
        <color theme="1"/>
        <rFont val="Times New Roman"/>
        <family val="1"/>
      </rPr>
      <t xml:space="preserve"> </t>
    </r>
  </si>
  <si>
    <t>3742/QĐ-UBND ngày 30/10/2018</t>
  </si>
  <si>
    <t>Hưng Trạch</t>
  </si>
  <si>
    <t>Ý kiến đ/c Dũng PCT</t>
  </si>
  <si>
    <t>3769/QĐ-UBND ngày 31/10/2018</t>
  </si>
  <si>
    <r>
      <t>Nhà lớp học 6 phòng trường Mầm non Lâm Trạch</t>
    </r>
    <r>
      <rPr>
        <sz val="10"/>
        <color theme="1"/>
        <rFont val="Times New Roman"/>
        <family val="1"/>
      </rPr>
      <t xml:space="preserve"> </t>
    </r>
  </si>
  <si>
    <t>3741a/QĐ-UBND ngày 30/10/2018</t>
  </si>
  <si>
    <t>Lâm Trạch</t>
  </si>
  <si>
    <t>UBND xã Lâm Trạch</t>
  </si>
  <si>
    <t>Có trong KH
trung hạn</t>
  </si>
  <si>
    <t>Nhà lớp học 2 tầng 6 phòng Trường Tiểu học số 2 Cự Nẫm, huyện Bố Trạch</t>
  </si>
  <si>
    <t>3820/QĐ-UBND ngày 31/10/2018</t>
  </si>
  <si>
    <t>Trường Tiểu học xã Vạn Trạch (6 phòng) (Khu vực Chiến Thắng)</t>
  </si>
  <si>
    <t>3819/QĐ-UBND ngày 31/10/2018</t>
  </si>
  <si>
    <t>Ý kiến Giám đốc. Có trong
KH trung hạn</t>
  </si>
  <si>
    <r>
      <t>Nhà lớp học chức năng, thư viện trường THCS xã Đồng Trạch</t>
    </r>
    <r>
      <rPr>
        <sz val="10"/>
        <color theme="1"/>
        <rFont val="Times New Roman"/>
        <family val="1"/>
      </rPr>
      <t xml:space="preserve"> </t>
    </r>
  </si>
  <si>
    <t>3875/QĐ-UBND ngày 31/10/2018</t>
  </si>
  <si>
    <t>Đồng Trạch</t>
  </si>
  <si>
    <t>UBND xã Đồng Trạch</t>
  </si>
  <si>
    <r>
      <t>Nhà chức năng 2 tầng 6 phòng trường THCS xã Trung Trạch</t>
    </r>
    <r>
      <rPr>
        <sz val="10"/>
        <color theme="1"/>
        <rFont val="Times New Roman"/>
        <family val="1"/>
      </rPr>
      <t xml:space="preserve"> </t>
    </r>
  </si>
  <si>
    <t>3798/QĐ-UBND ngày 31/10/2018</t>
  </si>
  <si>
    <t>Trung Trạch</t>
  </si>
  <si>
    <r>
      <t>Nhà lớp học chức năng trường tiểu học xã Đức Trạch – KV2</t>
    </r>
    <r>
      <rPr>
        <sz val="10"/>
        <color theme="1"/>
        <rFont val="Times New Roman"/>
        <family val="1"/>
      </rPr>
      <t xml:space="preserve"> </t>
    </r>
  </si>
  <si>
    <t>3874/QĐ-UBND ngày 31/10/2018</t>
  </si>
  <si>
    <t>Nhà lớp học 2 tầng 8 phòng Trung tâm giáo dục trẻ khuyết tật huyện Lệ Thủy</t>
  </si>
  <si>
    <t>3812/QĐ-UBND ngày 31/10/2018</t>
  </si>
  <si>
    <t>Trung tâm Giáo dục trẻ khuyết tật huyện Lệ Thủy</t>
  </si>
  <si>
    <t>3497/QĐ-UBND ngày 22/10/2018</t>
  </si>
  <si>
    <t>Hạ tầng kỹ thuật Trường phổ thông dân tộc nội trú huyện Quảng Ninh</t>
  </si>
  <si>
    <t>3811/QĐ-UBND ngày 31/10/2018</t>
  </si>
  <si>
    <t>Trường Sơn</t>
  </si>
  <si>
    <t>Trường  Phổ thông Dân tộc nội trú huyện Quảng Ninh</t>
  </si>
  <si>
    <t>3642/QĐ-UBND ngày 26/10/2018</t>
  </si>
  <si>
    <t>Nhà hiệu bộ trường THCS Tân Ninh</t>
  </si>
  <si>
    <t>3809/QĐ-UBND ngày 31/10/2018</t>
  </si>
  <si>
    <t>Tân Ninh</t>
  </si>
  <si>
    <t>UBND xã Tân Ninh</t>
  </si>
  <si>
    <t>3639/QĐ-UBND ngày 26/10/2018</t>
  </si>
  <si>
    <t>3368/QĐ-UBND ngày 11/10/2018</t>
  </si>
  <si>
    <t>Nhà lớp học bộ môn 2 tầng 8 phòng học, Trường THCS xã Hàm Ninh</t>
  </si>
  <si>
    <t>3724a/QĐ-UBND ngày 30/10/2018</t>
  </si>
  <si>
    <t>3369/QĐ-UBND ngày 11/10/2018</t>
  </si>
  <si>
    <t>3866/QĐ-UBND ngày 31/10/2018</t>
  </si>
  <si>
    <t>Đ/c Thuật PBT</t>
  </si>
  <si>
    <t>3607/QĐ-UBND ngày 26/10/2018</t>
  </si>
  <si>
    <t>3879a/QĐ-UBND ngày 31/10/2018</t>
  </si>
  <si>
    <t>Xây dựng cơ sở 2 Trường trung cấp Y tế Quảng Bình (gđ1)</t>
  </si>
  <si>
    <t>3771/QĐ-UBND ngày 31/10/2018</t>
  </si>
  <si>
    <t>Nam Lý</t>
  </si>
  <si>
    <t>Trường Trung cấp Y tế</t>
  </si>
  <si>
    <t>Theo đề án</t>
  </si>
  <si>
    <t>3444/QĐ-UBND ngày 17/10/2018</t>
  </si>
  <si>
    <t>3860/QĐ-UBND ngày 31/10/2018</t>
  </si>
  <si>
    <t>Đang chờ phê duyệt</t>
  </si>
  <si>
    <t>Nhà lớp học 2 tầng 8 phòng và HTKT Trường TH Sơn Thủy</t>
  </si>
  <si>
    <t>3813/QĐ-UBND ngày 31/10/2018</t>
  </si>
  <si>
    <t>Trường Tiểu học Hải Trạch</t>
  </si>
  <si>
    <t>3764/QĐ-UBND ngày 31/10/2018</t>
  </si>
  <si>
    <t>Trung C bổ sung 19.11</t>
  </si>
  <si>
    <t>UBND xã Hải Trạch</t>
  </si>
  <si>
    <t>Ý kiến Giám đốc</t>
  </si>
  <si>
    <t>Nhà lớp học, chức năng Trường Tiểu học Long Đại, xã Hiền Ninh</t>
  </si>
  <si>
    <t>3868/QĐ-UBND ngày 31/10/2018</t>
  </si>
  <si>
    <t>Nhà lớp học 2 tầng 6 phòng trường Mầm non Cam Thủy (KV Mỹ Hòa)</t>
  </si>
  <si>
    <t>3810/QĐ-UBND ngày 31/10/2018</t>
  </si>
  <si>
    <t>Các dự án KCM bổ sung văn bản 2877/KHĐT-TH</t>
  </si>
  <si>
    <t>Sữa chữa dãy nhà 3 tầng THPT Tuyên Hóa</t>
  </si>
  <si>
    <t>Nhà hiệu bộ Trường Phổ thông Dân tộc nội trú tỉnh</t>
  </si>
  <si>
    <t>Hệ thống thoát nước và sân đường nội bộ trường THPT Tuyên Hóa</t>
  </si>
  <si>
    <t>Nhà vệ sinh và đường chạy môn học giáo dục thể chất trường THPT Quang Trung, xã Quảng Phú</t>
  </si>
  <si>
    <t>Nhà lớp học 2 tầng 8 phòng và nhà vệ sinh của học sinh, giáo viên Trường THPT Quảng Ninh</t>
  </si>
  <si>
    <t>Nhà thư viện, hội trường, văn phòng Trường THPT Nguyễn Chí Thanh</t>
  </si>
  <si>
    <t>Nhà thi đấu đa năng Trường THPT Nguyễn Chí Thanh</t>
  </si>
  <si>
    <t>Nhà lớp học 2 tầng 8 phòng trường THCS &amp; THPT Việt Trung</t>
  </si>
  <si>
    <t>Nhà đa năng Trường THCS &amp; THPT Việt Trung</t>
  </si>
  <si>
    <t>Nhà lớp học 10 phòng trường THPT Lê Hồng Phong</t>
  </si>
  <si>
    <t>Nhà lớp học 2 tầng 6 phòng Trường THCS Quảng Hải</t>
  </si>
  <si>
    <t>Trường MN thôn Na xã Sơn Trạch</t>
  </si>
  <si>
    <t>Nhà hiệu bộ - Trường Tiểu học Lộc Ninh cơ sở 2</t>
  </si>
  <si>
    <t>Nhà lớp học 6 phòng học, cổng và hàng rào Trường TH số 1 An Ninh</t>
  </si>
  <si>
    <t>Xây dựng 6 phòng học Trường Mầm non Kim Lũ, xã Kim Hóa</t>
  </si>
  <si>
    <t>Y tế</t>
  </si>
  <si>
    <t xml:space="preserve">Trung tâm chăm sóc phục hồi chức năng cho người tâm thần </t>
  </si>
  <si>
    <t>1881/QĐ-UBND ngày 29/5/2017</t>
  </si>
  <si>
    <t>XD mới Phòng khám đa khoa khu vực Sơn Trạch</t>
  </si>
  <si>
    <t>2724/QĐ-UBND, ngày 31/10/2013</t>
  </si>
  <si>
    <t>Dự án chuyển tiếp 2018</t>
  </si>
  <si>
    <t>Hạ tầng kỹ thuật Bệnh viện Đa khoa huyện Quảng Ninh</t>
  </si>
  <si>
    <t>528/QĐ-UBND, ngày 15/3/2011; 2017/QĐ-UBND ngày 21/8/2013; 2124/QĐ-UBND ngày 05/9/2013</t>
  </si>
  <si>
    <t>Bệnh viện Đa khoa huyện Quảng Ninh</t>
  </si>
  <si>
    <t>Phòng khám bệnh và hạ tầng kỹ thuật Trung tâm Y tế dự phòng huyện Quảng Ninh</t>
  </si>
  <si>
    <t>3386/QĐ-UBND
 ngày 27/10/2016</t>
  </si>
  <si>
    <t>Cải tạo, nâng cấp bệnh viện Y học cổ truyền tỉnh</t>
  </si>
  <si>
    <t>3867/QĐ-UBND ngày 30/10/2017</t>
  </si>
  <si>
    <t>Bổ sung số QĐ, cập nhật số KH 2018-2020 (trừ CBĐT)</t>
  </si>
  <si>
    <t>Bệnh viện Y học cổ truyền tỉnh</t>
  </si>
  <si>
    <t>Xây dựng nhà quản lý và hành chính Bệnh viện Đa khoa huyện Lệ Thủy</t>
  </si>
  <si>
    <t>A Hiếu VX cung cấp, trong QLVB chưa có</t>
  </si>
  <si>
    <t>Bệnh viện Đa khoa huyện Lệ Thủy</t>
  </si>
  <si>
    <t>Trạm Y tế xã Quảng Châu cũ</t>
  </si>
  <si>
    <t>Chưa nộp lại CTĐT 40/60</t>
  </si>
  <si>
    <t>Nhà điều trị bệnh nhân Bệnh viện đa khoa huyện Bố Trạch</t>
  </si>
  <si>
    <t>3949/QĐ-UBND ngày 31/10/2017</t>
  </si>
  <si>
    <t>Bệnh viện đa khoa huyện Bố Trạch</t>
  </si>
  <si>
    <t>Cải tạo, sửa chữa Phòng khám đa khoa khu vực Hóa Tiến</t>
  </si>
  <si>
    <t>3785/QĐ-UBND ngày 25/10/2017</t>
  </si>
  <si>
    <t>Khối nhà điều trị người bệnh nội trú- Bệnh viện đa khoa khu vực Bắc Quảng Bình</t>
  </si>
  <si>
    <t>3445/QĐ-UBND ngày 28/10/52016</t>
  </si>
  <si>
    <t>Bệnh viện đa khoa khu vực Bắc Quảng Bình</t>
  </si>
  <si>
    <t>Dự án khởi công mới năm 2019</t>
  </si>
  <si>
    <t>Trạm Y tế phường Quảng Phúc</t>
  </si>
  <si>
    <t>3970a/QĐ-UBND ngày 31/10/2017</t>
  </si>
  <si>
    <t>Năm 2018 đã bố trí ngân sách phường, điều chỉnh tăng trung hạn từ 500 lên 3 tỷ</t>
  </si>
  <si>
    <t>Quảng Phúc</t>
  </si>
  <si>
    <t>UBND phường
Quảng Phúc</t>
  </si>
  <si>
    <t>2905/QĐ-UBND ngày 16/10/2015; 3757a/QĐ-UBND ngày 31/10/2017</t>
  </si>
  <si>
    <t>Bệnh viện Đa khoa Tuyên Hóa</t>
  </si>
  <si>
    <t>3858/QĐ-UBND ngày 31/10/2018</t>
  </si>
  <si>
    <t>3050/QĐ-UBND ngày 29/10/2015</t>
  </si>
  <si>
    <t>Trạm y tế xã Quảng Châu</t>
  </si>
  <si>
    <t>3803/QĐ-UBND ngày 31/10/2018</t>
  </si>
  <si>
    <t>3847/QĐ-UBND ngày 30/10/2017</t>
  </si>
  <si>
    <t>Trạm  Y tế phường Quảng Long</t>
  </si>
  <si>
    <t>3776/QĐ-UBND ngày 31/10/2018</t>
  </si>
  <si>
    <t>UBND phường
Quảng Long</t>
  </si>
  <si>
    <t>2899/QĐ-UBND ngày 16/10/2015</t>
  </si>
  <si>
    <t>Bệnh viện Đa khoa Đồng Hới</t>
  </si>
  <si>
    <t>3802/QĐ-UBND ngày 31/10/2018</t>
  </si>
  <si>
    <t>Đ/c tăng tổng mức đầu tư từ 5,5 tỷ đồng lên 8,6 tỷ theo QĐ chủ trương đầu tư. Bố trí vốn từ năm 2019
KHV trung hạn 500 &gt;&gt; 5160</t>
  </si>
  <si>
    <t>3674/QĐ-UBND ngày 29/10/2018</t>
  </si>
  <si>
    <t>Bệnh viện Đa khoa Minh Hóa</t>
  </si>
  <si>
    <t>3890/QĐ-UBND ngày 31/10/2018</t>
  </si>
  <si>
    <t>3574/QĐ-UBND ngày 24/10/2018</t>
  </si>
  <si>
    <t>Trung tâm Y tế huyện Quảng Trạch</t>
  </si>
  <si>
    <t>2151/QĐ-UBND ngày 02/7/2018</t>
  </si>
  <si>
    <t>TT. HĐND tỉnh đã đồng ý bổ sung trung hạn và bố trí từ năm 2019 (VB số 136/HĐND-VP ngày 25/10/2018) Năm 2018 đã bố trí vốn sự nghiệp y tế để thực hiện</t>
  </si>
  <si>
    <t>Điều chỉnh tăng NS tỉnh từ 9,600 lên 9,800</t>
  </si>
  <si>
    <t>Quảng Hưng</t>
  </si>
  <si>
    <t>Sở Y tế</t>
  </si>
  <si>
    <t>có ý kiến Thường trực HDND</t>
  </si>
  <si>
    <t>3828/QĐ-UBND ngày 27/10/2017</t>
  </si>
  <si>
    <t>Trạm y tế xã Quảng Lộc</t>
  </si>
  <si>
    <t>3865/QĐ-UBND ngày 30/10/2017</t>
  </si>
  <si>
    <t>Bố trí NS xã 2018</t>
  </si>
  <si>
    <t>3842/QĐ-UBND ngày 30/10/2017</t>
  </si>
  <si>
    <t>Hạ tầng kỹ thuật Trung tâm Y tế huyện Lệ Thuỷ</t>
  </si>
  <si>
    <t>3889a/QĐ-UBND ngày 31/10/2018</t>
  </si>
  <si>
    <t>Trung tâm Y tế huyện Lệ Thuỷ</t>
  </si>
  <si>
    <t>Đ/c Giám đốc. Có trong KH
trung hạn</t>
  </si>
  <si>
    <t>Trạm Y tế xã Đức Trạch</t>
  </si>
  <si>
    <t>3347/QĐ-UBND ngày 9/10/2018</t>
  </si>
  <si>
    <t>Bố trí theo PVX đề xuất</t>
  </si>
  <si>
    <t>889/VPUBND-KTTH
ngày 26/03/2018</t>
  </si>
  <si>
    <t>1005/QĐ-UBND ngày 30/3/2018</t>
  </si>
  <si>
    <t>Trạm y tế xã Quảng Kim</t>
  </si>
  <si>
    <t>3885/QĐ-UBND ngày 31/10/2018</t>
  </si>
  <si>
    <t>Quảng Kim</t>
  </si>
  <si>
    <t>UBND xã Quảng Kim</t>
  </si>
  <si>
    <t>3598 ngày 26/10/2018</t>
  </si>
  <si>
    <t>Trạm y tế xã Quảng Lộc bỏ danh mục</t>
  </si>
  <si>
    <t>Hạ tầng CK Cha Lo</t>
  </si>
  <si>
    <t>Hạ tầng khu phi thuế quan và các điểm dịch vụ khu kinh tế cửa khẩu Cha Lo</t>
  </si>
  <si>
    <t>HTCC</t>
  </si>
  <si>
    <t>4Chuyển tiếp</t>
  </si>
  <si>
    <t>KKT Cừa khẩu Cha Lo</t>
  </si>
  <si>
    <t>Khác</t>
  </si>
  <si>
    <t>BQL Khu Kinh tế</t>
  </si>
  <si>
    <t>Nhà liên ngành và Quốc môn KKT cửa khẩu Quốc tế Cha Lo (giai đoạn 2)</t>
  </si>
  <si>
    <t xml:space="preserve">chưa </t>
  </si>
  <si>
    <t>1515/QĐ-UBND ngày 01/7/2013</t>
  </si>
  <si>
    <t>Hạ tầng kỹ thuật Khu trung tâm cửa khẩu Quốc tế Cha Lo (giai đoạn 2)</t>
  </si>
  <si>
    <t>2564/QĐ-CT ngày 22/10/2012</t>
  </si>
  <si>
    <t>Đầu tư Phong Nha</t>
  </si>
  <si>
    <t>Trạm kiểm lâm Trộ Mợng</t>
  </si>
  <si>
    <t>2019</t>
  </si>
  <si>
    <t>3525/QĐ-UBND ngày 31/10/2016</t>
  </si>
  <si>
    <t>Ban quản lý VQG Phong Nha - Kẻ Bàng</t>
  </si>
  <si>
    <t xml:space="preserve">Khu cứu hộ động vật, thực vật hoang dã và mở rộng vườn thực vật </t>
  </si>
  <si>
    <t>2020</t>
  </si>
  <si>
    <t xml:space="preserve">Hệ thống sàn đạo và điện chiếu sáng động Phong Nha </t>
  </si>
  <si>
    <t>Nợ XDCB</t>
  </si>
  <si>
    <t>Đường nối từ đường Nguyễn Hữu Cảnh - đường Nguyễn Văn Cừ  (đoạn từ Sở Tài chính - đường Nguyễn Văn Cừ), TP. Đồng Hới</t>
  </si>
  <si>
    <t>2704/QĐ-UBND ngày 07/9/2016</t>
  </si>
  <si>
    <t>GTVT</t>
  </si>
  <si>
    <t>2Nợ XDCB</t>
  </si>
  <si>
    <t>5/2011</t>
  </si>
  <si>
    <t>5/2016</t>
  </si>
  <si>
    <t>2757/QĐ-UBND ngày 27/10/2010; 46/QĐ-UBND ngày 10/01/2014</t>
  </si>
  <si>
    <t>Trụ sở Chi cục Kiểm lâm</t>
  </si>
  <si>
    <t>QĐ QT số 3500/QĐ-UBND ngày 03/12/2014)</t>
  </si>
  <si>
    <t>NN-TL</t>
  </si>
  <si>
    <t>949/QĐ-UBND ngày 4/5/2010</t>
  </si>
  <si>
    <t>Nâng cấp hồ Hói Chánh</t>
  </si>
  <si>
    <t>NT đưa vào sử dụng</t>
  </si>
  <si>
    <t>2392/QĐ-UBND ngày 17/9/2010; 2792/QĐ-UBND ngày 07/11/2013</t>
  </si>
  <si>
    <t>KH ĐTC 2018-2020 còn 500 tr nhưng sau khi quyết toán chỉ thiếu 209trđ</t>
  </si>
  <si>
    <t>Sửa chữa, nâng cấp đập Đồng Ran, Bắc Trạch</t>
  </si>
  <si>
    <t>QĐ QT số 1653/QĐ-UBND ngày 25/6/2014</t>
  </si>
  <si>
    <t>5/2012</t>
  </si>
  <si>
    <t>4/2013</t>
  </si>
  <si>
    <t>1850/QĐ-UBND ngày 3/8/2011</t>
  </si>
  <si>
    <t>Đường ngập lụt Trung Trạch - Hoàn Lão - Hoàn Trạch, huyện Bố Trạch</t>
  </si>
  <si>
    <t xml:space="preserve"> QĐ số 2108/QĐ-UBND ngày 14/7/2016</t>
  </si>
  <si>
    <t>156/QĐ-UBND ngày 25/01/2010;
1440/QĐ-UBND ngày 21/6/2011</t>
  </si>
  <si>
    <t>Cập nhật lại số vốn bố trí</t>
  </si>
  <si>
    <t>Trục đường chính Bắc-Nam rộng 60m, xã Bảo Ninh, TP. Đồng Hới (giai đoạn 1)</t>
  </si>
  <si>
    <t>2705/QĐ-UBND ngày 25/9/2009; 2622/QĐ-UBND ngày 25/10/2013</t>
  </si>
  <si>
    <t>Sửa chữa, nâng cấp đường vào xã Hồng Thủy</t>
  </si>
  <si>
    <t xml:space="preserve"> 1661/QĐ-UBND ngày 14/7/2011; 3531/QĐ-UBND ngày 30/12/2011</t>
  </si>
  <si>
    <t>Sửa chữa, nạo vét kênh Xuân Hưng</t>
  </si>
  <si>
    <t>Nghiệm thu</t>
  </si>
  <si>
    <t>2014</t>
  </si>
  <si>
    <t>1968/QĐ-UBND ngày 16/8/2011</t>
  </si>
  <si>
    <t>Đường ra biên giới từ bản Cà Roòng 2 đi cột mốc O4</t>
  </si>
  <si>
    <t>ANQP</t>
  </si>
  <si>
    <t>3134/QĐ-CT ngày 21/12/2012</t>
  </si>
  <si>
    <t>Dự án khắc phục hậu quả bom mìn vật nổ còn sót lại sau chiến tranh trên địa bàn tỉnh Quảng Bình</t>
  </si>
  <si>
    <t>Biên bản kiểm toán</t>
  </si>
  <si>
    <t>2388/QĐ-UBND ngày 17/9/2010;
944/QĐ-UBND ngày 26/4/2013</t>
  </si>
  <si>
    <t>BCH Quân sự tỉnh</t>
  </si>
  <si>
    <t>Đường phía Đông dọc bờ sông Nhật Lệ (giai đoạn 1), xã Bảo Ninh, thành phố Đồng Hới</t>
  </si>
  <si>
    <t>225/QĐ-UBND ngày 28/01/2013; 1668/QĐ-UBND ngày 26/6/2014</t>
  </si>
  <si>
    <t>Đường từ Bắc Sơn, xã Thanh Hóa đi xã Thanh Thạch, huyện Tuyên Hóa</t>
  </si>
  <si>
    <t>3065/QĐ-UBND ngày 29/10/2014</t>
  </si>
  <si>
    <t>Trả nợ các dự án DPPR</t>
  </si>
  <si>
    <t/>
  </si>
  <si>
    <t>Kè chống xói lở sông Kiến Giang (Giai đoạn 1)</t>
  </si>
  <si>
    <t xml:space="preserve">QĐ  số 2727/QĐ-UBND ngày 31/10/2013 </t>
  </si>
  <si>
    <t>734/QĐ-UBND ngày 16/4/2008</t>
  </si>
  <si>
    <t>Sữa chữa, nâng cấp hồ Mù U, huyện Bố Trạch</t>
  </si>
  <si>
    <t>QĐ QT số 2999/QĐ-UBND ngày 25/10/2014)</t>
  </si>
  <si>
    <t>12/2011</t>
  </si>
  <si>
    <t>10/2012</t>
  </si>
  <si>
    <t>675/QĐ-UBND
 ngày 30/3/2011;
2676/QĐ-UBND 
ngày 19/10/2011</t>
  </si>
  <si>
    <t>Trại thực nghiệm mặn lợ của Trung tâm giống thủy sản (GĐ1)</t>
  </si>
  <si>
    <t>QĐ số 500/QĐ-UBND ngày 29/02/2016)</t>
  </si>
  <si>
    <t>10/2013</t>
  </si>
  <si>
    <t>9/2015</t>
  </si>
  <si>
    <t>2622/QĐ-CT ngày 24/10/2012; 1471/QĐ-UBND ngày 26/6/2013</t>
  </si>
  <si>
    <t>Cấp nước sinh hoạt xã Thạch Hóa (giai đoạn 1)</t>
  </si>
  <si>
    <t>Cung cấp BBNT</t>
  </si>
  <si>
    <t>1003/QĐ-UBND; 24/4/2014</t>
  </si>
  <si>
    <t>KH ĐTC 2018-2020 còn 647 tr nhưng so với quyết toán chỉ thiếu 469trđ</t>
  </si>
  <si>
    <t>Sửa chữa, nâng cấp hệ thống thủy lợi hồ Trúc Vực và Khe Ngang xã Liên Trạch, Phúc Trạch, huyện Bố Trạch GĐ1</t>
  </si>
  <si>
    <t>QĐ QT số 3344/QĐ-UBND ngày 20/11/2015</t>
  </si>
  <si>
    <t>4/2014</t>
  </si>
  <si>
    <t>2/2015</t>
  </si>
  <si>
    <t xml:space="preserve">1832/QĐ-UBND
ngày 30/7/2010; 271/QĐ-UBND ngày 27/1/2014 </t>
  </si>
  <si>
    <t>Sửa chữa nâng cấp cụm hồ huyện Quảng Ninh (hồ Điều Gà)</t>
  </si>
  <si>
    <t>QĐ số 1039/QĐ-UBND ngày 12/4/2016</t>
  </si>
  <si>
    <t>3/2014</t>
  </si>
  <si>
    <t>2015</t>
  </si>
  <si>
    <t>7/2015</t>
  </si>
  <si>
    <t>273/QĐ-UBND ngày 27/01/2014</t>
  </si>
  <si>
    <t>Đường và kè bao chống xói lở phía ngoài bờ sông Gianh khu nuôi trồng thủy sản xã Quảng Trường</t>
  </si>
  <si>
    <t>QĐ QT số 2697/QĐ-UBND ngày 06/9/2016</t>
  </si>
  <si>
    <t>3/2015</t>
  </si>
  <si>
    <t>2/2016</t>
  </si>
  <si>
    <t>2780/QĐ-UBND ngày 06//10/2014</t>
  </si>
  <si>
    <t>Kè chống sạt lở Mỹ Thuỷ-Liên Thuỷ, huyện Lệ Thuỷ</t>
  </si>
  <si>
    <t>1852/QĐ-UBND
 ngày 3/8/2011;
3266/QĐ-UBND 
ngày 28/12/2012.</t>
  </si>
  <si>
    <t>Đã quyết toán</t>
  </si>
  <si>
    <t>Kè chống xói lở sông Kiến Giang (Đoạn Phan Xá - Xuân Bồ)</t>
  </si>
  <si>
    <t>2468/QĐ-UBND ngày 27/9/2011</t>
  </si>
  <si>
    <t>Bố trí cho các dự án không áp dụng quy định tiết kiệm 10% TMĐT quy định tại Nghị quyết số 70/NQ-CP ngày 03/8/2017 của Chính phủ</t>
  </si>
  <si>
    <t>Phân bổ sau</t>
  </si>
  <si>
    <t>Tuyến đường từ trục chính từ thị trấn Ba Đồn vào trung tâm huyện lỵ mới (GĐ1)</t>
  </si>
  <si>
    <t>1912/QĐ-UBND ngày 21/7/2014, 3351/QĐ-UBND ngày 22/9/2017</t>
  </si>
  <si>
    <t>Đề nghị tiếp tục bổ sung vốn cho dự án. (Đây là công trình NSTW hỗ trợ đã hết nguồn, số vốn NS tỉnh còn thiếu là 5,26 tỷ đồng)</t>
  </si>
  <si>
    <t>UBND huyện
Quảng Trạch</t>
  </si>
  <si>
    <t>Đường liên thôn xã Tiến Hoá</t>
  </si>
  <si>
    <t xml:space="preserve">QĐ số 3863/QĐ-UBND ngày 30/12/2015 </t>
  </si>
  <si>
    <t>3Hoàn thành</t>
  </si>
  <si>
    <t>12/2014</t>
  </si>
  <si>
    <t>5/2015</t>
  </si>
  <si>
    <t>2957/QĐ-UBND ngày 22/10/2014</t>
  </si>
  <si>
    <t>Đường GTNT xã Quảng Phương theo QH nông thôn mới</t>
  </si>
  <si>
    <t>QĐ số 658/QĐ-UBND ngày 14/3/2016</t>
  </si>
  <si>
    <t>4/2015</t>
  </si>
  <si>
    <t>8/2015</t>
  </si>
  <si>
    <t>2698/QĐ-UBND ngày 01/10/2014</t>
  </si>
  <si>
    <t>Thay đổi số vốn KH 2018-2020, số trước đây là 1973, xã đã bố trí vốn NTM là 300 triệu đồng, còn lại 1673</t>
  </si>
  <si>
    <t>Bổ sung một số công trình chưa có trong kế hoạch trung hạn còn thiếu vốn</t>
  </si>
  <si>
    <t>Sửa chữa nâng cấp Hồ Cải Cách</t>
  </si>
  <si>
    <t>791/QĐ-UBND ngày 19/4/2010, 2535/QĐ-CT ngày 22/10/2012</t>
  </si>
  <si>
    <t>Đề nghị bố trí vốn trả nợ cho dự án (trong đó GPMB là 4,187 tỷ đồng, Xây lắp và các chi phí khác 1,516 tỷ đồng)</t>
  </si>
  <si>
    <t>UBND huyện
Lệ Thủy</t>
  </si>
  <si>
    <t>Dự án đường Hải Trạch-Phú Định nối QL1A với đường Hồ Chí Minh</t>
  </si>
  <si>
    <t>Bố Trạch</t>
  </si>
  <si>
    <t>141a/QĐ-UBND ngày 20/01/2012</t>
  </si>
  <si>
    <t>Công trình dừng ở điểm dừng kỹ thuật, còn thiếu 2,5 tỷ đồng</t>
  </si>
  <si>
    <t>UBND huyện
Bố Trạch</t>
  </si>
  <si>
    <t>Sửa chữa nâng cấp Hồ Cây Mưng, huyện Lệ Thủy</t>
  </si>
  <si>
    <t>178/QĐ-UBND ngày 21/01/2014</t>
  </si>
  <si>
    <t>Công trình đã Quyết toán với giá trị QT là 13,354 tỷ đồng</t>
  </si>
  <si>
    <t>Sở NN&amp;PTNT</t>
  </si>
  <si>
    <t>VIII</t>
  </si>
  <si>
    <t>ODA</t>
  </si>
  <si>
    <t>Các dự án nằm trong kế hoạch đầu tư công trung hạn đã được HĐND tỉnh thông qua tại NQ 11</t>
  </si>
  <si>
    <t>Dự án xây dựng cầu dân sinh và quản lý  tài sản đường địa phương (Dự án LRAMP) tỉnh Quảng Bình</t>
  </si>
  <si>
    <t>Sở Giao thông Vận tải</t>
  </si>
  <si>
    <t>Dự án thoát nước và vệ sinh môi trường đô thị Ba Đồn (Đan Mạch)</t>
  </si>
  <si>
    <t>1106/QĐ-UBND ngày 07/5/2014</t>
  </si>
  <si>
    <t>UBND huyện Quảng Trạch</t>
  </si>
  <si>
    <t>Dự án Phát triển môi trường, hạ tầng đô thị để ứng phó với biến đổi khí hậu  thành phố Đồng Hới</t>
  </si>
  <si>
    <t>UBND tỉnh</t>
  </si>
  <si>
    <t>Điều chỉnh trung hạn 50,2 tỷ xuống 49,2 tỷ</t>
  </si>
  <si>
    <t>Hạ tầng cơ bản cho phát triển toàn diện các tỉnh Nghệ An, Hà Tỉnh, Quảng Bình và Quảng Trị - Tiểu dự án tỉnh Quảng Bình (ADB)</t>
  </si>
  <si>
    <t>Sở Kế hoạch và Đầu tư</t>
  </si>
  <si>
    <t>Dự án môi trường bền vững các thành phố duyên hải - Tiểu dự án thành phố Đồng Hới (WB)</t>
  </si>
  <si>
    <t>3520/QĐ-UBND ngày 31/10/2016</t>
  </si>
  <si>
    <t>Dự án Phục hồi và quản lý bền vững rừng phòng hộ, tỉnh Quảng Bình (JICA2)</t>
  </si>
  <si>
    <t xml:space="preserve">1828/QĐ-UBND ngày 10/8/2012; 3075/QĐ-UBND ngày 31/8/2017 </t>
  </si>
  <si>
    <t>Sở Nông nghiệp và PTNT</t>
  </si>
  <si>
    <t>Dự án phát triển nông thôn bền vững vì người nghèo tỉnh Quảng Bình (IFAD)</t>
  </si>
  <si>
    <t>3156/QĐ-UBND ngày 31/10/2014</t>
  </si>
  <si>
    <t>Tiểu Dự án quản lý rủi ro thiên tai dựa vào cộng đồng (CBDRM) thuộc Dự án Quản lý thiên tai (VN-Haz/WB5) tỉnh Quảng Bình- HP3</t>
  </si>
  <si>
    <t>77/QĐ-UBND ngày 13/1/2016</t>
  </si>
  <si>
    <t>Dự án sửa chữa và nâng cao an toàn đập (WB8)</t>
  </si>
  <si>
    <t>Dự án Tăng cường quản lý đất đai và cơ sở dữ liệu đất đai thực hiện tại tỉnh Quảng Bình (VILG)</t>
  </si>
  <si>
    <t>TNMT</t>
  </si>
  <si>
    <t>1236/QĐ-BTNMT ngày 30/5/2016; 896/QĐ-UBND ngày 21/3/2017</t>
  </si>
  <si>
    <t>Sở Tài nguyên - Môi trường</t>
  </si>
  <si>
    <t>Điều chỉnh trung hạn 3,645 lên 7 tỷ</t>
  </si>
  <si>
    <t>Sở Tài nguyên và Môi trường</t>
  </si>
  <si>
    <t>Dự án đã phê duyệt đề nghị bổ sung trong kế hoạch đầu tư công trung hạn2016-2020</t>
  </si>
  <si>
    <t>Dự án hiện đại hóa ngành lâm nghiệp và tăng cường tính chống chịu vùng ven biển tỉnh Quảng Bình</t>
  </si>
  <si>
    <t>Bổ sung đối ứng các dự án ODA khởi công mới năm 2019</t>
  </si>
  <si>
    <t>Nâng cấp hệ thống đê, kè bảo vệ bờ sông và trồng rừng ngập mặn để ứng phó với biến đổi khí hậu các xã bãi ngang, cồn bãi thuộc thị xã Ba Đồn, tỉnh Quảng Bình</t>
  </si>
  <si>
    <t>3530/QĐ-UBND ngày 23/10/2018</t>
  </si>
  <si>
    <t>P.KTĐN
đề xuất bố trí</t>
  </si>
  <si>
    <t>Xây dựng củng cố đê, kè chống sạt lở cửa sông Nhật Lệ, thành phố Đồng Hới, tỉnh Quảng Bình</t>
  </si>
  <si>
    <t>3355/QĐ-UBND ngày 10/10/2018</t>
  </si>
  <si>
    <t>Dự án Phát triển cơ sở hạ tầng du lịch hỗ trợ cho tăng trưởng toàn diện khu vực tiểu vùng Mê Công mở rộng - giai đoạn 2, Tiểu dự án tỉnh Quảng Bình</t>
  </si>
  <si>
    <t>Sở Du lịch</t>
  </si>
  <si>
    <t>1381/QĐ-TTg ngày 18/10/2018</t>
  </si>
  <si>
    <t>IX</t>
  </si>
  <si>
    <t>Các dự án phân cấp về ngân sách tỉnh</t>
  </si>
  <si>
    <t>Dự án xây dựng cơ sở hạ tầng khu tái định cư thôn Tăng Hóa, huyện Minh Hóa (Hạng mục Đường giao thông), giai đoạn 1: 23,728 tỷ (lồng ghép Chương trình tái cơ cấu nông nghiệp)</t>
  </si>
  <si>
    <t>Số 3153/QĐ-UBND ngày 31/10/2014</t>
  </si>
  <si>
    <t xml:space="preserve">Chương trình Hỗ trợ hộ nghèo xây dựng nhà ở phòng, tránh bão, lụt </t>
  </si>
  <si>
    <t>VHTT-LĐ</t>
  </si>
  <si>
    <t>X</t>
  </si>
  <si>
    <t>Các dự án trọng điểm</t>
  </si>
  <si>
    <t>Trụ sở Tỉnh ủy</t>
  </si>
  <si>
    <t>QLNN</t>
  </si>
  <si>
    <t>2429/QĐ-UBND ngày 04/10/2013; 3419/QĐ-UBND 26/11/2014; 3490/QĐ-UBND 04/12/2015</t>
  </si>
  <si>
    <t>Sửa lại tổng số bố trí</t>
  </si>
  <si>
    <t>Văn phòng
Tỉnh ủy</t>
  </si>
  <si>
    <t>Trung tâm văn hóa tỉnh Quảng Bình</t>
  </si>
  <si>
    <t>3120/QĐ-UBND ngày 31/10/2014</t>
  </si>
  <si>
    <t>Sở Văn hóa và Thể thao</t>
  </si>
  <si>
    <t>Trụ sở làm việc khối cơ quan Huyện ủy và khối Mặt trận đoàn thể huyện Quảng Trạch</t>
  </si>
  <si>
    <t>3044/QĐ-UBND
ngày 28/10/2014; 3400/QĐ-UBND ngày 25/11/2014</t>
  </si>
  <si>
    <t>Huyện ủy Quảng Trạch</t>
  </si>
  <si>
    <t>Trụ sở Ủy ban nhân dân huyện Quảng Trạch</t>
  </si>
  <si>
    <t>3043/QĐ-UBND
ngày 24/10/2014; 3401/QĐ-UBND ngày 25/11/2014</t>
  </si>
  <si>
    <t>Trụ sở làm việc Thành ủy Đồng Hới</t>
  </si>
  <si>
    <t>3463/QĐ-UBND ngày 28/10/2016</t>
  </si>
  <si>
    <t>Thành ủy Đồng Hới</t>
  </si>
  <si>
    <t>Trụ sở làm việc HĐND và UBND Thành phố Đồng Hới</t>
  </si>
  <si>
    <t>3464/QĐ-UBND ngày 28/10/2016</t>
  </si>
  <si>
    <t>UBND TP Đồng Hới</t>
  </si>
  <si>
    <t>Dự án Quần thể Tượng đài Chủ tịch Hồ Chí Minh</t>
  </si>
  <si>
    <t>Dự án Tượng đài Chủ tịch Hồ Chí Minh với nhân dân Quảng Bình</t>
  </si>
  <si>
    <t>Thay thế Dự án Quần thể tượng đài Chủ tịch Hồ Chí Minh (TT HĐND tỉnh thống nhất tại Văn bản số 41/HĐND-VP ngày 24/5/2018). Sở XD dự kiến năm 2019-2020  thu khoảng 70% tổng số tiền của dự án Nhà ở thương mại Nam Cầu Dài (0,7x240 tỷ đồng = 168 tỷ đồng)</t>
  </si>
  <si>
    <t>BQL dự án đầu tư xây dựng công trình dân dụng và công nghiệp tỉnh</t>
  </si>
  <si>
    <t>Dự án Hạ tầng Quảng trường trung tâm</t>
  </si>
  <si>
    <t>XI</t>
  </si>
  <si>
    <t>Các dự án chuyển tiếp</t>
  </si>
  <si>
    <t xml:space="preserve">Dự án bảo tàng tổng hợp tỉnh </t>
  </si>
  <si>
    <t>1284/QĐ-UBND ngày 4/6/2013</t>
  </si>
  <si>
    <t>KL đ/c Bí thư chỉ đạo bố trí hết</t>
  </si>
  <si>
    <t>Trụ sở làm việc Đội quản lý thị trường số 4</t>
  </si>
  <si>
    <t>2778/QĐ-UBND ngày 25/10/2011; 1949/QĐ-CT ngày 21/8/2012</t>
  </si>
  <si>
    <t>Dự án Đường Lý Nam Đế, phường Đồng Phú</t>
  </si>
  <si>
    <t>2161/QĐ--UBND ngày 25/6/2015</t>
  </si>
  <si>
    <t>Đường vào bản Sắt xã Trường Sơn, huyện Quảng Ninh</t>
  </si>
  <si>
    <t>2379/QĐ-UBND
ngày 09/10/2012; 1338/QĐ-UBND ngày 26/5/2014</t>
  </si>
  <si>
    <t>Kè chống sạt lở khu vực Kênh Kịa, thị xã Ba Đồn</t>
  </si>
  <si>
    <t>3047/QĐ-UBND ngày 05/12/2013</t>
  </si>
  <si>
    <t xml:space="preserve">Trụ sở làm việc Hội Liên hiệp phụ nữ tỉnh Quảng Bình </t>
  </si>
  <si>
    <t>2226/QĐ-UBND ngày 13/9/2013</t>
  </si>
  <si>
    <t>sửa số vốn đã bố trí, số vốn 2018-2020: 721 triệu đồng (cũ là 2521)</t>
  </si>
  <si>
    <t>Hệ thống phòng cháy và hệ thống cảnh báo cháy tự động Trụ sở làm việc Văn phòng Sở, Trung tâm dữ liệu địa chính và các đơn vị trực thuộc Sở Tài nguyên và Môi trường</t>
  </si>
  <si>
    <t>1469/QĐ-UBND ngày 18/10/2013</t>
  </si>
  <si>
    <t>Cầu bê tông xã Nam Trạch</t>
  </si>
  <si>
    <t>Số 2670/QĐ-UBND ngày 28/10/2013</t>
  </si>
  <si>
    <t>Nâng cấp tuyến đường Ba Đồn -Quảng Long đấu nối với tuyến đường QL1 đi Bàu Sen</t>
  </si>
  <si>
    <t>2412/QĐ-UBND ngày 3/9/2014</t>
  </si>
  <si>
    <t>Tuyến đường Hào xã Quảng Tiên thị xã Ba Đồn</t>
  </si>
  <si>
    <t>1672/QĐ-UBND ngày 19/6/2015</t>
  </si>
  <si>
    <t>KH ĐTC 2018-2020 còn 605 tr nhưng sau khi quyết toán chỉ thiếu 483trđ</t>
  </si>
  <si>
    <t>Đường liên thôn xã Văn Hoá</t>
  </si>
  <si>
    <t>1011/QĐ-UBND ngày 16/4/2015</t>
  </si>
  <si>
    <t>Năm 2018 điều chỉnh giảm 1,1 tỷ do đã sử dụng nguồn vốn xã</t>
  </si>
  <si>
    <t>Đường liên xã từ thôn Long Đại đi thôn Hà Kiên, xã Hiền Ninh.</t>
  </si>
  <si>
    <t>2508/QĐ-CT ngày 18/10/2012; 1105/QĐ-UBND ngày 25/4/2015</t>
  </si>
  <si>
    <t>Đã quyết toán chưa</t>
  </si>
  <si>
    <t>Đường liên thôn xã Quảng Trung</t>
  </si>
  <si>
    <t>3705/QĐ-UBND ngày 31/12/2010; 1884/QĐ-UBND ngày 10/7/2015</t>
  </si>
  <si>
    <t>KH ĐTC 2018-2020 còn 1851, nay quyết toán giảm còn 1472</t>
  </si>
  <si>
    <t>Đường từ nhánh Đông đường Hồ Chí Minh vào khu du lịch sinh thái Trằm mé (Phong Nha - Kẻ Bàng) giai đoạn 1</t>
  </si>
  <si>
    <t>TM-DL</t>
  </si>
  <si>
    <t>3052/QĐ-UBND ngày 29/10/2014</t>
  </si>
  <si>
    <t>Cầu đi bộ nối giữa 2 bờ mương Phóng Thủy tại vị trí giao nhau giữa đường Dương Văn An và đường Phan Bội Châu</t>
  </si>
  <si>
    <t>320/QĐ--UBND ngày 03/2/2015</t>
  </si>
  <si>
    <t>Đường giao thông nội thị khu phố 5, phường Ba Đồn</t>
  </si>
  <si>
    <t>3006/QĐ-UBND ngày 25/10/2014</t>
  </si>
  <si>
    <t>Đường giao thông liên thôn thôn Pháp Kệ, thôn Đông Dương và thôn Tô Xá xã Quảng Phương</t>
  </si>
  <si>
    <t>1739/QĐ-UBND ngày 30/6/2014</t>
  </si>
  <si>
    <t>Tuyến đường ngang dọc nối từ QL 1A đi Bàu Sen đến vị trí quy hoạch khu trung tâm hành chính huyện lỵ mới huyện Quảng Trạch (các trục N1, D1 và D3) - giai đoạn 1</t>
  </si>
  <si>
    <t>1913/QĐ-UBND ngày 21/7/2014</t>
  </si>
  <si>
    <t>Đê bao Hói Sỏi từ Mỹ Trung đến cống Hói Sỏi huyện Quảng Nình</t>
  </si>
  <si>
    <t>2391/QĐ-UBND ngày 09/10/2012; 1130/QĐ-UBND ngày 27/4/2015</t>
  </si>
  <si>
    <t>Sửa chữa, cải tạo Trụ sở làm việc Sở Công Thương Quảng Bình</t>
  </si>
  <si>
    <t>3518/QĐ-UBND ngày 31/10/2016</t>
  </si>
  <si>
    <t>Nạo vét cục bộ cửa sông Nhật Lệ đoạn từ km0+350 - km0+950 đảm bảo thông luồng phục vụ tàu cá ra vào</t>
  </si>
  <si>
    <t>2952/QĐ-UBND ngày 27/9/2016</t>
  </si>
  <si>
    <t xml:space="preserve">Dùng nguồn của Cục đường thủy nội địa </t>
  </si>
  <si>
    <t>Nhà tưởng niệm, lưu giữ hài cốt và nhà ở đoàn quy tập mộ liệt sỹ tại tỉnh Khăm Muộn, Cộng hòa Dân chủ nhân dân Lào thuộc Bộ Chỉ huy Quân sự tỉnh Quảng Bình</t>
  </si>
  <si>
    <t>Cộng hòa Dân chủ nhân dân Lào</t>
  </si>
  <si>
    <t>3521/QĐ-UBND ngày 31/10/2016</t>
  </si>
  <si>
    <t>Trích DP KH ĐTC công 2017: 2 tỷ đồng, đã đủ vốn</t>
  </si>
  <si>
    <t>Mở rộng, nâng cấp nhà huấn luyện Công an tỉnh</t>
  </si>
  <si>
    <t>01/QĐ-UBND ngày 04/01/2016</t>
  </si>
  <si>
    <t>Đang trình HĐND tỉnh bổ sung KH ĐTC trung hạn</t>
  </si>
  <si>
    <t>Hệ thống điện chiếu sáng đường về nhà lưu niệm Đại tướng Võ Nguyên Giáp</t>
  </si>
  <si>
    <t>778/QĐ-UBND ngày 22/3/2016</t>
  </si>
  <si>
    <t>Hệ thống điện chiếu sáng từ Sở Giáo dục Đào tạo đi Trường THPT chuyên Võ Nguyên Giáp - QL 1A</t>
  </si>
  <si>
    <t>3103a/QĐ-UBND ngày 30/10/2015</t>
  </si>
  <si>
    <t>Sửa chữa khẩn cấp tuyến đường Lê Lợi, đoạn từ QL12A đi thôn Tiền Phong, phường Quảng Long, TX Ba Đồn</t>
  </si>
  <si>
    <t>2315/QĐ-UBND ngày 04/8/2016</t>
  </si>
  <si>
    <t>KH ĐTC 2018-2020 còn 5010. Năm 2016 tạm ứng 3 tỷ đã hoàn ứng cuối năm và bố trí thêm từ nguồn vốn khác đủ vốn</t>
  </si>
  <si>
    <t>Khắc phục khẩn cấp tuyến đê kết hợp đường giao thông phường Quảng Phúc</t>
  </si>
  <si>
    <t>1986/QĐ-UBND ngày 05/7/2016</t>
  </si>
  <si>
    <t>KH ĐTC 2018-2020 còn 2857. Năm 2016 tạm ứng 3 tỷ đã hoàn ứng cuối năm 2016 1,5 tỷ đồng nên giai đoạn 2018-2020 giảm 1,5 tỷ đồng</t>
  </si>
  <si>
    <t>Cầu vào thôn Xuân Hoà xã Quảng Xuân</t>
  </si>
  <si>
    <t>1881/QĐ-UBND ngày 22/6/2016</t>
  </si>
  <si>
    <t>TKH ĐTC 2018-2020 còn 1610, năm 2016 tạm ứng 1 tỷ đã hoàn ứng cuối năm nên gđ 2018-2020 giảm đi 1 tỷ</t>
  </si>
  <si>
    <t>Khắc phục khẩn cấp tuyến đê kè thôn Tân Thượng, xã Quảng Hải, thị xã Ba Đồn</t>
  </si>
  <si>
    <t>3517/QĐ-UBND ngày 31/10/2016</t>
  </si>
  <si>
    <t>Trung tâm huấn luyện chiến đấu LLVT tỉnh</t>
  </si>
  <si>
    <t>1851/QĐ-UBND ngày 02/8/2013</t>
  </si>
  <si>
    <t>Nâng cấp 2 tuyến đường và vỉa hè khu dân cư mới thị xã Ba Đồn</t>
  </si>
  <si>
    <t>3002/QĐ-CT ngày 25/10/2014</t>
  </si>
  <si>
    <t>GT</t>
  </si>
  <si>
    <t>UBND thị xã Ba Đồn</t>
  </si>
  <si>
    <t>Đường liên thôn Hà Tiến đi thôn Hải Lưu, xã Quảng Tiến</t>
  </si>
  <si>
    <t>1740/QĐ-UBND ngày 30/6/2014; 1886/QĐ-UBND ngày 29/5/2017</t>
  </si>
  <si>
    <t>Sửa thời gian thực hiện 2017-2018 (cũ 2017-2019), số vốn đã  bố trí 3365 (cũ 365), số vốn 2018-2020:  2521 (cũ 5521)</t>
  </si>
  <si>
    <t>Xây dựng tuyến đường liên thôn từ thôn Tiền Tiến đi thôn Hòa Lạc xã Quảng Châu</t>
  </si>
  <si>
    <t>2304/QĐ-UBND ngày 02/10/2012</t>
  </si>
  <si>
    <t>Xây dựng khu tái định cư thôn Tân Hải và thôn Xuân Hải - Cừa Thôn, xã Hải Ninh, huyện Quảng Ninh</t>
  </si>
  <si>
    <t>Phục vụ dự án FLC</t>
  </si>
  <si>
    <t>Hải Ninh</t>
  </si>
  <si>
    <t>Cầu sắt Quảng Văn (cầu Quảng Hòa 2)</t>
  </si>
  <si>
    <t>3496/QĐ-UBND ngày 28/10/2016</t>
  </si>
  <si>
    <t>Bố trí 1 tỷ vốn vượt thu</t>
  </si>
  <si>
    <t>Tuyến đường 22m (giáp hàng rào phía Nam công trình Trụ sở cơ quan Tỉnh ủy Quảng Bình và công trình Trung tâm Văn hóa tỉnh) nối từ đường Nguyễn Hữu Cảnh đến dọc sông Cầu Rào.</t>
  </si>
  <si>
    <t xml:space="preserve"> KH ĐTC 2018-2020 là 10160trđ.  Năm 2017 điều chỉnh tăng 1,764 tỷ đồng từ nguồn dự án Nạo vét cửa sông Nhật Lệ nên số vốn gđ 2018-2020 giảm 1,764</t>
  </si>
  <si>
    <t>Đồng Phú</t>
  </si>
  <si>
    <t>Nâng cấp, sửa chữa Trụ sở làm việc cơ quan Huyện ủy Quảng Ninh</t>
  </si>
  <si>
    <t>1069/QĐ-UBND ngày 27/9/2016</t>
  </si>
  <si>
    <t>Sửa chữa đập Mũi Động, xã Dương Thủy</t>
  </si>
  <si>
    <t>3443/QĐ-UBND ngày 28/10/2016</t>
  </si>
  <si>
    <t>Trồng cây xanh đường Thống Nhất (36m), TP Đồng Hới</t>
  </si>
  <si>
    <t>2224/QĐ-UBND ngày 26/7/2016</t>
  </si>
  <si>
    <t>Cải tạo Trụ sở làm việc Đảng ủy khối các cơ quan tỉnh</t>
  </si>
  <si>
    <t>3490/QĐ-UBND ngày 28/10/2016</t>
  </si>
  <si>
    <t>Điện chiếu sáng đường Lê Lợi - Đường Chu Văn An, Thị xã Ba Đồn</t>
  </si>
  <si>
    <t>3479/QĐ-UBND ngày 28/10/2016</t>
  </si>
  <si>
    <t>Cải tạo, sửa chữa khu giảng đường Trung tâm dịch vụ việc làm Quảng Bình.</t>
  </si>
  <si>
    <t>Đồng Hới</t>
  </si>
  <si>
    <t>Bê tông hóa đường GTNT xã Văn Hóa</t>
  </si>
  <si>
    <t>3514/QĐ-UBND ngày 31/10/2016</t>
  </si>
  <si>
    <t>Khắc phục khẩn cấp tuyến đường ngập lụt nối từ đường tỉnh lộ 559 đi xã Quảng Hòa</t>
  </si>
  <si>
    <t>3513/QĐ-UBND ngày 30/10/2016</t>
  </si>
  <si>
    <t>Đường Hà Thiệp - Bảo Ninh xã Võ Ninh, huyện Quảng Ninh (NS tỉnh hỗ trợ phần chi phí xây lắp 8.873 triệu đồng)</t>
  </si>
  <si>
    <t>2884/QĐ-UBND ngày 28/9/2016</t>
  </si>
  <si>
    <t>Kè chống sạt lở Khe Cát thôn Cừa Thôn và thôn Tân Hải xã Hải Ninh (GĐ 1)</t>
  </si>
  <si>
    <t>3806/QĐ-UBND ngày 30/11/2016</t>
  </si>
  <si>
    <t>UBND xã Hải Ninh</t>
  </si>
  <si>
    <t>Đường ngập lụt cứu hộ, cứu nạn từ Ba Trại đi xã Liên Trạch, huyện Bố Trạch</t>
  </si>
  <si>
    <t>3486/QĐ-UBND ngày 28/10/2016</t>
  </si>
  <si>
    <t>Năm 2018 đã điều chỉnh bổ sung vốn cho dự án từ Cầu bê tông xã Nam Trạch</t>
  </si>
  <si>
    <t>Bố trí 1 ,5 tỷ vốn vượt thu</t>
  </si>
  <si>
    <t>Liên Trạch</t>
  </si>
  <si>
    <t>Hạ tầng và đường vào khu di tích lịch sử Hang Lèn Hà, xã Thanh Hóa, huyện Tuyên Hóa</t>
  </si>
  <si>
    <t>3392/QĐ-UBND ngày 26/9/2017</t>
  </si>
  <si>
    <t>Cập nhật QĐ dự án</t>
  </si>
  <si>
    <t>Thanh Hóa</t>
  </si>
  <si>
    <t xml:space="preserve">Đối ứng cho Dự án Cấp điện nông thôn từ lưới điện Quốc gia tỉnh Quảng Bình </t>
  </si>
  <si>
    <t>CN-Điện</t>
  </si>
  <si>
    <t>2908/QĐ-UBND ngày 16/10/2014; 3494/QĐ-UBND ngày 04/12/2015</t>
  </si>
  <si>
    <t>Toàn Tỉnh</t>
  </si>
  <si>
    <t>Sở Công thương</t>
  </si>
  <si>
    <t xml:space="preserve">Kè cửa sông biển Nhật Lệ </t>
  </si>
  <si>
    <t>Đang bổ sung KH trung hạn</t>
  </si>
  <si>
    <t>Bảo Ninh</t>
  </si>
  <si>
    <t>Hỗ trợ GPMB xây dựng Trụ sở BCH Bộ đội biên phòng tỉnh</t>
  </si>
  <si>
    <t>GPMB bố trí hết</t>
  </si>
  <si>
    <t>Các dự án bổ sung vốn trung hạn</t>
  </si>
  <si>
    <t>Mở rộng, cải tạo trụ sở làm việc Sở Tư pháp</t>
  </si>
  <si>
    <t>3857/QĐ-UBND ngày 30/10/2017; 2855/QĐ-UBND ngày 28/6/2018</t>
  </si>
  <si>
    <t>Điều chỉnh tăng TMĐT 2,9 tỷ</t>
  </si>
  <si>
    <t>Sở Tư pháp</t>
  </si>
  <si>
    <t>Dự án XD mới kho chứa hàng cứu trợ kết hợp Hội trường của UBMTTQ Việt Nam tỉnh Quảng Bình</t>
  </si>
  <si>
    <t>2636/QĐ-UBND ngày 25/7/2017</t>
  </si>
  <si>
    <t xml:space="preserve"> Điều chỉnh tăng TMĐT 2,157 tỷ (TT. HDDND tỉnh đồng ý tại VB số 147/HĐND-VP ngày 30/10/2018)</t>
  </si>
  <si>
    <t>Hải Đình</t>
  </si>
  <si>
    <t>Ủy ban MTTQVN tỉnh</t>
  </si>
  <si>
    <t>Xây dựng mới Làng Thanh niên Lập nghiệp Quảng Châu</t>
  </si>
  <si>
    <t>651-QĐ/TWĐTN</t>
  </si>
  <si>
    <t>Đề xuất bổ sung 7,046 tỷ đồng so với kế hoạch trung hạn đã thông qua</t>
  </si>
  <si>
    <t>Tỉnh đoàn Quảng Bình</t>
  </si>
  <si>
    <t>CÁC DỰ ÁN KHỞI CÔNG MỚI</t>
  </si>
  <si>
    <t>Các dự án đã có danh mục và số vốn trong KH ĐTC trung hạn</t>
  </si>
  <si>
    <t>800/QĐ-UBND ngày 13/3/2017</t>
  </si>
  <si>
    <t>Kè chống sạt lở khu dân cư dọc bờ sông Nan, thôn Linh Cận Sơn, xã Quảng Sơn (NS tỉnh hỗ trợ phần chi phí xây lắp 3.600 triệu đồng)</t>
  </si>
  <si>
    <t>Đường tránh lũ bản Khe Dây đi bản Khe Ngang, xã Trường Xuân (NS tỉnh hỗ trợ chi phí XL)</t>
  </si>
  <si>
    <t>3439/QĐ-UBND ngày 28/10/2017</t>
  </si>
  <si>
    <t>Trường Xuân</t>
  </si>
  <si>
    <t>Chợ thị trấn Nông trường Lệ Ninh</t>
  </si>
  <si>
    <t>3878/QĐ-UBND ngày 30/10/2017</t>
  </si>
  <si>
    <t>UBND thị trấn NT Lệ Ninh</t>
  </si>
  <si>
    <t>Đường, kè chống xói lở ven biển xã Cảnh Dương</t>
  </si>
  <si>
    <t>3929a/QĐ-UBND ngày 30/10/2017</t>
  </si>
  <si>
    <t>Đã bố trí đủ, điều chỉnh tăng vốn và CBĐT</t>
  </si>
  <si>
    <t>Các dự án đã có danh mục trong KH ĐTC trung hạn nhưng chưa cân đối nguồn</t>
  </si>
  <si>
    <t>2991/QĐ-UBND ngày 25/8/2017</t>
  </si>
  <si>
    <t>Cập nhật số KH 2018-2020 (trừ CBĐT)</t>
  </si>
  <si>
    <t>Thuận Hóa</t>
  </si>
  <si>
    <t>UBND huyện Tuyên Hóa</t>
  </si>
  <si>
    <t>3668/QĐ-UBND ngày 18/10/2017</t>
  </si>
  <si>
    <t>Xây dựng nút giao thông giao cắt giữa QL1 với tuyến đường từ Quốc lộ 1 đi Bàu Sen</t>
  </si>
  <si>
    <t>3851/QĐ-UBND ngày 30/10/2017</t>
  </si>
  <si>
    <t>Đường giao thông liên xã Nam Hóa - Thạch Hóa, huyện Tuyên Hóa</t>
  </si>
  <si>
    <t>2825/QĐ-UBND ngày 08/8/2017</t>
  </si>
  <si>
    <t>Các dự án chưa có danh mục trong KH ĐTC trung hạn</t>
  </si>
  <si>
    <t>Cơ sở làm việc Đội cảnh sát PCCC và CNCH Bắc Quảng Bình</t>
  </si>
  <si>
    <t>2 năm</t>
  </si>
  <si>
    <t>Nhà tưởng niệm, lưu giữ hài cốt và nhà ở đoàn quy tập mộ liệt sỹ tại tỉnh Khăm Muộn, Cộng hòa Dân chủ nhân dân Lào thuộc Bộ Chỉ huy Quân sự tỉnh Quảng Bình (gđ 2)</t>
  </si>
  <si>
    <t>Lào</t>
  </si>
  <si>
    <t>3957/QĐ-UBND ngày 30/10/2017</t>
  </si>
  <si>
    <t xml:space="preserve"> Bộ Chỉ huy Quân sự tỉnh Quảng Bình</t>
  </si>
  <si>
    <t>Tuyến điện chiếu sáng từ trạm thu phí Quán Hàu đến khu vực dự án Quần thể resort, biệt thự, nghỉ dưỡng và giải trí cao cấp FLC Quảng Bình</t>
  </si>
  <si>
    <t>Tiết kiệm 10%</t>
  </si>
  <si>
    <t>XD Trụ sở làm việc Đội quản lý thị trường số 3</t>
  </si>
  <si>
    <t>Chuyển NSTW bố trí</t>
  </si>
  <si>
    <t xml:space="preserve">Phòng Kinh tế bổ sung danh mục </t>
  </si>
  <si>
    <t>Quảng Phương</t>
  </si>
  <si>
    <t>XD Hạ tầng khu nghĩa địa phục vụ GPMB khu CN Tây Bắc Quán Hàu (GĐ2- khu B)</t>
  </si>
  <si>
    <t>2556/QĐ-UBND ngày 17/7/2017</t>
  </si>
  <si>
    <t>Trong KH trung hạn thuộc danh mục KCM 2018, dự án phê duyệt BCKTKT năm 2017 nhưng vẫn triển khai trong năm 2017, vốn tạm ứng từ nguồn dự phòng (sai nguyên tắc)</t>
  </si>
  <si>
    <t>Dự án Đường điện cao thế, trung thế và trạm biến áp từ Quốc lộ 1A đi vùng nuôi tôm trên cát, xã Trung Trạch</t>
  </si>
  <si>
    <t>797/QĐ-UBND ngày 27/3/2015; 2599/QĐ-UBND ngày 21/7/2017</t>
  </si>
  <si>
    <t>Bổ sung danh mục theo chỉ đạo GĐ</t>
  </si>
  <si>
    <t>Các dự án khởi công mới 2019</t>
  </si>
  <si>
    <t>Trung tâm Bồi dưỡng Chính trị huyện Quảng Trạch</t>
  </si>
  <si>
    <t>3857/QĐ-UBND ngày 31/10/2018</t>
  </si>
  <si>
    <t>Đã có ý kiến TT. HĐND tỉnh bổ sung trung hạn</t>
  </si>
  <si>
    <t>Có ý kiến thường trực HĐND tỉnh</t>
  </si>
  <si>
    <t>3495/QĐ-UBND ngày 22/10/2018</t>
  </si>
  <si>
    <t>Mở rộng đường liên 5 xã từ Quảng Long đi Quảng Phương</t>
  </si>
  <si>
    <t>3151/QĐ-UBND ngày 20/9/2017</t>
  </si>
  <si>
    <t>Năm 2018, đã bố trí nguồn vượt thu để thực hiện 24 tỷ đồng. Công trình thuộc diện tiết kiệm 10% TMĐT</t>
  </si>
  <si>
    <t>Đ/c từ 16&gt;&gt;14,4 do tiết kiệm 10% TMĐT</t>
  </si>
  <si>
    <t>Phê duyệt CTĐT từ năm 2016</t>
  </si>
  <si>
    <t>4125/QĐ-UBND ngày 27/12/2016; 694/QĐ-UBND ngày 09/3/2018</t>
  </si>
  <si>
    <t>3968/QĐ-UBND ngày 31/10/2017</t>
  </si>
  <si>
    <t>Bố trí KH 2019 theo QĐ CTĐT</t>
  </si>
  <si>
    <t>Sơn Hóa</t>
  </si>
  <si>
    <t>UBND xã Sơn Hóa</t>
  </si>
  <si>
    <t>Phê duyệt CTĐT từ năm 2017</t>
  </si>
  <si>
    <t>3875/QĐ-UBND ngày 30/10/2017</t>
  </si>
  <si>
    <t>Đường tránh lũ Nguyệt Áng- Trường Dục, huyện Quảng Ninh</t>
  </si>
  <si>
    <t>3951/QĐ-UBND ngày 31/10/2017</t>
  </si>
  <si>
    <t>Phê duyệt CTĐT từ năm 2018</t>
  </si>
  <si>
    <t>3710/QĐ-UBND ngày 20/10/2017</t>
  </si>
  <si>
    <t>Sửa chữa, nâng cấp tuyến đường liên xã Quảng Thanh - Quảng Phương - Quảng Lưu - Quảng Tiến, huyện Quảng Trạch</t>
  </si>
  <si>
    <t>3694/QĐ-UBND ngày 30/10/2018</t>
  </si>
  <si>
    <t>258/QĐ-UBND ngày 24/01/2017</t>
  </si>
  <si>
    <t>Nâng cấp tuyến đường ngập lụt liên thôn xã Phong Hóa</t>
  </si>
  <si>
    <t>Bố trí vốn vượt thu 1,5 tỷ cho công trình Sửa chữa, nâng cấp tuyến đường liên thôn xã Phong Hóa, huyện Tuyên Hóa; có sai khác tên so danh mục này</t>
  </si>
  <si>
    <t>4870/QĐ-UBND ngày 29/12/2017</t>
  </si>
  <si>
    <t>Đường giao thông liên thôn xã Quảng Trường, huyện Quảng Trạch</t>
  </si>
  <si>
    <t>3888/QĐ-UBND ngày 31/10/2018</t>
  </si>
  <si>
    <t>Đ/c Giám đốc. Có trong
KH trung hạn</t>
  </si>
  <si>
    <t>3552/QĐ-UBND ngày 24/10/2018</t>
  </si>
  <si>
    <t>Sửa chữa nâng cấp các tuyến đường từ nhà văn hóa đến nhà Dòng xã Quảng Phương</t>
  </si>
  <si>
    <t>3889/QĐ-UBND ngày 31/10/2018</t>
  </si>
  <si>
    <t>UBND xã Quảng Phương</t>
  </si>
  <si>
    <t>3586/QĐ-UBND ngày 25/10/2018</t>
  </si>
  <si>
    <t>Bê tông hóa đường liên thôn xã Cao Quảng</t>
  </si>
  <si>
    <t>3728/QĐ-UBND ngày 30/10/2018</t>
  </si>
  <si>
    <t>QĐ CTĐT không bố trí từng năm</t>
  </si>
  <si>
    <t>Cao Quảng</t>
  </si>
  <si>
    <t>UBND xã
Cao Quảng</t>
  </si>
  <si>
    <t>Đã có trong KH trung hạn
 Ý kiến Giám đốc</t>
  </si>
  <si>
    <t>3708/QĐ-UBND ngày 30/10/2018</t>
  </si>
  <si>
    <t>Đường tránh lũ Duy Ninh, huyện Quảng Ninh</t>
  </si>
  <si>
    <t>3869/QĐ-UBND ngày 31/10/2018</t>
  </si>
  <si>
    <t>TMĐT giảm từ 
8500 xuống 6700</t>
  </si>
  <si>
    <t>TMĐT giảm từ 
8500 xuong 6700</t>
  </si>
  <si>
    <t>NS tỉnh hỗ trợ 
giảm từ 5100 xuong 4020</t>
  </si>
  <si>
    <t>Đã có trong KH trung hạn</t>
  </si>
  <si>
    <t>3644/QĐ-UBND ngày 26/10/2018</t>
  </si>
  <si>
    <t>Đường cấp 3 Ninh Châu đi trạm bơm Rào Bạc</t>
  </si>
  <si>
    <t>3833/QĐ-UBND ngày 31/10/2018</t>
  </si>
  <si>
    <t>TMĐT giảm từ 5000 xuống 4500</t>
  </si>
  <si>
    <t>TMĐT giảm từ 5000 xuong 4500</t>
  </si>
  <si>
    <t>NS tỉnh hỗ trợ giảm từ 3000 xuong 2700</t>
  </si>
  <si>
    <t>3648/QĐ-UBND ngày 26/10/2018</t>
  </si>
  <si>
    <t>Sửa chữa đường Lộc Long – Hoành Vinh</t>
  </si>
  <si>
    <t>3794/QĐ-UBND ngày 31/10/2018</t>
  </si>
  <si>
    <t>Xuân Ninh</t>
  </si>
  <si>
    <t>Đ/c Giám đốc. Đã có trong KH trung hạn</t>
  </si>
  <si>
    <t>3622/QĐ-UBND ngày 26/10/2018</t>
  </si>
  <si>
    <t>Xây dựng Đập thôn 8 xã Quảng Thạch</t>
  </si>
  <si>
    <t>3788/QĐ-UBND ngày 31/10/2018</t>
  </si>
  <si>
    <t>Ý kiến đ/c Ninh PCT HĐND tỉnh. Có trong
KH trung hạn</t>
  </si>
  <si>
    <t>3605/QĐ-UBND ngày 26/10/2018</t>
  </si>
  <si>
    <t>Nâng cấp sửa chữa hệ thống đường nội vùng tổ dân phố Trường Sơn, phường Quảng Long, thị xã Ba Đồn</t>
  </si>
  <si>
    <t>3886/QĐ-UBND ngày 31/10/2018</t>
  </si>
  <si>
    <t xml:space="preserve"> UBND phường
Quảng Long </t>
  </si>
  <si>
    <t>Đ/c Quang PCT. Có trong KH trung hạn</t>
  </si>
  <si>
    <t>3585/QĐ-UBND ngày 25/10/2018</t>
  </si>
  <si>
    <t>3861/QĐ-UBND ngày 31/10/2018</t>
  </si>
  <si>
    <t>Đ/c Chủ tịch</t>
  </si>
  <si>
    <t>Đường vào bản Khe Ngang</t>
  </si>
  <si>
    <t>3952a/QĐ-UBND ngày 31/10/2017</t>
  </si>
  <si>
    <t>Trong QĐ CTĐT Huyện 2018, tỉnh 2019, huyện chưa bố trí tỉnh có bố trí không</t>
  </si>
  <si>
    <t>3855/QĐ-UBND ngày 30/10/2017</t>
  </si>
  <si>
    <t>3506/QĐ-UBND ngày 05/10/2017</t>
  </si>
  <si>
    <t>bố trí KH vốn theo CTĐT</t>
  </si>
  <si>
    <t>2756/QĐ-UBND ngày 03/8/2017</t>
  </si>
  <si>
    <t>3967/QĐ-UBND ngày 31/10/2017</t>
  </si>
  <si>
    <t>Đã bố trí từ CT 135 năm 2018: 933 trđ; tiến độ theo CTĐT: 946</t>
  </si>
  <si>
    <t>3477/QĐ-UBND ngày 02/01/2017</t>
  </si>
  <si>
    <t>Xây dựng cống và ngầm tràn bản Tân Ly, xã Lâm Thủy, huyện Lệ Thủy</t>
  </si>
  <si>
    <t>3953/QĐ-UBND ngày 31/10/2017</t>
  </si>
  <si>
    <t>Lâm Thủy</t>
  </si>
  <si>
    <t>UBND xã Lâm Thủy</t>
  </si>
  <si>
    <t>3827a/QĐ-UBND ngày 27/10/2017</t>
  </si>
  <si>
    <t>Đường GTNT liên xã Phong Thủy - Lộc Thủy</t>
  </si>
  <si>
    <t>3936/QĐ-UBND ngày 30/10/2017</t>
  </si>
  <si>
    <t>Theo CTĐT: Vốn ĐTC 3 tỷ, vốn Tài chính 2,4 tỷ, vốn huyện 3,6 tỷ. Bố trí vốn vượt thu 1 tỷ</t>
  </si>
  <si>
    <t>3717a/QĐ-UBND ngày 20/10/2017</t>
  </si>
  <si>
    <t>Đường kết hợp kè xã Phú Thủy, huyện Lệ Thủy</t>
  </si>
  <si>
    <t>3791/QĐ-UBND ngày 31/10/2018</t>
  </si>
  <si>
    <t>Bổ sung danh mục, bố trí KH 2019 theo QĐ CTĐT</t>
  </si>
  <si>
    <t>3589/QĐ-UBND ngày 25/10/2018</t>
  </si>
  <si>
    <t>Tuyến đường liên thôn Tùng Giang-Hạ Lý Tân Châu, xã Quảng Châu</t>
  </si>
  <si>
    <t>3520/QĐ-UBND ngày 23/10/2018</t>
  </si>
  <si>
    <t>2096/QĐ-UBND ngày 26/6/2018</t>
  </si>
  <si>
    <t>3725/QĐ-UBND ngày 30/10/2018</t>
  </si>
  <si>
    <t>1127/QĐ-UBND ngày 09/4/2018</t>
  </si>
  <si>
    <t>Nâng cấp tuyến đường trục chính thôn Vĩnh Lộc, xã Quảng Lộc</t>
  </si>
  <si>
    <t>3670/QĐ-UBND ngày 29/10/2018</t>
  </si>
  <si>
    <t>981/QĐ-UBND ngày 29/3/2018</t>
  </si>
  <si>
    <t>3726/QĐ-UBND ngày 30/10/2018</t>
  </si>
  <si>
    <t>UBND phường Quảng Phúc</t>
  </si>
  <si>
    <t>2127/QĐ-UBND ngày 28/6/2018</t>
  </si>
  <si>
    <t>3724/QĐ-UBND ngày 30/10/2018</t>
  </si>
  <si>
    <t>2128/QĐ-UBND ngày 28/6/2018</t>
  </si>
  <si>
    <t>Xây dựng trụ sở làm việc của Hạt kiểm lâm huyện Quảng Trạch</t>
  </si>
  <si>
    <t>1834/QĐ-UBND ngày 05/6/2018</t>
  </si>
  <si>
    <t>Chi cục Kiểm lâm tỉnh</t>
  </si>
  <si>
    <t>3718/QĐ-UBND ngày 20/10/2017</t>
  </si>
  <si>
    <t>Đường liên xã Thanh - Phương - Lưu đi trung tâm dân cư Tô Xá, xã Quảng Phương</t>
  </si>
  <si>
    <t>3041/QĐ-UBND ngày 13/9/2018</t>
  </si>
  <si>
    <t>bổ sung dự án, bố trí KH vốn theo CTĐT</t>
  </si>
  <si>
    <t>1405/QĐ-UBND ngày 27/4/2018; 2594/QĐ-UBND ngày 07/8/2018</t>
  </si>
  <si>
    <t>Xuân Hóa</t>
  </si>
  <si>
    <t>UBND huyện Minh Hóa</t>
  </si>
  <si>
    <t>Đ/c Bí thư</t>
  </si>
  <si>
    <t>3569/QĐ-UBND ngày 24/10/2018</t>
  </si>
  <si>
    <t>Sửa chữa nâng cấp đường giao thông từ thị trấn Đồng Lê đi xã Sơn Hóa</t>
  </si>
  <si>
    <t>3830/QĐ-UBND ngày 31/10/2018</t>
  </si>
  <si>
    <t>2 tỷ/năm theo QĐ CTĐT</t>
  </si>
  <si>
    <t>3567/QĐ-UBND ngày 25/10/2018</t>
  </si>
  <si>
    <t>Hội trường UBND xã Quảng Thủy</t>
  </si>
  <si>
    <t>3805/QĐ-UBND ngày 31/10/2018</t>
  </si>
  <si>
    <t>3464/QĐ-UBND ngày 18/10/2018</t>
  </si>
  <si>
    <t>Đường giao thông phường Quảng Thuận</t>
  </si>
  <si>
    <t>3727/QĐ-UBND ngày 30/10/2018</t>
  </si>
  <si>
    <t>UBND phường
Quảng Thuận</t>
  </si>
  <si>
    <t>3457/QĐ-UBND ngày 18/10/2018</t>
  </si>
  <si>
    <t>Đường tránh lũ Phúc Nhĩ – Kim Nại xã An Ninh, huyện Quảng Ninh</t>
  </si>
  <si>
    <t>3734/QĐ-UBND ngày 30/10/2018</t>
  </si>
  <si>
    <t>3522/QĐ-UBND ngày 23/10/2018</t>
  </si>
  <si>
    <t>Đường vào bản Nà Lâm, xã Trường Xuân, huyện Quảng Ninh</t>
  </si>
  <si>
    <t>3862/QĐ-UBND ngày 31/10/2018</t>
  </si>
  <si>
    <t>3523/QĐ-UBND ngày 23/10/2018</t>
  </si>
  <si>
    <t>Nhà làm việc và Hội trường Đồn công an Lệ Ninh</t>
  </si>
  <si>
    <t>3895/QĐ-UBND ngày 30/10/2017</t>
  </si>
  <si>
    <t>Năm 2018, vốn công an, 2019-2020 ngân sách tỉnh</t>
  </si>
  <si>
    <t>Công an huyện Lệ Thủy</t>
  </si>
  <si>
    <t>3340/QĐ-UBND ngày 22/9/2017</t>
  </si>
  <si>
    <t>Đường vào bản Đìu Đo xã Trường Sơn (GĐ2)</t>
  </si>
  <si>
    <t>3878a/QĐ-UBND ngày 30/10/2017</t>
  </si>
  <si>
    <t>Trong QĐ CTĐT thực hiện 2018-2020 bố trí từ nguồn CT giảm nghèo, tỉnh 2019-2020; nhưng hiện nay CT giảm nghèo chưa bố trí, tỉnh có bố trí không</t>
  </si>
  <si>
    <t>Bổ sung thêm chữ xã Trường Sơn</t>
  </si>
  <si>
    <t>UBND xã Trường Sơn</t>
  </si>
  <si>
    <t>Khắc phục khẩn cấp tuyến đường từ xã Châu Hóa đi xã Cao Quảng, huyện Tuyên Hóa, đoạn từ Km3+260 đến Km6+943,59</t>
  </si>
  <si>
    <t>2377/QĐ-UBND ngày 20/7/2018</t>
  </si>
  <si>
    <t>1548/QĐ-UBND ngày 15/5/2018</t>
  </si>
  <si>
    <t>Xây dựng đường GTNT các thôn xã Yên Hóa</t>
  </si>
  <si>
    <t>3801/QĐ-UBND ngày 31/10/2018</t>
  </si>
  <si>
    <t>Yên Hóa</t>
  </si>
  <si>
    <t>UBND xã Yên Hóa</t>
  </si>
  <si>
    <t>3581/QĐ-UBND ngày 25/10/2018</t>
  </si>
  <si>
    <t>Nâng cấp, mở rộng tuyến đường giao thông từ cầu Quảng Hải đi các xã Quảng Lộc-Quảng Hòa-Quảng Minh-Quảng Sơn-Quảng Thủy, thị xã Ba Đồn</t>
  </si>
  <si>
    <t>3887/QĐ-UBND ngày 31/10/2018</t>
  </si>
  <si>
    <t>Bố trí 2 tỷ vốn vượt thu</t>
  </si>
  <si>
    <t>3571/QĐ-UBND ngày 24/10/2018</t>
  </si>
  <si>
    <t>Kè hồ Trạm xã Phú Định</t>
  </si>
  <si>
    <t>Phú Định</t>
  </si>
  <si>
    <t>3484a/QĐ-UBND ngày 19/10/2018</t>
  </si>
  <si>
    <t>Kè chống sạt lở kết hợp ngăn mặn đồng Cồn Hoàng huyện Quảng Ninh (gd2)</t>
  </si>
  <si>
    <t>3871/QĐ-UBND ngày 31/10/2018</t>
  </si>
  <si>
    <t>TMĐT 4500, tên có giai đoạn 2</t>
  </si>
  <si>
    <t>3628/QĐ-UBND ngày 26/10/2018</t>
  </si>
  <si>
    <t>Nâng cấp, mở rộng đường Nguyễn Thị Định xã Bảo Ninh</t>
  </si>
  <si>
    <t>Xem lại, có bố trí kịp 2019 hay không, hiện nay đang trình phê duyệt CTĐT</t>
  </si>
  <si>
    <t>UBND xã Bảo Ninh</t>
  </si>
  <si>
    <t>Đường tránh lũ Vĩnh Tuy 1,2,3,4 xã Vĩnh Ninh, huyện Quảng Ninh (giai đoạn 2)</t>
  </si>
  <si>
    <t>3736/QĐ-UBND ngày 30/10/2018</t>
  </si>
  <si>
    <t>Bố trí vượt thu 4 tỷ gđ 1, sửa lại danh mục có thêm chữ gd2</t>
  </si>
  <si>
    <t>3576/QĐ-UBND ngày 25/10/2018</t>
  </si>
  <si>
    <t>Đường QL1A đi dự án FLC, huyện Quảng Ninh</t>
  </si>
  <si>
    <t>3735/QĐ-UBND ngày 30/10/2018</t>
  </si>
  <si>
    <t>3636/QĐ-UBND ngày 26/10/2018</t>
  </si>
  <si>
    <t>Đê bao từ Mỹ Trung đến cống Hói Sỏi, huyện Quảng Ninh</t>
  </si>
  <si>
    <t>3834/QĐ-UBND ngày 31/10/2018</t>
  </si>
  <si>
    <t>Bố trí vượt thu 1,5 tỷ</t>
  </si>
  <si>
    <t>Tân Ninh, Gia Ninh</t>
  </si>
  <si>
    <t>3604/QĐ-UBND ngày 26/10/2018</t>
  </si>
  <si>
    <t>Tuyến đường từ xã Yên Hóa đi xã Quy Hóa, huyện Minh Hóa (GĐ1)</t>
  </si>
  <si>
    <t>3891a/QĐ-UBND ngày 31/10/2018</t>
  </si>
  <si>
    <t>Quy Hóa</t>
  </si>
  <si>
    <t>3563/QĐ-UBND ngày 24/10/2018</t>
  </si>
  <si>
    <t>Nạo vét kênh và xây dựng bờ kè đoạn đuôi tràn hồ Đồng Sơn về vùng hạ lưu, phường Đồng Sơn</t>
  </si>
  <si>
    <t>3881/QĐ-UBND ngày 31/10/2018</t>
  </si>
  <si>
    <t>Đang trình phê duyệt CTĐT</t>
  </si>
  <si>
    <t>UBND Tp Đồng Hới</t>
  </si>
  <si>
    <t>Kè chống xói lở Khe Cát Dinh Thủy, xã Võ Ninh</t>
  </si>
  <si>
    <t>2311/QĐ-UBND ngày 13/7/2018</t>
  </si>
  <si>
    <t>QĐ CTĐT không bố trí từng năm, năm 2018 NS huyện (chưa biết bố trí hay không)</t>
  </si>
  <si>
    <t>1306/QĐ-UBND ngày 20/4/2018</t>
  </si>
  <si>
    <t>3793/QĐ-UBND ngày 31/10/2018</t>
  </si>
  <si>
    <t>1033/QĐ-UBND ngày 03/4/2018</t>
  </si>
  <si>
    <t>Đường nối từ ngã 3 Khe Dong đến Quốc lộ 9C thuộc xã Kim Thủy</t>
  </si>
  <si>
    <t>3854a/QĐ-UBND ngày 31/10/2018</t>
  </si>
  <si>
    <t>Bố trí vượt thu 2 tỷ</t>
  </si>
  <si>
    <t>Kim Thủy</t>
  </si>
  <si>
    <t>3840/QĐ-UBND ngày 31/10/2018</t>
  </si>
  <si>
    <t>Nâng cấp tuyến đường từ thôn Sen Đông và tuyến đường từ thôn Xóm Phường đi thôn Thanh Sơn, xã Sen Thủy</t>
  </si>
  <si>
    <t>3797/QĐ-UBND ngày 31/10/2018</t>
  </si>
  <si>
    <t>3640a/QĐ-UBND ngày 26/10/2018</t>
  </si>
  <si>
    <t>Trụ sở làm việc trung tâm Khuyến nông-Khuyến ngư tỉnh Quảng Bình</t>
  </si>
  <si>
    <t xml:space="preserve">3907a/QĐ-UBND ngày 31/10/2017 </t>
  </si>
  <si>
    <t>Đã sử dụng tiền bán trụ sở để khởi công; NS tỉnh bố trí 2 năm</t>
  </si>
  <si>
    <t xml:space="preserve">Trung tâm Khuyến nông-Khuyến ngư tỉnh </t>
  </si>
  <si>
    <t>733/QĐ-UBND ngày 09/3/2017</t>
  </si>
  <si>
    <t>Khắc phục khẩn cấp Cầu Lim-Động Hương xã Phong Hóa</t>
  </si>
  <si>
    <t xml:space="preserve">3859/QĐ-UBND ngày 31/10/2018 </t>
  </si>
  <si>
    <t>UBND huyện Tuyên Hóa đã có CV số 600 giao xã Phong Hóa làm Chủ đầu tư; thời gian thực hiện 2 năm</t>
  </si>
  <si>
    <t>3710/QĐ-UBND ngày 20/10/2018</t>
  </si>
  <si>
    <t>Kè chống sạt lở bờ suối Khe Trẩy, đoạn qua Trạm Y tế xã Hoá Tiến</t>
  </si>
  <si>
    <t xml:space="preserve">3836/QĐ-UBND ngày 31/10/2018 </t>
  </si>
  <si>
    <t>Đã bố trí vốn vượt thu 1,3 tỷ</t>
  </si>
  <si>
    <t>3467/QĐ-UBND ngày 19/10/2018</t>
  </si>
  <si>
    <t>Nhà văn hóa cộng đồng xã Tân Trạch</t>
  </si>
  <si>
    <t xml:space="preserve">3857a/QĐ-UBND ngày 31/10/2018 </t>
  </si>
  <si>
    <t>Tân Trạch</t>
  </si>
  <si>
    <t>UBND xã Tân Trạch</t>
  </si>
  <si>
    <t>Nâng cấp, sửa chữa Sân vận động thành phố Đồng Hới tại phường Đồng Sơn</t>
  </si>
  <si>
    <t xml:space="preserve">3767/QĐ-UBND ngày 31/10/2018 </t>
  </si>
  <si>
    <t>P. VX đề xuất bố trí 3 tỷ</t>
  </si>
  <si>
    <t>3678/QĐ-UBND ngày 29/10/2018</t>
  </si>
  <si>
    <t>Hạ tầng nghĩa trang xã Bảo Ninh (GĐ2)</t>
  </si>
  <si>
    <t xml:space="preserve">3856a/QĐ-UBND ngày 31/10/2018 </t>
  </si>
  <si>
    <t>P. VX đề xuất bố trí 3,5 tỷ</t>
  </si>
  <si>
    <t>Sửa chữa, cải tạo Trụ sở Báo Quảng Bình</t>
  </si>
  <si>
    <t xml:space="preserve">3890a/QĐ-UBND ngày 31/10/2018 </t>
  </si>
  <si>
    <t>Báo Quảng Bình</t>
  </si>
  <si>
    <t>3685/QĐ-UBND ngày 26/10/2018</t>
  </si>
  <si>
    <t>Cải tạo, sửa chữa Trụ sở Hội Văn học Nghệ thuật tỉnh</t>
  </si>
  <si>
    <t>3832/QĐ-UBND ngày 31/10/2018</t>
  </si>
  <si>
    <t>P. VX đề xuất bố trí 850 triệu</t>
  </si>
  <si>
    <t>Hội Văn học nghệ thuật tỉnh</t>
  </si>
  <si>
    <t>3467/QĐ-UBND ngày 26/10/2018</t>
  </si>
  <si>
    <t>Nhà văn hóa xã kết hợp hội trường và các phòng chức năng xã Đức Hóa</t>
  </si>
  <si>
    <t>3823/QĐ-UBND ngày 31/10/2018</t>
  </si>
  <si>
    <t>Đức Hóa</t>
  </si>
  <si>
    <t>UBND xã Đức Hóa</t>
  </si>
  <si>
    <t>1364/QĐ-UBND ngày 26/4/2018</t>
  </si>
  <si>
    <t>Nâng cấp tuyến đường ngập lụt nối thôn 2 và thôn 3, xã Trung Trạch</t>
  </si>
  <si>
    <t>3208/QĐ-UBND ngày 26/9/2018</t>
  </si>
  <si>
    <t>Theo QĐ CTĐT, NS tỉnh bố trí từ năm 2020</t>
  </si>
  <si>
    <t>3524/QĐ-UBND ngày 05/10/2017</t>
  </si>
  <si>
    <t>3723/QĐ-UBND ngày 30/10/2018</t>
  </si>
  <si>
    <t>Liên Thủy</t>
  </si>
  <si>
    <t>3606/QĐ-UBND ngày 12/10/2017</t>
  </si>
  <si>
    <t>Kè chống sạt lở bờ hữu sông Long Đại đoạn qua thôn Đồng Tư, xã Hiền Ninh, huyện Quảng Ninh</t>
  </si>
  <si>
    <t>3143/QĐ-UBND ngày 20/9/2018</t>
  </si>
  <si>
    <t>3741/QĐ-UBND ngày 23/10/2017</t>
  </si>
  <si>
    <t>Đường liên xã Võ Tân - Đại Hữu, huyện Quảng Ninh</t>
  </si>
  <si>
    <t>2756/QĐ-UBND ngày 21/8/2018</t>
  </si>
  <si>
    <t>3767/QĐ-UBND ngày 24/10/2017</t>
  </si>
  <si>
    <t>Đường giao thông nông thôn xã Vạn Trạch</t>
  </si>
  <si>
    <t>3863/QĐ-UBND ngày 31/10/2018</t>
  </si>
  <si>
    <t>NS tỉnh bố trí từ 2020 theo CTĐT</t>
  </si>
  <si>
    <t>Ý kiến Đ/c
Quang-PCT. Có trong
KH trung hạn</t>
  </si>
  <si>
    <t>3712/QĐ-UBND ngày 30/10/2018</t>
  </si>
  <si>
    <t>Kênh tưới nước Hồ Vân Tiền, xã Quảng Lưu</t>
  </si>
  <si>
    <t>sẽ phê duyệt CTĐT và triển khai trong năm 2020</t>
  </si>
  <si>
    <t>Tuyến đường trên đê Mỹ Cương, xã Đức Ninh</t>
  </si>
  <si>
    <t>3867/QĐ-UBND ngày 31/10/2018</t>
  </si>
  <si>
    <t xml:space="preserve">Đang trình CTĐT, CĐT đề xuất NS tỉnh 2020 </t>
  </si>
  <si>
    <t>Lãnh đạo Sở. Có trong
KH trung hạn</t>
  </si>
  <si>
    <t xml:space="preserve">Sửa chữa, nâng cấp đường từ thôn Bắc Hòa, xã Ngư Thủy Bắc đi xã Ngư Thủy Trung </t>
  </si>
  <si>
    <t>2282/QĐ-UBND ngày 11/7/2018</t>
  </si>
  <si>
    <t>3587/QĐ-UBND ngày 11/10/2017</t>
  </si>
  <si>
    <t>Tuyến đường cứu hộ Sen Thủy đi xã Ngư Thủy Nam</t>
  </si>
  <si>
    <t>3592/QĐ-UBND ngày 11/10/2017</t>
  </si>
  <si>
    <t>3707/QĐ-UBND ngày 30/10/2018</t>
  </si>
  <si>
    <t>Phú Trạch</t>
  </si>
  <si>
    <t>3525/QĐ-UBND ngày 05/10/2017</t>
  </si>
  <si>
    <t>3774/QĐ-UBND ngày 31/10/2018</t>
  </si>
  <si>
    <t>UBND xã Phúc Trạch</t>
  </si>
  <si>
    <t>441/QĐ-UBND ngày 06/2/2018</t>
  </si>
  <si>
    <t>Bê tông hệ thống đường, cầu bản xã Châu Hóa, huyện Tuyên Hóa</t>
  </si>
  <si>
    <t>UBND xã Châu Hóa</t>
  </si>
  <si>
    <t>Tuyến đường vượt lũ Ba Cồn đi thôn 5, xã Thạch Hóa</t>
  </si>
  <si>
    <t>3885a/QĐ-UBND ngày 31/10/2018</t>
  </si>
  <si>
    <t>QĐ CTĐT không bố trí từng năm (bố trí 20-21)</t>
  </si>
  <si>
    <t>3656/QĐ-UBND ngày 29/10/2018</t>
  </si>
  <si>
    <t>Đường nội thôn xã Tiến Hóa, huyện Tuyên Hóa</t>
  </si>
  <si>
    <t>3729/QĐ-UBND ngày 30/10/2018</t>
  </si>
  <si>
    <t>2020: 1,0 tỷ; 2021: 2,0 tỷ</t>
  </si>
  <si>
    <t>3475/QĐ-UBND ngày 19/10/2018</t>
  </si>
  <si>
    <t>3826/QĐ-UBND ngày 31/10/2018</t>
  </si>
  <si>
    <t>2020: 1,8 tỷ; 2021: 1,8 tỷ</t>
  </si>
  <si>
    <t>3587/QĐ-UBND ngày 25/10/2018</t>
  </si>
  <si>
    <t>Bê tông hóa các tuyến đường GTNT xã Phú Định, huyện Bố Trạch</t>
  </si>
  <si>
    <t>3730/QĐ-UBND ngày 30/10/2018</t>
  </si>
  <si>
    <t>2020: 1,8 tỷ; 2021: 2,4 tỷ</t>
  </si>
  <si>
    <t>UBND xã Phú Định</t>
  </si>
  <si>
    <t>3432/QĐ-UBND ngày 16/10/2018</t>
  </si>
  <si>
    <t>Đường giao thông nông thôn tuyến từ thôn 6 đến thôn 2 xã Trung Trạch</t>
  </si>
  <si>
    <t>3784/QĐ-UBND ngày 31/10/2018</t>
  </si>
  <si>
    <t>2020: 1,8 tỷ; 2021: 3,6 tỷ</t>
  </si>
  <si>
    <t>UBND xã Trung Trạch</t>
  </si>
  <si>
    <t>3580/QĐ-UBND ngày 25/10/2018</t>
  </si>
  <si>
    <t>Đường nối từ đường Hữu Nghị đến đường Nguyễn Văn Linh</t>
  </si>
  <si>
    <t>Đã bố trí vốn vượt thu tiết kiệm chi</t>
  </si>
  <si>
    <t>Đường từ bản Nà Lâm xã Trường Xuân đi xã Trường Sơn, huyện Quảng Ninh</t>
  </si>
  <si>
    <t>3864/QĐ-UBND ngày 31/10/2018</t>
  </si>
  <si>
    <t>NS tỉnh bố trí giai đoạn 2020-2021</t>
  </si>
  <si>
    <t>Nâng cấp, mở rộng đường liên xã từ thôn Tam Đa, xã Quảng Lưu đi tỉnh lộ 22B</t>
  </si>
  <si>
    <t>3781/QĐ-UBND ngày 31/10/2018</t>
  </si>
  <si>
    <t>NS tỉnh 2020: 1,2 tỷ; 2021: 1,8 tỷ</t>
  </si>
  <si>
    <t>3487/QĐ-UBND ngày 19/10/2018</t>
  </si>
  <si>
    <t>Các tuyến đường nối trục N1 đến Trường Chính trị huyện Quảng Trạch</t>
  </si>
  <si>
    <t>3828/QĐ-UBND ngày 31/10/2018</t>
  </si>
  <si>
    <t>NS tỉnh 2020: 2 tỷ; 2021: 2,8 tỷ</t>
  </si>
  <si>
    <t>3527/QĐ-UBND ngày 23/10/2018</t>
  </si>
  <si>
    <t>Nâng cấp, cải tạo Bãi xử lý rác thải huyện Quảng Trạch – giai đoạn II</t>
  </si>
  <si>
    <t>3829/QĐ-UBND ngày 31/10/2018</t>
  </si>
  <si>
    <t>3561/QĐ-UBND ngày 24/10/2018</t>
  </si>
  <si>
    <t>Bê tông hóa đường nội thôn xã Quảng Châu</t>
  </si>
  <si>
    <t>3783/QĐ-UBND ngày 31/10/2018</t>
  </si>
  <si>
    <t>NS tỉnh 2020: 0,9 tỷ; 2021: 0,9 tỷ</t>
  </si>
  <si>
    <t>3566/QĐ-UBND ngày 24/10/2018</t>
  </si>
  <si>
    <t>Khắc phục tuyến đường UBND xã thôn Bưởi Rõi xã Quảng Hợp</t>
  </si>
  <si>
    <t>3732/QĐ-UBND ngày 30/10/2018</t>
  </si>
  <si>
    <t>NS tỉnh 2020: 2 tỷ; 2021: 5,2 tỷ</t>
  </si>
  <si>
    <t>3553/QĐ-UBND ngày 24/10/2018</t>
  </si>
  <si>
    <t>Khắc phục, sửa chữa khẩn cấp một số tuyến đường xung yếu trên địa bàn xã Phù Hóa, huyện Quảng Trạch</t>
  </si>
  <si>
    <t>3733/QĐ-UBND ngày 30/10/2018</t>
  </si>
  <si>
    <t>Ý kiến đ/c Ngân PCT</t>
  </si>
  <si>
    <t>Đường từ Điện Thành Hoàng Vĩnh Lộc đến Cầu Chợ Ngang xã Quảng Lộc</t>
  </si>
  <si>
    <t>3778/QĐ-UBND ngày 31/10/2018</t>
  </si>
  <si>
    <t>NS tỉnh 2020: 2,5 tỷ; 2021: 4,22 tỷ</t>
  </si>
  <si>
    <t>Ý kiến đ/c Quang PCT</t>
  </si>
  <si>
    <t>3570/QĐ-UBND ngày 24/10/2018</t>
  </si>
  <si>
    <t>Đường GTNT thôn Công Hòa xã Quảng Trung</t>
  </si>
  <si>
    <t>3777/QĐ-UBND ngày 31/10/2018</t>
  </si>
  <si>
    <t>3584/QĐ-UBND ngày 25/10/2018</t>
  </si>
  <si>
    <t>Đường giao thông trên địa bàn Phường Quảng Thọ</t>
  </si>
  <si>
    <t>3884/QĐ-UBND ngày 31/10/2018</t>
  </si>
  <si>
    <t>NS tỉnh 2020: 2 tỷ; 2021: 4 tỷ</t>
  </si>
  <si>
    <t>UBND phường
Quảng Thọ</t>
  </si>
  <si>
    <t>3572/QĐ-UBND ngày 24/10/2018</t>
  </si>
  <si>
    <t>3785/QĐ-UBND ngày 31/10/2018</t>
  </si>
  <si>
    <t>Ý kiến đc Quang PCT</t>
  </si>
  <si>
    <t>3588/QĐ-UBND ngày 25/10/2018</t>
  </si>
  <si>
    <t>Đường lò vôi xã Vạn Ninh</t>
  </si>
  <si>
    <t>3822/QĐ-UBND ngày 31/10/2018</t>
  </si>
  <si>
    <t>3577/QĐ-UBND ngày 25/10/2018</t>
  </si>
  <si>
    <t>Đường tránh lũ Long Đại - Hà Kiên</t>
  </si>
  <si>
    <t>3870/QĐ-UBND ngày 31/10/2018</t>
  </si>
  <si>
    <t>3583/QĐ-UBND ngày 25/10/2018</t>
  </si>
  <si>
    <t>Đường tránh lũ kết hợp di dân sau hồ Rào Đá, xã Trường Xuân</t>
  </si>
  <si>
    <t>Loại khỏi danh mục</t>
  </si>
  <si>
    <t>UBND xã Trường Xuân</t>
  </si>
  <si>
    <t>Ý kiến đ/c Giám đốc</t>
  </si>
  <si>
    <t>3705/QĐ-UBND ngày 30/10/2018</t>
  </si>
  <si>
    <t>3789/QĐ-UBND ngày 31/10/2018</t>
  </si>
  <si>
    <t>UBND xã Liên Thủy</t>
  </si>
  <si>
    <t>3634/QĐ-UBND ngày 26/10/2018</t>
  </si>
  <si>
    <t>Xây dựng khẩn cấp hệ thống kè bảo vệ tuyến đê Vùng Lùng, xã Tân Thủy</t>
  </si>
  <si>
    <t>3815/QĐ-UBND ngày 31/10/2018</t>
  </si>
  <si>
    <t>3582/QĐ-UBND ngày 26/10/2018</t>
  </si>
  <si>
    <t>Hệ thống kè bảo vệ tuyến đê Đập Bể, xã Lộc Thủy</t>
  </si>
  <si>
    <t>3814/QĐ-UBND ngày 31/10/2018</t>
  </si>
  <si>
    <t>Bố trí 1 tỷ nguồn vượt thu cho dự án Hệ thống kè bảo vệ tuyến Đập Bể, huyện Lệ Thủy, có sai khác về tên danh mục</t>
  </si>
  <si>
    <t>Ý kiến chủ tịch</t>
  </si>
  <si>
    <t>3650/QĐ-UBND ngày 26/10/2018</t>
  </si>
  <si>
    <t xml:space="preserve">Đường giao thông từ xã Ngư Thủy Nam đi xã Ngư Thủy Trung </t>
  </si>
  <si>
    <t>3790/QĐ-UBND ngày 31/10/2018</t>
  </si>
  <si>
    <t>Ngư Thủy Nam</t>
  </si>
  <si>
    <t>UBND xã Ngư Thủy Nam</t>
  </si>
  <si>
    <t>3632/QĐ-UBND ngày 26/10/2018</t>
  </si>
  <si>
    <t>Sửa chữa đường sản xuất và dân sinh xã Cam Thủy</t>
  </si>
  <si>
    <t>3787/QĐ-UBND ngày 31/10/2018</t>
  </si>
  <si>
    <t>3652/QĐ-UBND ngày 26/10/2018</t>
  </si>
  <si>
    <t>3668/QĐ-UBND ngày 29/10/2018</t>
  </si>
  <si>
    <t>3792/QĐ-UBND ngày 31/10/2018</t>
  </si>
  <si>
    <t>3669/QĐ-UBND ngày 29/10/2018</t>
  </si>
  <si>
    <t>Đường từ thôn Hồng Giang xã Trường Thủy đi xã Văn Thủy</t>
  </si>
  <si>
    <t>3731/QĐ-UBND ngày 30/10/2018</t>
  </si>
  <si>
    <t>Trường Thủy</t>
  </si>
  <si>
    <t>UBND xã Trường Thủy</t>
  </si>
  <si>
    <t>3573/QĐ-UBND ngày 24/10/2018</t>
  </si>
  <si>
    <t>Hoàn thiện cầu Cà Roòng 2, xã Thượng Trạch</t>
  </si>
  <si>
    <t>Đang trình thẩm định chủ trương đầu tư</t>
  </si>
  <si>
    <t>Thượng Trạch</t>
  </si>
  <si>
    <t>Nâng cấp tuyến đường ngập lũ nối thôn Trung Thuận về thôn Nam Sơn, xã Phú Trạch</t>
  </si>
  <si>
    <t>Tuyến đường chính vào trung tâm thị trấn Quán Hàu, huyện Quảng Ninh</t>
  </si>
  <si>
    <t>3865/QĐ-UBND ngày 31/10/2018</t>
  </si>
  <si>
    <t>3873/QĐ-UBND ngày 31/10/2018</t>
  </si>
  <si>
    <t>Đaã phê duyệt chủ trương đầu tư</t>
  </si>
  <si>
    <t>Quảng trường biển xã Trung Trạch, huyện Bố Trạch</t>
  </si>
  <si>
    <t>3738/QĐ-UBND ngày 30/10/2018</t>
  </si>
  <si>
    <t>Đền thờ Bác Hồ</t>
  </si>
  <si>
    <t>Bổ sung 20.11</t>
  </si>
  <si>
    <t>Hạ tầng kỹ thuật nối quy hoạch khu vực phía Đông ngã ba thị trấn Hoàn Lão ra biển Trung Trạch</t>
  </si>
  <si>
    <t>3856/QĐ-UBND ngày 31/10/2018</t>
  </si>
  <si>
    <t>Trung C bổ sung 20.11</t>
  </si>
  <si>
    <t>Đường liên thôn xã Đại Trạch, huyện Bố Trạch</t>
  </si>
  <si>
    <t>3737/QĐ-UBND ngày 30/10/2018</t>
  </si>
  <si>
    <t>Ngọc Đ bổ sung 21.11</t>
  </si>
  <si>
    <t>Đại Trạch</t>
  </si>
  <si>
    <t>A. Thiện bổ sung ngày 22.11</t>
  </si>
  <si>
    <t>UBND xã Bắc Trạch</t>
  </si>
  <si>
    <t>Hạ tầng công viên thị trấn Kiến Giang huyện Lệ Thủy</t>
  </si>
  <si>
    <t>Khắc phục lầy lội 2 tuyến đường hạ tầng từ đường liên 5 xã đi trung tâm huyện lỵ mới Quảng Trạch</t>
  </si>
  <si>
    <t>Nâng cấp mở rộng tuyến đường nối từ đường Hồ Chí Minh đến khu hạ tầng di tích lịch sử cấp Quốc gia Hang Lèn Hà, xã Thanh Hóa, huyện Tuyên Hóa</t>
  </si>
  <si>
    <t>DA CHƯA CÓ TRONG KH ĐTC TRUNG HẠN (Bổ sung năm 2020 tại VB 2877/KHĐT-TH)</t>
  </si>
  <si>
    <t>Kiên cố hóa đường bê tông nam thôn Vĩnh Lộc, xã Quảng Lộc</t>
  </si>
  <si>
    <t>Đường bê tông thôn Vĩnh Phước Nam xã Quảng Lộc</t>
  </si>
  <si>
    <t>Đường vượt lũ thôn Hà Sơn xã Quảng Sơn</t>
  </si>
  <si>
    <t>Tuyến đường giao thông liên xã từ xã Quảng Sơn đi xã Quảng Minh</t>
  </si>
  <si>
    <t>Sửa chữa nâng cấp đường GTNT Bắc Minh Lệ xã Quảng Minh</t>
  </si>
  <si>
    <t>Kè chống xói lở thôn Vĩnh Phước, xã Quảng Lộc</t>
  </si>
  <si>
    <t>Tuyến đường chống ngập lụt và CHCN xã Quảng Hải</t>
  </si>
  <si>
    <t>Tuyến đường vào bản Rào Con, xã Sơn Trạch</t>
  </si>
  <si>
    <t>Cải tạo, nâng cấp hệ thống điện chiếu sáng bằng đèn LED dọc theo đường QL1A đoạn từ cổng chào phía Bắc thành phố đến Cầu Nhật Lệ 2 và nâng cấp, chỉnh trang hệ thống chiếu sáng, đèn trang trí trên cầu Nhật Lệ 1</t>
  </si>
  <si>
    <t>Ngầm tràn thôn 3 Thanh Long xã Quy Hóa</t>
  </si>
  <si>
    <t>Đường tránh lũ kết hợp di dân sau hồ Rào Đá xã Trường Xuân</t>
  </si>
  <si>
    <t>Kênh tưới nước Hồ Vân Tiền</t>
  </si>
  <si>
    <t>Đường nội thôn Lý Nguyên xã Quảng Châu, huyện Quảng Trạch</t>
  </si>
  <si>
    <t>Cứng hóa đường giao thông liên thôn theo QH nông thôn mới xã Quảng Kim</t>
  </si>
  <si>
    <t>XD tuyến đường Tùng - Châu - Hợp đoạn từ thôn Lý Nguyên xã Quảng Châu đến xã Quảng Hợp</t>
  </si>
  <si>
    <t>Cầu Máng Bưởi Rỏi xã Quảng Hợp</t>
  </si>
  <si>
    <t>Xây dựng tuyến đường chống ngập lụt Cầu Lim Động Hương, thôn Minh Cầm Ngoại xã Phong Hóa</t>
  </si>
  <si>
    <t>Xây dựng trạm bơm điện Cầu Nghiêng và hệ thống kênh mương xã Văn Hóa</t>
  </si>
  <si>
    <t>Đường giao thông từ thị trấn Đồng Lê đi xã Thuận Hóa, huyện Tuyên Hóa</t>
  </si>
  <si>
    <t xml:space="preserve">Hoàn thành </t>
  </si>
  <si>
    <t xml:space="preserve">Quyết định đầu tư </t>
  </si>
  <si>
    <t>Trung tâm ứng dụng và thống kê KHCN Quảng Bình</t>
  </si>
  <si>
    <t>Sở Khoa học Công nghệ</t>
  </si>
  <si>
    <t>UBND xã Quảng Minh</t>
  </si>
  <si>
    <t>UBND xã Hồng Thủy</t>
  </si>
  <si>
    <t>UBND xã Quy Hóa</t>
  </si>
  <si>
    <t>Trường Phổ thông Dân tộc nội trú tỉnh</t>
  </si>
  <si>
    <t>Trung tâm Giáo dục thường xuyên tỉnh</t>
  </si>
  <si>
    <t xml:space="preserve"> Trường THPT Phan Đình Phùng</t>
  </si>
  <si>
    <t xml:space="preserve"> Trường THPT Phan Bội Châu</t>
  </si>
  <si>
    <t xml:space="preserve"> Trường THPT Lê Trực</t>
  </si>
  <si>
    <t>Trường THPT Quảng Ninh</t>
  </si>
  <si>
    <t>Trường THCS và THPT Hóa Tiến</t>
  </si>
  <si>
    <t>Trường THCS &amp; THPT Việt Trung</t>
  </si>
  <si>
    <t xml:space="preserve"> Trường THCS &amp; THPT Việt Trung</t>
  </si>
  <si>
    <t xml:space="preserve">Nhà lớp học 6 phòng trường Mầm non Lâm Trạch </t>
  </si>
  <si>
    <t xml:space="preserve">Nhà lớp học 6 phòng 2 tầng Trường tiểu học số 4 Sơn Trạch </t>
  </si>
  <si>
    <t xml:space="preserve">Nhà lớp học chức năng trường tiểu học xã Đức Trạch – KV2 </t>
  </si>
  <si>
    <t xml:space="preserve">Nhà lớp học 2 tầng 8 phòng Trường tiểu học số 4 Hưng Trạch </t>
  </si>
  <si>
    <t xml:space="preserve">Nhà chức năng 2 tầng 6 phòng trường THCS xã Trung Trạch </t>
  </si>
  <si>
    <t xml:space="preserve">Nhà lớp học chức năng, thư viện trường THCS xã Đồng Trạch </t>
  </si>
  <si>
    <t>Đơn vị tính: Triệu đồng</t>
  </si>
  <si>
    <t>Nội dung</t>
  </si>
  <si>
    <t>Tăng/Giảm</t>
  </si>
  <si>
    <t>*</t>
  </si>
  <si>
    <t>TỔNG NGUỒN</t>
  </si>
  <si>
    <t>Ngân sách tập trung</t>
  </si>
  <si>
    <t>Tỉnh phân bổ (60%)</t>
  </si>
  <si>
    <t>Huyện phân bổ (40%)</t>
  </si>
  <si>
    <t xml:space="preserve">Thu cấp quyền sử dụng đất </t>
  </si>
  <si>
    <t xml:space="preserve"> -</t>
  </si>
  <si>
    <t>Tỉnh phân bổ</t>
  </si>
  <si>
    <t>Huyện phân bổ</t>
  </si>
  <si>
    <t>Nguồn Xổ số kiến thiết</t>
  </si>
  <si>
    <t>Nguồn khác</t>
  </si>
  <si>
    <t>PHÂN CHIA TỈNH/HUYỆN</t>
  </si>
  <si>
    <t>Nguồn vốn tỉnh phân bổ</t>
  </si>
  <si>
    <t>Nguồn vốn giao cấp huyện phân bổ</t>
  </si>
  <si>
    <t xml:space="preserve"> KH năm 2020</t>
  </si>
  <si>
    <t>Phương án phân bổ</t>
  </si>
  <si>
    <t>Tỷ trọng</t>
  </si>
  <si>
    <t>NGUỒN VỐN TỈNH PHÂN BỔ</t>
  </si>
  <si>
    <t>PHƯƠNG ÁN PHÂN BỔ</t>
  </si>
  <si>
    <t>Phân bổ các lĩnh vực theo quy định</t>
  </si>
  <si>
    <t>Lĩnh vực Khoa học - Công nghệ</t>
  </si>
  <si>
    <t>Lĩnh vực Giáo dục - Đào tạo</t>
  </si>
  <si>
    <t>Lĩnh vực Y tế</t>
  </si>
  <si>
    <t>Phân bổ các nhiệm vụ theo thứ tự ưu tiên</t>
  </si>
  <si>
    <t>Vốn đối ứng các dự án ODA</t>
  </si>
  <si>
    <t>Hỗ trợ DN theo các chính sách ưu đãi của tỉnh và hỗ trợ các dự án PPP</t>
  </si>
  <si>
    <t>Đầu tư hạ tầng KKT cửa khẩu Cha Lo và các xã thuộc khu kinh tế</t>
  </si>
  <si>
    <t>Đầu tư các công trình tại Vườn QG Phong Nha - Kẻ Bàng</t>
  </si>
  <si>
    <t>Hỗ trợ cho các DN cung cấp hàng hóa, dịch vụ công ích</t>
  </si>
  <si>
    <t>Bố trí các dự án trọng điểm của tỉnh</t>
  </si>
  <si>
    <t>Trung tâm văn hóa tỉnh</t>
  </si>
  <si>
    <t>Trụ sở làm việc Huyện ủy Quảng Trạch</t>
  </si>
  <si>
    <t>Trụ sở làm việc UBND huyện Quảng Trạch</t>
  </si>
  <si>
    <t>PHỤ LỤC 03: PHÂN BỔ VỐN CHO HUYỆN, THỊ XĂ, THÀNH PHỐ</t>
  </si>
  <si>
    <t>Huyện/Thị xã/Thành phố</t>
  </si>
  <si>
    <t>Trong đó:</t>
  </si>
  <si>
    <t>Vốn tập trung trong nước</t>
  </si>
  <si>
    <t>Vốn thu cấp quyền sử dụng đất</t>
  </si>
  <si>
    <t xml:space="preserve">TỔNG CỘNG </t>
  </si>
  <si>
    <t>Mức tối thiểu cho GD-ĐT và dạy nghề</t>
  </si>
  <si>
    <t>Mức tối thiểu cho Khoa học – công nghệ</t>
  </si>
  <si>
    <t xml:space="preserve">Thành phố Đồng Hới </t>
  </si>
  <si>
    <t>Huyện Bố Trạch</t>
  </si>
  <si>
    <t>Huyện Quảng Trạch</t>
  </si>
  <si>
    <t>Huyện Lệ Thủy</t>
  </si>
  <si>
    <t>Huyện Quảng Ninh</t>
  </si>
  <si>
    <t>Thị xã Ba Đồn</t>
  </si>
  <si>
    <t>Huyện Tuyên Hóa</t>
  </si>
  <si>
    <t xml:space="preserve">Huyện Minh Hóa </t>
  </si>
  <si>
    <t>NSTT</t>
  </si>
  <si>
    <t>XSKT</t>
  </si>
  <si>
    <t>CQSDD</t>
  </si>
  <si>
    <t>Trong đó: Nguồn XSKT (60%)</t>
  </si>
  <si>
    <t>Trong đó: Nguồn XSKT (40%)</t>
  </si>
  <si>
    <t>Năm 2016</t>
  </si>
  <si>
    <t>Năm 2017</t>
  </si>
  <si>
    <t>Năm 2018</t>
  </si>
  <si>
    <t>3871a/QĐ-UBND ngày 31/10/2018</t>
  </si>
  <si>
    <t>4004/QĐ-UBND ngày 22/10/2019</t>
  </si>
  <si>
    <t>Tổng cộng</t>
  </si>
  <si>
    <t>UBND xã Đại Trạch</t>
  </si>
  <si>
    <t>TRONG ĐÓ</t>
  </si>
  <si>
    <t>1 Đồng Hới</t>
  </si>
  <si>
    <t>CH4</t>
  </si>
  <si>
    <t>2 Bố Trạch</t>
  </si>
  <si>
    <t>đo đạc lập BDDC</t>
  </si>
  <si>
    <t>3 Quảng Trạch</t>
  </si>
  <si>
    <t>4 Lệ Thủy</t>
  </si>
  <si>
    <t>5 Quảng Ninh</t>
  </si>
  <si>
    <t>6 Ba Đồn</t>
  </si>
  <si>
    <t>7 Tuyên Hóa</t>
  </si>
  <si>
    <t>8 Minh Hóa</t>
  </si>
  <si>
    <t>Cộng</t>
  </si>
  <si>
    <t>DANH MỤC DỰ ÁN</t>
  </si>
  <si>
    <t>Địa điểm</t>
  </si>
  <si>
    <t>KH thu 2020</t>
  </si>
  <si>
    <t>Tỷ lệ CFHT</t>
  </si>
  <si>
    <t>CF Hạ tầng</t>
  </si>
  <si>
    <t>KH thu ròng 2020</t>
  </si>
  <si>
    <t>CF trích đo 10%</t>
  </si>
  <si>
    <t>Số thu 2020 phân bổ</t>
  </si>
  <si>
    <t>Trích QPT đất</t>
  </si>
  <si>
    <t>Tỷ lệ ĐF hưởng</t>
  </si>
  <si>
    <t>QPT đất hưởng</t>
  </si>
  <si>
    <t>NSĐF hưởng</t>
  </si>
  <si>
    <t>NS tỉnh hưởng</t>
  </si>
  <si>
    <t>Năm NTM</t>
  </si>
  <si>
    <t>CÁC DỰ ÁN NHÀ Ở THƯƠNG MẠI</t>
  </si>
  <si>
    <t>Dự án Khu nhà ở thương mại phía Bắc kênh Phóng Thủy, phường Đồng Phú</t>
  </si>
  <si>
    <t>Dự án Khu nhà ở thương mại phía Đông đường Phùng Hưng, phường Đồng Phú</t>
  </si>
  <si>
    <t>Dự án Khu nhà ở thương mại tại Trung tâm hành chính phường Đức Ninh Đông</t>
  </si>
  <si>
    <t>Dự án Khu nhà ở thương mại phía Đông sông Lệ Kỳ, phường Phú Hải, thành phố Đồng Hới</t>
  </si>
  <si>
    <t>Dự án Khu nhà ở thương mại phía Tây Nam đường Lý Thái Tổ, phường Bắc Nghĩa, thành phố Đồng Hới</t>
  </si>
  <si>
    <t>Khu nhà ở thương mại phía Nam đường Trần Hưng Đạo, giáp với Đài phát sóng, phát thanh Đồng Hới</t>
  </si>
  <si>
    <t>Dự án Khu nhà ở thương mại phía Tây mương Phóng Thủy, phường Bắc Lý</t>
  </si>
  <si>
    <t>Dự án khu nhà ở thương mại phía Tây Nam đường Lý Thánh Tông, đoạn từ đường F325 đến đường Trương Phúc Phấn</t>
  </si>
  <si>
    <t>Dự án Khu đô thị Nam Cầu dài</t>
  </si>
  <si>
    <t>Dự án Khu đô thị Bảo Ninh 1</t>
  </si>
  <si>
    <t>Khu đô thị Bảo Ninh 2</t>
  </si>
  <si>
    <t>Khu đô thị Bảo Ninh 3</t>
  </si>
  <si>
    <t>Tổ hợp khách sạn, trung tâm thương mại và nhà ở kết hợp kinh doanh - Dự án Movenpic Centre</t>
  </si>
  <si>
    <t>Tổ hợp khách sạn, trung tâm thương mại và nhà ở kết hợp kinh doanh tại phường Hải Đình</t>
  </si>
  <si>
    <t>Khu nhà ở thương mại xã Thanh Trạch</t>
  </si>
  <si>
    <t>Dự án khu nhà ở thương mại phía Đông Nam trung tâm huyện lỵ mới huyện Quảng Trạch</t>
  </si>
  <si>
    <t xml:space="preserve">Dự án khu nhà ở thương mại phía Tây trung tâm huyện lỵ mới huyện Quảng Trạch </t>
  </si>
  <si>
    <t>Dự án Khu nhà ở thương mại phía Đông ngoài trung tâm hành chính huyện lỵ mới Quảng Trạch</t>
  </si>
  <si>
    <t>Dự án Khu nhà ở thương mại tại vùng ruộng Nhất, thị trấn Quán Hàu</t>
  </si>
  <si>
    <t>Dự án khu nhà ở thương mại Đá Lả</t>
  </si>
  <si>
    <t>DA PTHT QUỸ ĐẤT - SỞ XÂY DỰNG</t>
  </si>
  <si>
    <t xml:space="preserve">Dự án KDC phía Tây đường Hữu Nghị </t>
  </si>
  <si>
    <t>Dự án Khu dân cư ven sông Lệ Kỳ dọc theo tuyến đường 36m, phường Đức Ninh Đông</t>
  </si>
  <si>
    <t>Ban QLDA ĐTXD công trình dân dụng và công nghiệp)</t>
  </si>
  <si>
    <t xml:space="preserve">Dự án Khu dân cư phía Nam đường lên cầu Nhật Lệ 2, xã Bảo Ninh, thành phố Đồng Hới </t>
  </si>
  <si>
    <t>Dư án Hạ tầng Kỹ thuật khu dân cư tại Trung tâm hành chính phường Đức Ninh Đông, thành phố Đồng Hới</t>
  </si>
  <si>
    <t>DA PTHT QUỸ ĐẤT - TT PT QUỸ ĐẤT</t>
  </si>
  <si>
    <t>Dự án tạo quỹ đất khu dân cư phía Đông đường Phùng Hưng, phường Đồng Phú, thành phố Đồng Hới</t>
  </si>
  <si>
    <t>Dự án Tạo quỹ đất Khu đô thị Sa Động, xã Bảo Ninh, thành phố Đồng Hới (phần điều chỉnh, bổ sung)</t>
  </si>
  <si>
    <t>Tạo quỹ đất Khu dân cư phía Đông Nam đường Lê Lợi</t>
  </si>
  <si>
    <t>Dự án Tạo quỹ đất khu dân cư phía Bắc đường Lê Lợi, phường Bắc Nghĩa, thành phố Đồng Hới</t>
  </si>
  <si>
    <t>Dự án Tạo quỹ đất khu dân cư Đức Sơn, phía Tây Bắc đường Lê Lợi</t>
  </si>
  <si>
    <t>Tạo quỹ đất Khu dân cư Đức Sơn, phía Tây Bắc đường Nguyễn Đăng Giai, xã Đức Ninh, thành phố Đồng Hới</t>
  </si>
  <si>
    <t>Tạo quỹ đất Khu dân cư phía Nam đường F325, Tổ dân phố 9, phường Bắc Lý, thành phố Đồng Hới (Đất thu hồi của Công ty Cổ phần Xuất nhập khẩu Quảng Bình</t>
  </si>
  <si>
    <t>Dự án Tạo quỹ đất Khu dân cư phía Đông đường Hà Huy Tập, Tổ dân phố 6, phường Bắc Nghĩa, thành phố Đồng Hới</t>
  </si>
  <si>
    <t>Dự án Tạo quỹ đất Khu dân cư phía Đông Nam đường Cao Thắng, xã Lộc Ninh, thành phố Đồng Hới</t>
  </si>
  <si>
    <t>DA PTHT QUỸ ĐẤT - ĐỒNG HỚI</t>
  </si>
  <si>
    <t>HTKT khu đất ở phía Tây đường 36m thôn Sa Động, Trung Bính (5,2 ha)</t>
  </si>
  <si>
    <t>HTKT khu dân cư thôn Trung Bính, xã Bảo Ninh (phía Nam TTVH xã)</t>
  </si>
  <si>
    <t>NTM 2015</t>
  </si>
  <si>
    <t>HTKT khu đất ở vùng Ồ Ồ, xã Lộc Ninh, thành phố Đồng Hới</t>
  </si>
  <si>
    <t>HTKT khu dân cư phía Đông đường Cao Thắng, xã Lộc Ninh, thành phố Đồng Hới</t>
  </si>
  <si>
    <t>NTM 2014</t>
  </si>
  <si>
    <t>Dự án HTKT khu đất ở khu vực thôn Đức Phong, xã Đức Ninh</t>
  </si>
  <si>
    <t>HTKT khu đất ở khu vực Đồng Bàu Miệu, xã Đức Ninh, thành phố Đồng Hới</t>
  </si>
  <si>
    <t>HTKT khu đất ở khu vực Đồng Bình Bổn, xã Đức Ninh, thành phố Đồng Hới</t>
  </si>
  <si>
    <t>Dự án HTKT khu đất ở xã Đức Ninh</t>
  </si>
  <si>
    <t>HTKT khu đất ở TDP 9 giai đoạn 2, Phường Bắc lý</t>
  </si>
  <si>
    <t>HTKT khu đất ở phía Đông mương Phóng Thủy phường Đồng Phú</t>
  </si>
  <si>
    <t>Dạ án HTKT đất ở khu vực Hồ Nam Lý</t>
  </si>
  <si>
    <t>DA PTHT QUỸ ĐẤT - BA ĐỒN</t>
  </si>
  <si>
    <t>Dự kiến thu tiền sử dụng đất từ các Dự án tạo quỹ đất có đầu tư hạ tầng</t>
  </si>
  <si>
    <t>Dự án: Hạ tầng kỹ thuật tạo quỹ đất ở Khu dân cư phía Nam đường Hùng Vương, thị xã Ba Đồn, tỉnh Quảng Bình (giai đoạn 1)</t>
  </si>
  <si>
    <t>Khu dân cư mới TDP Minh Lợi (khu vực 1) (chuyển tiếp 2018)</t>
  </si>
  <si>
    <t>Dự án: Phát triển quỹ đất Khu dân cư phía Đông TDP Tân Xuân, phường Quảng Phong, thị xã Ba Đồn</t>
  </si>
  <si>
    <t>Khu dân cư phía Bắc phường Quảng Long (Phường chủ đầu tư)</t>
  </si>
  <si>
    <t>Đất ở khu vực TDP Đơn Sa giai đoạn 1</t>
  </si>
  <si>
    <t>Khu dân cư và đường Lý Thường Kiệt đoạn qua phường Quảng Thuận, thị xã Ba Đồn</t>
  </si>
  <si>
    <t>Đất ở vùng Đồng Khoai thôn Vĩnh Phú (chuyển tiếp 2018)</t>
  </si>
  <si>
    <t>HT NTM 2015</t>
  </si>
  <si>
    <t>Dự án Phát triển quỹ đất tại khu dân cư phía Nam đường tỉnh lộ 559, thôn Vĩnh Phước Đông, xã Quảng lộc, thị xã Ba Đồn.</t>
  </si>
  <si>
    <t>Điểm dân cư thôn Tiên Xuân (chuyển tiếp 2018)</t>
  </si>
  <si>
    <t>QH chi tiết phân lô đất ở và sân TT xã Quảng Hải  (chuyển tiếp 2018)</t>
  </si>
  <si>
    <t>HT NTM 2017</t>
  </si>
  <si>
    <t>Đất ở tập trung vùng sân bóng thôn Bắc Sơn (chuyển tiếp 2018)</t>
  </si>
  <si>
    <t>Điều chỉnh mở rộng KDC thôn Công Hòa</t>
  </si>
  <si>
    <t>HT NTM 2018</t>
  </si>
  <si>
    <t>Điểm dân cư thôn Tân Trường (chuyển tiếp 2018)</t>
  </si>
  <si>
    <t>Đất ở thôn La Hà Nam (chuyển tiếp 2017)</t>
  </si>
  <si>
    <t>Dự kiến thu đất sạch không có đầu tư hạ tầng</t>
  </si>
  <si>
    <t>DA PTHT QUỸ ĐẤT - BỐ TRẠCH</t>
  </si>
  <si>
    <t>( Trừ  NOTM)</t>
  </si>
  <si>
    <t>Khai thác quỹ đất phát triển kết cấu hạ tầng tại khu vực Nương Trần xã Đại Trạch, huyện Bố Trạch</t>
  </si>
  <si>
    <t>Dự án Hạ tầng kỹ thuật khu dân cư khu vực Cống 10, xã Bắc Trạch, huyện Bố Trạch</t>
  </si>
  <si>
    <t>Dự án đầu tư khai thác quỹ đất phát triển kết cấu hạ tầng khu vực phía tây bắc đoạn từ cầu Hói đến ngã ba Bệnh viện Đa khoa Bố Trạch</t>
  </si>
  <si>
    <t>Dự án Hạ tầng phát triển quỹ đất ở khu vực ngã ba Hoàn Lão, huyện Bố Trạch</t>
  </si>
  <si>
    <t>Dự án khai thác quỹ đất phát triển kết cấu hạ tầng tại thôn Xuân Sơn, xã Sơn Trạch, huyện Bố Trạch.</t>
  </si>
  <si>
    <t>Dự án Khai thác quỹ đất phát triển kết cấu hạ tầng chỉnh trang đô thị tại khu vực phía nam sông Phường Bún, Thị trấn Hoàn Lão, huyện Bố Trạch</t>
  </si>
  <si>
    <t>Dự án đầu tư khai thác quỹ đất phát triển kết cấu hạ tầng khu vực Cây xăng Đồng Trạch, xã Đồng Trạch, huyện Bố Trạch</t>
  </si>
  <si>
    <t>Dự án đầu tư khai thác quỹ đất phát triển kết cậu hạ tầng khu vực Đồng Bún xã Lý Trạch</t>
  </si>
  <si>
    <t>Dự án đầu tư khai thác quỹ đất phát triển kết cậu hạ tầng khu vực phía bắc Tỉnh lộ 561, đoạn từ Tỉnh Lộ 561 đi Ban Chỉ huy quân sự huyện, Thị trấn Hoàn Lão, huyện Bố Trạch</t>
  </si>
  <si>
    <t>Dự án đầu tư khai thác quỹ đất phát triển kết cậu hạ tầng khu vực khu vực Thôn Nam Lộc, xã Vạn Trạch, huyện Bố Trạch</t>
  </si>
  <si>
    <t>Dự án đầu tư khai thác quỹ đất phát triển kết cậu hạ tầng khu vực phía nam Chợ ga Hoàn Lão TT Hoàn lão, huyện Bố Trạch</t>
  </si>
  <si>
    <t>Dự án đầu tư khai thác quỹ đất phát triển kết cậu hạ tầng khu vực khu vực phía Nam Lâm Trường Rừng Thông Bố Trạch, Thị trấn Hoàn Lão, huyện Bố Trạch</t>
  </si>
  <si>
    <t>Dự án đầu tư khai thác quỹ đất phát triển kết cậu hạ tầng khu vực khu vực Chợ Trung Trạch xã Trung Trạch, huyện Bố Trạch</t>
  </si>
  <si>
    <t>Dự án đầu tư khai thác quỹ đất phát triển kết cậu hạ tầng khu vực Xuân Sơn; Phong Nha xã Sơn Trạch</t>
  </si>
  <si>
    <t>NTM 2016</t>
  </si>
  <si>
    <t>Dự án đầu tư khai thác quỹ đất phát triển kết cậu hạ tầng khu vực thôn 3;4;5  xã Lý Trạch</t>
  </si>
  <si>
    <t>Dự án đầu tư khai thác quỹ đất phát triển kết cậu hạ tầng khu vực khu vực thôn Bàu Bàng xã Đức Trạch, Đồng Trạch, huyện Bố Trạch</t>
  </si>
  <si>
    <t>Dự án đầu tư khai thác quỹ đất phát triển kết cấu hạ tầng khu vực Phúc Tự xã Đại Trạch</t>
  </si>
  <si>
    <t>Đất lẻ xen kẻ trong khu dân cư của các xã thị trấn có diện tích nhở hơn 0,5ha</t>
  </si>
  <si>
    <t>DA PTHT QUỸ ĐẤT - LỆ THỦY</t>
  </si>
  <si>
    <t>Quy hoạch phân lô tạo quỹ đất xã Hồng Thủy, huyện Lệ Thủy, tỉnh Quảng Bình.</t>
  </si>
  <si>
    <t>Quy hoạch phân lô khu dân cư thôn Quy Hậu, xã Liên Thủy, huyện Lệ Thủy, tỉnh Quảng Bình.</t>
  </si>
  <si>
    <t>Quy hoạch phân lô đất ở dọc đường Quốc lộ 9C</t>
  </si>
  <si>
    <t>Quy hoạch phân lô khu đất ở thôn Mai Hạ, xã Xuân Thủy</t>
  </si>
  <si>
    <t>Xây dựng hạ tầng kỹ thuật tạo quỹ đất khu dân cư tại thôn Tân Ninh xã Tân Thủy.</t>
  </si>
  <si>
    <t>Quy hoạch phân lô tạo quỹ đất khu vực đất ở TDP 2A</t>
  </si>
  <si>
    <t>Quy hoạch phân lô tạo quỹ đất khu vực ở dọc đường 27m, TDP4</t>
  </si>
  <si>
    <t>Đấu giá quyền sử dụng đất thôn An Xá</t>
  </si>
  <si>
    <t>Đấu giá quyền sử dụng đất thôn 1 Thanh Mỹ</t>
  </si>
  <si>
    <t>Quy hoạch phân lô tạo quỹ đất xã An Thủy, Lệ Thủy, Quảng Bình</t>
  </si>
  <si>
    <t>Quy hoạch phân lô tạo quỹ đất xã Ngư Thủy Nam, huyện Lệ Thủy, tỉnh Quảng Bình.</t>
  </si>
  <si>
    <t>Dự án tạo Quỹ đất xã Mai Thủy</t>
  </si>
  <si>
    <t>Dự án tạo quỹ đất đường Nguyễn Tất Thành</t>
  </si>
  <si>
    <t>Tạo quỹ đất khu vực Bổn Đạo thôn Thuận Trạch xã Mỹ Thủy</t>
  </si>
  <si>
    <t>Quy hoạch phân lô  thôn Thạch Bàn, xã Phú Thủy, huyện Lệ Thủy, tỉnh Quảng Bình.</t>
  </si>
  <si>
    <t>Đất lẻ xã Hồng Thủy</t>
  </si>
  <si>
    <t>Đất lẻ xã Hoa Thủy</t>
  </si>
  <si>
    <t>Đất lẻ thôn Hoàng Giang, Xuân Lai xã Xuân Thủy</t>
  </si>
  <si>
    <t xml:space="preserve">Quy hoạch phân lô nhỏ lẻ trong khu dân cư xã Phong Thủy </t>
  </si>
  <si>
    <t>Đất lẻ xã Tân Thủy</t>
  </si>
  <si>
    <t>Đất lẻ xã Ngư Thủy Bắc</t>
  </si>
  <si>
    <t>Khu đất ở Cam liên thôn Mỹ Duyệt, xã Cam Thủy</t>
  </si>
  <si>
    <t>Đất lẻ xã Mai Thủy</t>
  </si>
  <si>
    <t>Đất lẻ trên địa bàn thị trấn Kiến Giang</t>
  </si>
  <si>
    <t>Đất lẻ xã Ngư Thủy Trung</t>
  </si>
  <si>
    <t>Đất lẻ xã Sen Thủy</t>
  </si>
  <si>
    <t>DA PTHT QUỸ ĐẤT - QUẢNG NINH</t>
  </si>
  <si>
    <t>BQL DAĐT và PTQĐ huyện làm chủ đầu tư</t>
  </si>
  <si>
    <t>Xây dựng hạ tầng kỹ thuật Khu dân cư Đồng Hang Tiểu khu 4, TT Quán Hàu</t>
  </si>
  <si>
    <t>Xây dựng hạ tầng kỹ thuật khu đô thị Dinh Mười, huyện Quảng Ninh (các lô OM44 và OM46)</t>
  </si>
  <si>
    <t>Khu dân cư thôn Tân Định, Hiển Trung, xã Hải Ninh</t>
  </si>
  <si>
    <t>Xây dựng hạ tầng kỹ thuật tạo quỹ đất xã Vĩnh Ninh</t>
  </si>
  <si>
    <t>Xây dựng hạ tầng kỹ thuật khu dân cư Bắc Ninh, xã Võ Ninh</t>
  </si>
  <si>
    <t>Xây dựng các khu đất ở và các khu thương mại dịch vụ phía bắc dự án FLC Quảng Bình (GĐ1)</t>
  </si>
  <si>
    <t>Xây dựng các khu đất ở và các khu thương mại dịch vụ phía bắc dự án FLC Quảng Bình (GĐ2)</t>
  </si>
  <si>
    <t>Các xã, thị trấn làm chủ đầu tư</t>
  </si>
  <si>
    <t>Hạ tầng kỹ thuật điểm dân cư mới tại ngõ Mụ Rượng, Màu Khe thôn Văn La, xã Lương Ninh</t>
  </si>
  <si>
    <t>Năm 2014</t>
  </si>
  <si>
    <t>Dự án tạo quỹ đất có đầu tư hạ tầng xã Duy Ninh</t>
  </si>
  <si>
    <t>Dự án khu đất ở mới Phúc Tự</t>
  </si>
  <si>
    <t>Chưa</t>
  </si>
  <si>
    <t>Khu quy hoạch phát triển đất ở thôn Cừa Thôn</t>
  </si>
  <si>
    <t>Khu quy hoạch phát triển đất ở TT Quán Hàu</t>
  </si>
  <si>
    <t>Không</t>
  </si>
  <si>
    <t>Khu quy hoạch đất ở thôn Quyết Tiến</t>
  </si>
  <si>
    <t>Năm 2015</t>
  </si>
  <si>
    <t>Khu quy hoạch đất ở thôn Áng Sơn</t>
  </si>
  <si>
    <t>Khu dân cư thôn Phú Lộc</t>
  </si>
  <si>
    <t>Đất lẻ xã Duy Ninh</t>
  </si>
  <si>
    <t>Đất lẻ xã Võ Ninh</t>
  </si>
  <si>
    <t>Đất lẻ xã Hải Ninh</t>
  </si>
  <si>
    <t>Đất lẻ ở thị trấn Quán Hàu</t>
  </si>
  <si>
    <t>Đất lẻ ở xã Hàm Ninh</t>
  </si>
  <si>
    <t>Đất ở thôn Long Đại, xã Hiền Ninh</t>
  </si>
  <si>
    <t>Đất lẻ ở xã Vạn Ninh</t>
  </si>
  <si>
    <t>Khu dân cư ven Quốc lộ 1A, xã Gia Ninh</t>
  </si>
  <si>
    <t>Đất lẻ ở các xã Xuân Ninh, An Ninh, Vĩnh Ninh, Trường Xuân</t>
  </si>
  <si>
    <t>DA PTHT QUỸ ĐẤT - QUẢNG TRẠCH</t>
  </si>
  <si>
    <t>Hạ tầng kỹ thuật khu tái định cư và tạo quỹ đất phía Tây Nam trung tâm huyện lỵ mới huyện Quảng Trạch (Giai đoạn 1)</t>
  </si>
  <si>
    <t>TT huyện lỵ</t>
  </si>
  <si>
    <t>Hạ tầng khu dân cư phía Bắc Trung tâm huyện lỵ huyện Quảng Trạch, tỉnh Quảng Bình</t>
  </si>
  <si>
    <t>Hạ tầng kỹ thuật khu dân cư phía Đông Bắc, Trung tâm huyện lỵ mới huyện Quảng Trạch, tỉnh Quảng Bình (Giai đoạn 1)</t>
  </si>
  <si>
    <t>Hạ tầng khu dân cư phía Tây tuyến đường từ thị xã Ba Đồn đi Trung tâm huyện Quảng Trạch (Giai đoạn 1)</t>
  </si>
  <si>
    <t>Hạ tầng kỹ thuật khu dân cư phía Bắc Trường THPT Nguyễn Bỉnh Khiêm (Giai đoạn 1)</t>
  </si>
  <si>
    <t>Hạ tầng kỹ thuật khu vực phía Đông Nam Trung tâm huyện lỵ Quảng Trạch (Giai đoạn 1)</t>
  </si>
  <si>
    <t>Hạ tầng kỹ thuật Khu dân cư Hóc Sao, thôn Pháp Kệ, xã Quảng Phương, huyện Quảng Trạch (Giai đoạn 1)</t>
  </si>
  <si>
    <t>Hạ tầng kỹ thuật khu dân cư Rú Côi, thôn Pháp Kệ, xã Quảng Phương (Giai đoạn 1)</t>
  </si>
  <si>
    <t xml:space="preserve">Hạ tầng kỹ thuật khu dân cư thôn Pháp Kệ xã Quảng Phương, huyện Quảng Trạch (Giai đoạn 1) </t>
  </si>
  <si>
    <t>Hạ tầng kỹ thuật khu ở mới tại thôn Đông Hưng, xã Quảng Đông, huyện Quảng Trạch (Giai đoạn 1)</t>
  </si>
  <si>
    <t>Hạ tầng kỹ thuật khu quy hoạch chi tiết Khu vực thuộc trung tâm xã tại thôn Phù Ninh xã Quảng Thanh, huyện Quảng Trạch</t>
  </si>
  <si>
    <t xml:space="preserve">Hạ tầng kỹ thuật khu quy hoạch chi tiết khu dân cư thôn Tân An xã Quảng Thanh, huyện Quảng Trạch </t>
  </si>
  <si>
    <t>Hạ tầng kỹ thuật khu Quy hoạch đất ở và đất thương mại dịch vụ tại khu vực thôn Tú Loan 1,2,3 xã Quảng Hưng (Giai đoạn 2)</t>
  </si>
  <si>
    <t>Hạ tầng kỹ thuật khu Quy hoạch khu vực thôn 1 Tú Loan xã Quảng Hưng (Giai đoạn 2)</t>
  </si>
  <si>
    <t xml:space="preserve">Hạ tầng kỹ thuật khu dân cư Đồng Kênh xã Quảng Hưng, huyện Quảng Trạch </t>
  </si>
  <si>
    <t>Hạ tầng kỹ thuật khu Quy hoạch khu dân cư thôn Hòa Bình xã Quảng Hưng, huyện Quảng Trạch (Giai đoạn 1)</t>
  </si>
  <si>
    <t>Hạ tầng kỹ thuật khu dân cư phía Tây Bắc tuyến đường từ trung tâm huyện lỵ đi xã Quảng Lưu (Giai đoạn 1)</t>
  </si>
  <si>
    <t>Hạ tầng khu dân cư phía Đông Bắc tuyến đường từ Trung tâm huyện đi xã Quảng Lưu (Giai đoạn 1)</t>
  </si>
  <si>
    <t>Hạ tầng kỹ thuật khu dân cư thôn Phù Lưu, xã Quảng Lưu, huyện Quảng Trạch (Giai đoạn 1)</t>
  </si>
  <si>
    <t>Hạ tầng kỹ thuật khu dân cư thôn Xuân Kiều và thôn Thanh Lương xã Quảng Xuân</t>
  </si>
  <si>
    <t>DA PTHT QUỸ ĐẤT - TUYÊN HÓA</t>
  </si>
  <si>
    <t>dự án Phát triển quỹ đất tại thôn Tam Đa, xã Tiến Hoá, huyện Tuyên Hoá</t>
  </si>
  <si>
    <t>Dự án phát triển quỹ đất tại thôn Liên Hóa, xã Mai Hóa, huyện Tuyên Hóa</t>
  </si>
  <si>
    <t>Dự án phát triển quỹ đất tại khu trung tâm, xã Phong Hóa, huyện Tuyên Hóa</t>
  </si>
  <si>
    <t>Dự án phát triển quỹ đất tại tiểu khu Đồng Văn, thị trấn Đồng Lê</t>
  </si>
  <si>
    <t>Dự án phát triển quỹ đất tại xã Hương Hóa</t>
  </si>
  <si>
    <t>Đất lẻ xã Kim Hóa</t>
  </si>
  <si>
    <t>Đất lẻ xã Lâm Hóa</t>
  </si>
  <si>
    <t>Đất lẻ xã Thanh Thạch</t>
  </si>
  <si>
    <t>Đất lẻ xã Cao Quảng</t>
  </si>
  <si>
    <t>Đất lẻ xã Nam Hóa</t>
  </si>
  <si>
    <t>Đất lẻ xã Sơn Hóa</t>
  </si>
  <si>
    <t>Đất lẻ xã Thạch Hóa</t>
  </si>
  <si>
    <t>Đất lẻ xã Đức Hóa</t>
  </si>
  <si>
    <t>DA PTHT QUỸ ĐẤT - MINH HÓA</t>
  </si>
  <si>
    <t>Dự án tạo, phát triển quỹ đất tại các ô 05,07,09 thị trấn Quy Đạt</t>
  </si>
  <si>
    <t>Phát triển quỹ đất khu vực Ngã Ba Pheo, xã Trung Hóa, huyện Minh Hóa</t>
  </si>
  <si>
    <t>Đất lẻ xã Hóa Hợp</t>
  </si>
  <si>
    <t>Đất lẻ xã Tân Hóa</t>
  </si>
  <si>
    <t>Đất lẻ xã Yên Hóa</t>
  </si>
  <si>
    <t>Đầu tư mua sắm trang thiết bị phòng dựng truyền hình và phục vụ công tác thông tin, truyền thông và thống kê khoa học và công nghệ</t>
  </si>
  <si>
    <t>Đầu tư tăng cường tiềm lực khoa học và công nghệ</t>
  </si>
  <si>
    <t>Trung tâm kỹ thuật đo lường thử nghiệm</t>
  </si>
  <si>
    <t>Sở Thông tin và truyền thông</t>
  </si>
  <si>
    <t>Khu nhà bán trú cho học sinh dân tộc (20 phòng) và trang thiết bị nội thất phục vụ nhu cầu bán trú cho học sinh dân tộc Trường THCS&amp;THPT Hóa Tiến</t>
  </si>
  <si>
    <t>2820/QĐ-UBND ngày 19/7/2019</t>
  </si>
  <si>
    <t>DANH MỤC P.VX ĐỀ NGHỊ BỔ SUNG</t>
  </si>
  <si>
    <t>Nhà lớp học 8 phòng 2 tầng trường Tiểu học khu vực trung tâm thôn Hợp Trung xã Quảng Hợp</t>
  </si>
  <si>
    <t>Nhà lớp học Trường THPT Lê Lợi</t>
  </si>
  <si>
    <t>Nhà lớp học 4 phòng trường mầm non Mai Hóa</t>
  </si>
  <si>
    <t>Nhà lớp học 4 phòng Trường Mầm non Quảng Lộc</t>
  </si>
  <si>
    <t>Nhà đa năng trường THPT Minh Hóa</t>
  </si>
  <si>
    <t>Nhà đa năng trường THCS&amp;THPT Trung Hóa</t>
  </si>
  <si>
    <t>Nhà đa chức năng, sân, bếp ăn và khuôn viên Trường mầm non Quảng Minh (Điểm chính)</t>
  </si>
  <si>
    <t>Nhà lớp học 6 phòng 2 tầng trường mầm non thôn Hà Tiến xã Quảng Tiến</t>
  </si>
  <si>
    <t>Nhà lớp học 2 tầng 8 phòng Trường Tiểu học Mai Thủy</t>
  </si>
  <si>
    <t>Nhà hiệu bộ, chức năng và khuôn viên Trường Tiểu học số 2 An Ninh</t>
  </si>
  <si>
    <t>Dự án không có trong KH ĐTC trung hạn (Bổ sung)</t>
  </si>
  <si>
    <t>Dự án có trong KH ĐTC trung hạn (Điều chỉnh)</t>
  </si>
  <si>
    <t>Danh mục dự án P.VX đề xuất bổ sung KCM năm 2020</t>
  </si>
  <si>
    <t>4258/QĐ-UBND ngày 31/10/2019</t>
  </si>
  <si>
    <t>Trường THPT Lê Lợi</t>
  </si>
  <si>
    <t>UBND xã Mai Hóa</t>
  </si>
  <si>
    <t>Trường THCS&amp;THPT Trung Hóa</t>
  </si>
  <si>
    <t>UBND xã Mai Thủy</t>
  </si>
  <si>
    <t>Trường Mầm non xã Phong Thủy (khu vực Đại Phong)</t>
  </si>
  <si>
    <t>4003/QĐ-UBND ngày 22/10/2019</t>
  </si>
  <si>
    <t>4006/QĐ-UBND ngày 22/10/2019</t>
  </si>
  <si>
    <t>4261/QĐ-UBND ngày 31/10/2019</t>
  </si>
  <si>
    <t>4002/QĐ-UBND ngày 22/10/2019</t>
  </si>
  <si>
    <t>3869/QĐ-UBND ngày 14/10/2019</t>
  </si>
  <si>
    <t>Khoa Dược - Bệnh viện Đa khoa huyện Quảng Ninh</t>
  </si>
  <si>
    <t>Trạm Y tế phường Ba Đồn</t>
  </si>
  <si>
    <t>Trạm Y tế xã Trung Trạch</t>
  </si>
  <si>
    <t>Xây dựng Trạm y tế 6 phòng 2 tầng xã Quảng Liên</t>
  </si>
  <si>
    <t>Trạm Y tế xã Đồng Trạch</t>
  </si>
  <si>
    <t>Trung tâm y tế huyện Quảng Trạch</t>
  </si>
  <si>
    <t>Nhà điều trị và hạ tầng kỹ thuật bệnh viện đa khoa huyện Lệ Thủy</t>
  </si>
  <si>
    <t>Bệnh viện Đa khoa huyện Quảng Ninh</t>
  </si>
  <si>
    <t>Trung tâm y tế huyện Quảng Trạch (GĐ2)</t>
  </si>
  <si>
    <t>Hội trường và Nhà làm việc UBND xã Quảng Phú</t>
  </si>
  <si>
    <t>Hạ tầng khuôn viên tổ chức hội chợ tỉnh Quảng Bình</t>
  </si>
  <si>
    <t xml:space="preserve">Hạ tầng xung quanh Nghĩa trang xã Đức Ninh, TP Đồng Hới </t>
  </si>
  <si>
    <t>3620/QĐ-UBND ngày 25/9/2019</t>
  </si>
  <si>
    <t>3403/QĐ-UBND ngày 06/9/2019</t>
  </si>
  <si>
    <t>3891/QĐ-UBND ngày 15/10/2019</t>
  </si>
  <si>
    <t>3800/QĐ-UBND ngày 07/10/2019</t>
  </si>
  <si>
    <t>3882/QĐ-UBND ngày 14/10/2019</t>
  </si>
  <si>
    <t>3954/QĐ-UBND ngày 31/10/2017</t>
  </si>
  <si>
    <t>Đã dối danh mục dự án Nhà lớp học 6 phòng 2 tầng Trường TH số 4 Sơn trạch</t>
  </si>
  <si>
    <t>Nhà lớp học 2 tầng 8 phòng trường TH Lộc Ninh</t>
  </si>
  <si>
    <t>NS tỉnh</t>
  </si>
  <si>
    <t>NS huyện, xã</t>
  </si>
  <si>
    <t>Tổng số vốn bố trí</t>
  </si>
  <si>
    <t>4231/QĐ-UBND
ngày 30/10/2019</t>
  </si>
  <si>
    <t>4230/QĐ-UBND
ngày 30/10/2019</t>
  </si>
  <si>
    <t>Dự án giáo dục THCS khu vực khó khăn nhất giai đoạn 2</t>
  </si>
  <si>
    <t>3231, 3232, 3234/QĐ-UBND ngày 11/11/2015; 3542, 3543/QĐ-UBND ngày 09/12/2015</t>
  </si>
  <si>
    <t>Dự án phát triển Giáo dục Trung học giai đoạn 2 Tỉnh Quảng Bình</t>
  </si>
  <si>
    <t>Dự án cấp nước sinh hoạt huyện Quảng Trạch GĐ 2</t>
  </si>
  <si>
    <t>1787/QĐ-UBND ngày 27/5/2019</t>
  </si>
  <si>
    <t>4439/QĐ-UBND ngày 19/12/2018</t>
  </si>
  <si>
    <t>Sở Giáo dục và Đào tạo</t>
  </si>
  <si>
    <t>Sở Công Thương</t>
  </si>
  <si>
    <t>Hệ thống thoát nước và sân đường nội bộ Trường THCS&amp;THPT Bắc Sơn, xã Thanh Hóa</t>
  </si>
  <si>
    <t>Trường THCS&amp;THPT Bắc Sơn</t>
  </si>
  <si>
    <t>Tiểu dự án Cấp điện nông thôn từ lưới điện quốc gia tỉnh Quảng Bình, giai đoạn 2018-2020-EU tài trợ</t>
  </si>
  <si>
    <t>P.ĐN đề xuất Điều chỉnh trung hạn 10,1 tỷ lên 14,404 tỷ</t>
  </si>
  <si>
    <t>P.KTĐN
đề xuất đ/c KH trung hạn từ 1,423 triệu lên 6,966 triệu</t>
  </si>
  <si>
    <t>Nhà đa năng trường THPT Lê Lợi</t>
  </si>
  <si>
    <t>Nguồn vốn đầu tư công</t>
  </si>
  <si>
    <t>Văn phòng UBND tỉnh</t>
  </si>
  <si>
    <t>DANH MỤC P.KT ĐỀ NGHỊ BỔ SUNG</t>
  </si>
  <si>
    <t>Đường cứu hộ, cứu nạn dọc sông Gianh xã Quảng Tiên</t>
  </si>
  <si>
    <t>Bê tông hóa các tuyến đường vùng Cố Bà về Bãi Nghè xã Quảng Thủy</t>
  </si>
  <si>
    <t>Nhà ở công vụ và nâng cấp khuôn viên công an huyện Lệ Thủy</t>
  </si>
  <si>
    <t>Dân dụng</t>
  </si>
  <si>
    <t>Giao thông</t>
  </si>
  <si>
    <t>UBND xã Quảng Tiên</t>
  </si>
  <si>
    <t>UBND xã Lương Ninh</t>
  </si>
  <si>
    <t>UBND xã Xuân Ninh</t>
  </si>
  <si>
    <t>Dự án Tượng đài Chủ tịch Hồ Chí Minh với nhân dân Quảng Bình (cấp tạm ứng)</t>
  </si>
  <si>
    <t>Dự án Hạ tầng Quảng trường trung tâm (cấp tạm ứng)</t>
  </si>
  <si>
    <t>2856/QĐ-UBND ngày 28/8/2018</t>
  </si>
  <si>
    <t>4742/QĐ-UBND ngày 31/12/2018</t>
  </si>
  <si>
    <t>CÒN LẠI</t>
  </si>
  <si>
    <t>Xây dựng cầu kiểm soát cửa sông Roòn</t>
  </si>
  <si>
    <t>Nhà ăn, nhà ở thường trực cán bộ chiến sỹ Công an tỉnh</t>
  </si>
  <si>
    <t>Công an tỉnh</t>
  </si>
  <si>
    <t>BCH Bộ đội BP tỉnh</t>
  </si>
  <si>
    <t>Trường Đại học Quảng Bình</t>
  </si>
  <si>
    <t>Chuẩn bị đầu tư và Quy hoạch</t>
  </si>
  <si>
    <t>Nhà lớp học 3 tầng 6 phòng chức năng trường THCS phường Quảng Thuận</t>
  </si>
  <si>
    <t>Nhà lớp học 2 tầng 8 phòng Trường Mầm non Ba Đồn</t>
  </si>
  <si>
    <t>Trường THCS Quảng Lộc (6 phòng)</t>
  </si>
  <si>
    <t>2915/QĐ-UBND
ngày 30/7/2019</t>
  </si>
  <si>
    <r>
      <t xml:space="preserve">-       </t>
    </r>
    <r>
      <rPr>
        <i/>
        <sz val="12"/>
        <rFont val="Times New Roman"/>
        <family val="1"/>
      </rPr>
      <t xml:space="preserve">Mức vốn tối thiểu cho GD-ĐT và dạy nghề </t>
    </r>
  </si>
  <si>
    <r>
      <t xml:space="preserve">-       </t>
    </r>
    <r>
      <rPr>
        <i/>
        <sz val="12"/>
        <rFont val="Times New Roman"/>
        <family val="1"/>
      </rPr>
      <t>Mức vốn tối thiểu cho KH-CN</t>
    </r>
  </si>
  <si>
    <t>4234/QĐ-UBND ngày 30/10/2019</t>
  </si>
  <si>
    <t>Nhà lớp học 6 phòng 3 tầng, Trường Mầm non xã Cảnh Dương</t>
  </si>
  <si>
    <t>Đầu tư nâng cấp, hạ tầng chính quyền điện tử tỉnh Quảng Bình năm 2020</t>
  </si>
  <si>
    <t>3447/QĐ-UBND ngày 10/9/2019</t>
  </si>
  <si>
    <t>3301/QĐ-UBND ngày 30/8/2019</t>
  </si>
  <si>
    <t>Nhà lớp học 2 tầng 6 phòng trường tiểu học Quảng Minh A (điểm trường Minh Tiến)</t>
  </si>
  <si>
    <t>PHỤ LỤC 4.1: LĨNH VỰC KHOA HỌC CÔNG NGHỆ</t>
  </si>
  <si>
    <t>PHỤ LỤC 4.2: LĨNH VỰC GIÁO DỤC VÀ ĐÀO TẠO</t>
  </si>
  <si>
    <t>PHỤ LỤC 4.3: LĨNH VỰC Y TẾ</t>
  </si>
  <si>
    <t>PHỤ LỤC 4.5: ĐỐI ỨNG CÁC DỰ ÁN ODA</t>
  </si>
  <si>
    <t>Phụ lục 4.1: Lĩnh vực Khoa học công nghệ</t>
  </si>
  <si>
    <t>Phụ lục 4.2: Lĩnh vực Giáo dục đào tạo</t>
  </si>
  <si>
    <t>Phụ lục 4.3: Lĩnh vực Y tế</t>
  </si>
  <si>
    <t>Phụ lục 4.5: Đối ứng các dự án ODA</t>
  </si>
  <si>
    <t>4221/QĐ-UBND ngày 30/10/2019</t>
  </si>
  <si>
    <t>Nhà lớp học trường THPT Phan Đình Phùng</t>
  </si>
  <si>
    <t>Nhà đa năng trường THPT Phan Bội Châu</t>
  </si>
  <si>
    <t>Nhà đa năng Trường THPT Lê Trực</t>
  </si>
  <si>
    <t>4226/QĐ-UBND
ngày 30/10/2019</t>
  </si>
  <si>
    <t>Nhà thi đấu đa năng trường THPT Trần Phú</t>
  </si>
  <si>
    <t>4127/QĐ-UBND
ngày 30/10/2019</t>
  </si>
  <si>
    <t>4196/QĐ-UBND ngày 30/10/2019</t>
  </si>
  <si>
    <t>4182/QĐ-UBND ngày 30/10/2019</t>
  </si>
  <si>
    <t>4186/QĐ-UBND ngày 30/10/2019</t>
  </si>
  <si>
    <t>3064/QĐ-UBND ngày 29/10/2014; 4885/QĐ-UBND ngày 29/12/2017</t>
  </si>
  <si>
    <t>4162/QĐ-UBND ngày 30/10/2019</t>
  </si>
  <si>
    <t>Cải tạo và nâng cấp Nhà giảng đường
A3 Trường Đại học Quảng Bình</t>
  </si>
  <si>
    <t>4157/QĐ-UBND ngày 30/10/2019</t>
  </si>
  <si>
    <t>Nhà văn hóa cộng đồng xã Tân Trạch (hỗ trợ)</t>
  </si>
  <si>
    <t>Kế hoạch năm 2020</t>
  </si>
  <si>
    <t>4102/QĐ-UBND ngày 29/10/2019</t>
  </si>
  <si>
    <t>4160/QĐ-UBND ngày 30/10/2019</t>
  </si>
  <si>
    <t>4172/QĐ-UBND ngày 30/10/2019</t>
  </si>
  <si>
    <t>4103/QĐ-UBND ngày 29/10/2019</t>
  </si>
  <si>
    <t>4104/QĐ-UBND ngày 29/10/2019</t>
  </si>
  <si>
    <t>3687/QĐ-UBND ngày 19/10/2017</t>
  </si>
  <si>
    <t>Kè chống sạt lở bờ sông xã Phong Hóa, huyện Tuyên Hóa (giai đoạn 1)</t>
  </si>
  <si>
    <t>3224/QĐ-UBND ngày 27/9/2018; 131/QĐ-UBND ngày 15/01/2019</t>
  </si>
  <si>
    <t>Tuyến đường từ thị trấn Quy Đạt đi xã Xuân Hóa, Hóa Hợp huyện Minh Hóa (giai đoạn 1)</t>
  </si>
  <si>
    <t>3830a/QĐ-UBND ngày 31/10/2018</t>
  </si>
  <si>
    <t>3816/QĐ-UBND ngày 31/10/2018</t>
  </si>
  <si>
    <t>3761/QĐ-UBND ngày 30/10/2018</t>
  </si>
  <si>
    <t>1503/QĐ-UBND ngày 04/5/2019</t>
  </si>
  <si>
    <t>4174/QĐ-UBND ngày 30/10/2019</t>
  </si>
  <si>
    <t>4170/QĐ-UBND ngày 30/10/2019</t>
  </si>
  <si>
    <t>4168/QĐ-UBND ngày 30/10/2019</t>
  </si>
  <si>
    <t>4154/QĐ-UBND ngày 30/10/2019</t>
  </si>
  <si>
    <t>4188/QĐ-UBND ngày 30/10/2019</t>
  </si>
  <si>
    <t>Cầu Sông Trước, xã Tây Trạch, huyện Bố Trạch</t>
  </si>
  <si>
    <t>Các tuyến đường GTNT xã Minh Hóa, huyện Minh Hóa</t>
  </si>
  <si>
    <t>4158/QĐ-UBND ngày 30/10/2019</t>
  </si>
  <si>
    <t>Cải tạo, nâng cấp đường giao thông đoạn từ đường Phan Đình Phùng rẽ vào Nhà máy phân loại, xử lý rác thải, sản xuất biogas và phân bón khoáng hữu cơ đến Quốc lộ 1A</t>
  </si>
  <si>
    <t>4166/QĐ-UBND ngày 30/10/2019</t>
  </si>
  <si>
    <t>4236/QĐ-UBND ngày 30/10/2019</t>
  </si>
  <si>
    <t>4176/QĐ-UBND ngày 30/10/2019</t>
  </si>
  <si>
    <t>Các dự án sử dụng lồng ghép vốn đầu tư công, dự phòng, tăng thu và các nguồn vốn hợp pháp khác</t>
  </si>
  <si>
    <t>4205/QĐ-UBND ngày 30/10/2019</t>
  </si>
  <si>
    <t>4192/QĐ-UBND ngày 30/10/2019</t>
  </si>
  <si>
    <t>4203/QĐ-UBND ngày 30/10/2019</t>
  </si>
  <si>
    <t>4190/QĐ-UBND ngày 30/10/2019</t>
  </si>
  <si>
    <t>4184/QĐ-UBND ngày 30/10/2019</t>
  </si>
  <si>
    <t>4199/QĐ-UBND ngày 30/10/2019</t>
  </si>
  <si>
    <t>4201/QĐ-UBND ngày 30/10/2019</t>
  </si>
  <si>
    <t>4299/QĐ-UBND ngày 31/10/2019</t>
  </si>
  <si>
    <t>4074/QĐ-UBND ngày 28/10/2019</t>
  </si>
  <si>
    <t>1016/QĐ-UBND
ngày 21/3/2019</t>
  </si>
  <si>
    <t>4232/QĐ-UBND ngày 30/10/2019</t>
  </si>
  <si>
    <t>4066/QĐ-UBND ngày 28/10/2019</t>
  </si>
  <si>
    <t xml:space="preserve"> Đường ngăn cản lửa và PCCC rừng phòng hộ ven biển Hải Ninh, Gia Ninh và Võ Ninh, huyện Quảng Ninh</t>
  </si>
  <si>
    <t>Các tuyến đường giao thông xã Quảng Trung, thị xã Ba Đồn</t>
  </si>
  <si>
    <t>Các tuyến đường giao thông xã Lương Ninh, huyện Quảng Ninh</t>
  </si>
  <si>
    <t>Tuyến đường từ thôn Hoàng Viễn đi xã Ngân Thủy, huyện Lệ Thủy</t>
  </si>
  <si>
    <t>Đường tránh lũ kết hợp đê bao ngăn mặn thôn Quảng Xá, xã Tân Ninh, huyện Quảng Ninh</t>
  </si>
  <si>
    <t>Đường liên thôn Xuân Dục 1-Xuân Dục 4, xã Xuân Ninh, huyện Quảng Ninh</t>
  </si>
  <si>
    <t>Đường tránh lũ thôn Xuân Hạ, xã Văn Hóa</t>
  </si>
  <si>
    <t>Cầu sông Trước, xã Tây Trạch, huyện Bố Trạch</t>
  </si>
  <si>
    <t>Đường phát triển kinh tế kết nối hạ tầng giao thông từ cầu Minh Lệ đi ga Ngân Sơn</t>
  </si>
  <si>
    <t>Đồng Hới, Bố Trạch</t>
  </si>
  <si>
    <t>Đường tránh sau khu du lịch núi Thần Đinh xã Trường Xuân, huyện Quảng Ninh</t>
  </si>
  <si>
    <t>Khắc phục khẩn cấp đường nội thị thị trấn Đồng Lê</t>
  </si>
  <si>
    <t xml:space="preserve">Tuyến đường nối từ phía Nam hồ Bàu Mây kết nối với tuyến đường liên xã Quảng Phương </t>
  </si>
  <si>
    <t>Sửa chữa, nâng cấp tuyến đường dọc bờ sông Kiến Giang đoạn từ cầu Phong Xuân đi di tích lịch sử chiến thắng Xuân Bồ, xã Xuân Thủy, huyện Lệ Thủy</t>
  </si>
  <si>
    <t>Đường giao thông liên thôn tuyến thôn Trằm Mé đi thôn Na, xã Sơn Trạch</t>
  </si>
  <si>
    <t>4143/QĐ-UBND ngày 30/10/2019</t>
  </si>
  <si>
    <t>4146/QĐ-UBND ngày 30/10/2019</t>
  </si>
  <si>
    <t>4142/QĐ-UBND ngày 30/10/2019</t>
  </si>
  <si>
    <t>4140/QĐ-UBND ngày 30/10/2019</t>
  </si>
  <si>
    <t>3609/QĐ-UBND ngày 26/10/2018</t>
  </si>
  <si>
    <t>4138/QĐ-UBND ngày 30/10/2019</t>
  </si>
  <si>
    <t>4197/QĐ-UBND ngày 30/10/2019</t>
  </si>
  <si>
    <t>4139/QĐ-UBND ngày 30/10/2019</t>
  </si>
  <si>
    <t>4145/QĐ-UBND ngày 30/10/2019</t>
  </si>
  <si>
    <t>4208/QĐ-UBND ngày 30/10/2019</t>
  </si>
  <si>
    <t>4141/QĐ-UBND ngày 30/10/2019</t>
  </si>
  <si>
    <t>4144/QĐ-UIBND ngày 30/10/2019</t>
  </si>
  <si>
    <t>4101/QĐ-UBND ngày 29/10/2019</t>
  </si>
  <si>
    <t>4100/QĐ-UBND ngày 29/10/2019</t>
  </si>
  <si>
    <t>PL4.1</t>
  </si>
  <si>
    <t>PL4.2</t>
  </si>
  <si>
    <t>PL4.3</t>
  </si>
  <si>
    <t>PL4.4</t>
  </si>
  <si>
    <t>PL4.5</t>
  </si>
  <si>
    <t>PL4.6</t>
  </si>
  <si>
    <t>PL4.7</t>
  </si>
  <si>
    <t>Trả nợ XDCB và Dự phòng</t>
  </si>
  <si>
    <t xml:space="preserve">Trả nợ XDCB và dự phòng </t>
  </si>
  <si>
    <t xml:space="preserve">PHỤ LỤC 4.4: TRẢ NỢ XÂY DỰNG CƠ BẢN VÀ DỰ PHÒNG </t>
  </si>
  <si>
    <t xml:space="preserve">Dự án Tượng đài Chủ tịch Hồ Chí Minh với nhân dân Quảng Bình </t>
  </si>
  <si>
    <t>4106/QĐ-UBND ngày 29/10/2019</t>
  </si>
  <si>
    <t>4227/QĐ-UBND ngày 30/10/2019</t>
  </si>
  <si>
    <t>4240/QĐ-UBND ngày 30/10/2019</t>
  </si>
  <si>
    <t>4056a/QĐ-UBND ngày 28/10/2019</t>
  </si>
  <si>
    <t>4149/QĐ-UBND ngày 30/10/2019</t>
  </si>
  <si>
    <t>4151/QĐ-UBND ngày 30/10/2019</t>
  </si>
  <si>
    <t>4147/QĐ-UBND ngày 30/10/2019</t>
  </si>
  <si>
    <t>4023a/QĐ-UBND ngày 24/10/2019</t>
  </si>
  <si>
    <t>3470/QĐ-UBND ngày 12/9/2019</t>
  </si>
  <si>
    <t>4234/QĐ-UBND
ngày 04/12/2018</t>
  </si>
  <si>
    <t>3791/QĐ-UBND ngày 07/10/2019</t>
  </si>
  <si>
    <t>4137/QĐ-UBND ngày 30/10/2019</t>
  </si>
  <si>
    <t>Diễn giải phương án bố trí</t>
  </si>
  <si>
    <t>Trường THPT Phan Đình Phùng</t>
  </si>
  <si>
    <t>Nhà hiệu bộ và khuôn viên Trường tiểu học Gia Ninh, xã Gia Ninh</t>
  </si>
  <si>
    <t>3132/QĐ-UBND ngày 19/9/2018</t>
  </si>
  <si>
    <t>Cầu BTCT và đường hai đầu cầu từ xã Quảng Lộc đi trung tâm cụm các xã Vùng Nam</t>
  </si>
  <si>
    <t>Đường kết hợp kè chống ngập lụt tại địa bàn xã Hồng Thủy, huyện Lệ Thủy (giai đoạn 2)</t>
  </si>
  <si>
    <t>4228/QĐ-UBND ngày 30/10/2019</t>
  </si>
  <si>
    <t>Đường kết hợp kè chống xói lở ven biển xã Cảnh Dương (giai đoạn 2)</t>
  </si>
  <si>
    <t>Tuyến đường chính Quốc lộ 12A đi vùng Nam, đoạn từ xã Quảng Lộc đi cụm trung tâm các xã vùng Nam, thị xã Ba Đồn</t>
  </si>
  <si>
    <t>Đường liên xã Thuận Hóa - Kim Hóa huyện Tuyên Hóa, tỉnh Quảng Bình</t>
  </si>
  <si>
    <t>270/QĐ-CT ngày 31/01/2013; 1701/QĐ-UBND ngày 30/6/2014; 2274/QĐ-UBND ngày 11/7/2018</t>
  </si>
  <si>
    <t>Đường liên thôn Đồng Giang - Đại Sơn, xã Đồng Hóa, huyện Tuyên Hóa</t>
  </si>
  <si>
    <t>Tuyến đường ngoài hàng rào phía Nam dự án FLC nối từ đường tránh lũ BOT đến xã Hải Ninh, huyện Quảng Ninh</t>
  </si>
  <si>
    <t>Đường liên thôn Tân Sơn - Tam Đăng, xã Sơn Hóa, huyện Tuyên Hóa</t>
  </si>
  <si>
    <t>Sửa chữa, nâng cấp hệ thống cấp nước đập Ồ Ồ, xã Vạn Ninh</t>
  </si>
  <si>
    <t>Đường GTNT xã Quảng Xuân</t>
  </si>
  <si>
    <t>Đầu tư cứng hóa đường giao thông liên tổ DP, liên phường thuộc phường Quảng Phong, TX Ba Đồn</t>
  </si>
  <si>
    <t>Bê tông hóa đường giao thông nội phường phường Quảng Phúc</t>
  </si>
  <si>
    <t>Cầu Quy Hậu, xã Liên Thủy, huyện Lệ Thủy</t>
  </si>
  <si>
    <t>Kè chống sạt lở bờ tả sông Lý Hòa, đoạn qua thôn Nam Sơn, xã Phú Trạch, huyện Bố Trạch</t>
  </si>
  <si>
    <t>Kè chống sạt lở Nam Hói Cùng, huyện Lệ Thủy</t>
  </si>
  <si>
    <t>Đường nối thôn Tân Hòa và Tân Thuận, xã Ngư Thủy Bắc</t>
  </si>
  <si>
    <t>Cống cửa ông Lao, xã Bắc Trạch</t>
  </si>
  <si>
    <t>Đường giao thông liên thôn xã Nam Hóa, huyện Tuyên Hóa</t>
  </si>
  <si>
    <t>Các tuyến đường La Hà Nam đi La Hà Đông và tuyến đường La Hà Nam đi Văn Phú, xã Quảng Văn</t>
  </si>
  <si>
    <t>Kè chống sạt lở Hói Miệu, huyện Lệ Thủy</t>
  </si>
  <si>
    <t>Đường từ thôn Quy Hậu đi Quốc lộ 1A xã Liên Thủy</t>
  </si>
  <si>
    <t>Đường giao thông nông thôn khu vực Phúc Đồng, Phúc Khê, Thanh Sơn, Chày Lập xã Phúc Trạch</t>
  </si>
  <si>
    <t>Xây dựng kè chống sạt lở hói Xuân Hồi- Đông Thành xã Liên Thủy, huyện Lệ Thủy</t>
  </si>
  <si>
    <t>Xây dựng Kè chống sạt lở hói Xuân Hồi- Đông Thành xã Liên Thủy, huyện Lệ Thủy</t>
  </si>
  <si>
    <t>Tuyến kênh kết hợp đường tránh lũ thôn Thượng Thôn, xã Quảng Trung, TX Ba Đồn (giai đoạn 1: 5.899 triệu đồng)</t>
  </si>
  <si>
    <t>Khắc phục khẩn cấp tuyến đường giao thông liên tổ dân phố phường Quảng Phong, thị xã Ba Đồn</t>
  </si>
  <si>
    <t>Trường tiểu học Vạn Ninh (cơ sở 2) - Hạng mục nhà lớp học 8 phòng 2 tầng</t>
  </si>
  <si>
    <t>Nhà lớp học, chức năng 2 tầng 4 phòng trường mầm non An Ninh (điểm trường thôn Kim Nại)</t>
  </si>
  <si>
    <t>Nhà lớp học bộ môn 2 tầng 8 phòng học  Trường THCS xã Võ Ninh</t>
  </si>
  <si>
    <t>4181/QĐ-UBND
ngày 30/10/2019</t>
  </si>
  <si>
    <t>Nhà đa năng trường THPT Phan Đình Phùng</t>
  </si>
  <si>
    <t>Nhà lớp học chức năng kiêm thư viên, phòng truyền thống Trường THPT Nguyễn Trãi</t>
  </si>
  <si>
    <t>Huyện ủy Quảng Trạch (Văn phòng huyện ủy Quảng Trạch)</t>
  </si>
  <si>
    <t>Năm 2021</t>
  </si>
  <si>
    <t xml:space="preserve">Tỉnh </t>
  </si>
  <si>
    <t>huyện</t>
  </si>
  <si>
    <t xml:space="preserve"> KH năm 2021</t>
  </si>
  <si>
    <t>PHỤ LỤC 01: CƠ CẤU PHÂN BỔ NGUỒN VỐN ĐẦU TƯ CÔNG NĂM 2021</t>
  </si>
  <si>
    <t>PHỤ LỤC 02: PHƯƠNG ÁN PHÂN BỔ VỐN ĐẦU TƯ CÔNG NĂM 2021</t>
  </si>
  <si>
    <t>Kế hoạch
2021</t>
  </si>
  <si>
    <t>Kế hoạch năm 2021</t>
  </si>
  <si>
    <t>QĐ QT 3891 ngày 15/10/2020, giá trị 8721</t>
  </si>
  <si>
    <t>QĐ QT 4030 ngày 26/10/2020, giá trị 9135</t>
  </si>
  <si>
    <t>QĐ QT 2430 ngày 14/7/2020, giá trị 9526</t>
  </si>
  <si>
    <t>Bao gồm phần thiếu và phần TK 10%</t>
  </si>
  <si>
    <t>QĐ QT 3258 ngày 09/9/2020, giá trị 10.938</t>
  </si>
  <si>
    <t>QĐ QT 4028 ngày 26/10/2020, giá trị 11935; có đ/c vốn 2019 tại QĐ số 5081 ngày 27/12/2019</t>
  </si>
  <si>
    <t>QĐ QT 181 ngày 20/01/2020, giá trị 4.901</t>
  </si>
  <si>
    <t>QĐ QT 4029 ngày 26/10/2020, giá trị 5802</t>
  </si>
  <si>
    <t>90%TMĐT</t>
  </si>
  <si>
    <t>QĐ QT 3216 ngày 04/9/2020, giá trị 5.227</t>
  </si>
  <si>
    <t>Năm 2019 đ/c vốn tại QĐ số 5081 ngày 27/12/2019</t>
  </si>
  <si>
    <t>Năm 2019 đ/c vốn tại QĐ số 5081 ngày 27/12/2020, số 3465 ngày 11/9/2020</t>
  </si>
  <si>
    <t>QĐ QT 2002 ngày 16/6/2020, giá trị 14.852</t>
  </si>
  <si>
    <t>QĐ QT 3349 ngày 15/9/2020, giá trị 4689</t>
  </si>
  <si>
    <t>Năm 2019 đ/c vốn tại QĐ số 5081 ngày 27/12/2020</t>
  </si>
  <si>
    <t>QĐ QT 4802 ngày 10/12/2019, giá trị 2.935</t>
  </si>
  <si>
    <t>QĐ QT 4161 ngày 30/10/2020, giá trị 4919</t>
  </si>
  <si>
    <t>Triển khai thí điểm một số dịch vụ đô thị thông minh trên địa bàn tỉnh Quảng Bình</t>
  </si>
  <si>
    <t>110/NQ-HĐND ngày 8/7/2020</t>
  </si>
  <si>
    <t>Dự phòng vốn đối ứng ODA (cho các dự án đang trình Thủ tướng Phê duyệt chủ trương đầu tư: Dự án cấp nước sinh hoạt huyện Quảng Trạch)</t>
  </si>
  <si>
    <t xml:space="preserve">1769/QĐ-UBND ngày 30/5/2018 </t>
  </si>
  <si>
    <r>
      <t xml:space="preserve">221/QĐ-UBND ngày 28/1/2015; </t>
    </r>
    <r>
      <rPr>
        <sz val="10"/>
        <color rgb="FFFF0000"/>
        <rFont val="Times New Roman"/>
        <family val="1"/>
      </rPr>
      <t>2681/QĐ-UBND ngày 29/9/2015: 3473/QĐ-UBND ngày 02/10/2017</t>
    </r>
  </si>
  <si>
    <t xml:space="preserve">622/QĐ-BGTVT ngày 2/3/2016; 2949/QĐ-UBND 22/8/2017 </t>
  </si>
  <si>
    <t>Dự án đầu tư xây dựng và phát triển hệ thống cung ứng dịch vụ y tế tuyến cơ sở</t>
  </si>
  <si>
    <t>324/QĐ-TTg ngày 23/3/2019; 1119/QĐ-UBND ngày 29/3/2019</t>
  </si>
  <si>
    <t>4638/QĐ-BNN-HTQT ngày 11/9/2015</t>
  </si>
  <si>
    <t>548/QĐ-TTg ngày 21/4/2017
1757/QĐ-UBND ngày 19/5/2017
3479/QĐ-UBND ngày 13/9/2019</t>
  </si>
  <si>
    <t>`</t>
  </si>
  <si>
    <t>PHỤ LỤC 4.6: CÁC CÔNG TRÌNH TRỌNG ĐIỂM</t>
  </si>
  <si>
    <t>PHỤ LỤC 4.7: CÁC DỰ ÁN CHUYỂN TIẾP</t>
  </si>
  <si>
    <t>CÁC DỰ ÁN CHUYỂN TIẾP</t>
  </si>
  <si>
    <t>Đối ứng các dự án ODA</t>
  </si>
  <si>
    <t>Nâng cấp tuyến đường từ trung tâm huyện lỵ mới kết nối với đường trục chính liên 5 xã đi phường Ba Đồn với các xã Quảng Tiến, Quảng Lưu, Quảng Thạch</t>
  </si>
  <si>
    <t>Điều tra, cắm mốc vết lũ trận lũ lịch sử năm 2020 và lập bản đồ ngập lụt cho 04 lưu vực sông lớn trên địa bàn tỉnh Quảng Bình</t>
  </si>
  <si>
    <t>Đình chợ Trung tâm xã Mai Hóa, huyện Tuyên Hóa</t>
  </si>
  <si>
    <t>Chi cục Thủy lợi và PCLB</t>
  </si>
  <si>
    <t>Phụ lục 4.6: Các công trình trọng điểm</t>
  </si>
  <si>
    <t>Phụ lục 4.7: Các dự án chuyển tiếp</t>
  </si>
  <si>
    <t>PHỤ LỤC 04: PHÂN BỔ CHI TIẾT CÁC LĨNH VỰC KẾ HOẠCH ĐẦU TƯ CÔNG NĂM 2021</t>
  </si>
  <si>
    <t>Số vốn đã giao đến hết năm 2020</t>
  </si>
  <si>
    <t xml:space="preserve">Trường Mầm non tại bản K-Ai + K-Vàng xã Dân Hóa </t>
  </si>
  <si>
    <t>3868/QĐ-UBND ngày 30/10/2017</t>
  </si>
  <si>
    <t>- Các dự án hoàn thành năm 2020: Không bố trí vốn;
- Các dự án NS tỉnh hỗ trợ 100%: Bố trí đủ 90% TMĐT;
- Các dự án tỷ lệ 60-40: Bố trí đủ 100% NS tỉnh hỗ trợ.</t>
  </si>
  <si>
    <t>Các dự án: Bố trí đủ 90% TMĐT</t>
  </si>
  <si>
    <t>- Các dự án hoàn thành năm 2020: Không bố trí vốn;
- Các dự án hoàn thành năm 2021: i) NS tỉnh hỗ trợ 100%: Bố trí đủ 90% TMĐT, ii) Các dự án tỷ lệ 60-40: Bố trí đủ 100% NS tỉnh hỗ trợ;
- Các dự án hoàn thành năm 2022: Bố trí đủ 70% NS tỉnh</t>
  </si>
  <si>
    <t>3741/QĐ-UBND ngày 30/10/2018; 4723/QĐ-UBND ngày 04/12/2019</t>
  </si>
  <si>
    <t>3557/QĐ-UBND ngày 24/10/2018; 3918/QĐ-UBND ngày 19/10/2020</t>
  </si>
  <si>
    <t>Bố trí KH vốn theo
giá trị quyết toán</t>
  </si>
  <si>
    <t>Thực hiện phân bổ cho các dự án
sau khi hoàn thành các thủ tục đầu tư theo quy định</t>
  </si>
  <si>
    <t>Phụ lục 4.4: Trả nợ xây dựng cơ bản và dự phòng</t>
  </si>
  <si>
    <t>3590/QĐ-UBND ngày 25/10/2018; 1142/QĐ-UBND ngày 14/4/2020</t>
  </si>
  <si>
    <t>SỐ VỐN CÒN LẠI CHƯA PHÂN BỔ</t>
  </si>
  <si>
    <t>Các Dự án chuyển tiếp</t>
  </si>
  <si>
    <t>Các Dự án khởi công mới</t>
  </si>
  <si>
    <t>(Kèm theo Tờ trình số 2169/TTr-UBND ngày 25/11/2020 của UBND tỉnh)</t>
  </si>
  <si>
    <t>Bố trí các công trình trọng điểm, chuyển tiếp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</si>
</sst>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6">
    <numFmt numFmtId="41" formatCode="_-* #,##0\ _₫_-;\-* #,##0\ _₫_-;_-* &quot;-&quot;\ _₫_-;_-@_-"/>
    <numFmt numFmtId="43" formatCode="_-* #,##0.00\ _₫_-;\-* #,##0.00\ _₫_-;_-* &quot;-&quot;??\ _₫_-;_-@_-"/>
    <numFmt numFmtId="164" formatCode="&quot;£&quot;#,##0;[Red]\-&quot;£&quot;#,##0"/>
    <numFmt numFmtId="165" formatCode="&quot;£&quot;#,##0.00;\-&quot;£&quot;#,##0.00"/>
    <numFmt numFmtId="166" formatCode="_-&quot;£&quot;* #,##0_-;\-&quot;£&quot;* #,##0_-;_-&quot;£&quot;* &quot;-&quot;_-;_-@_-"/>
    <numFmt numFmtId="167" formatCode="_-* #,##0_-;\-* #,##0_-;_-* &quot;-&quot;_-;_-@_-"/>
    <numFmt numFmtId="168" formatCode="_-* #,##0.00_-;\-* #,##0.00_-;_-* &quot;-&quot;??_-;_-@_-"/>
    <numFmt numFmtId="169" formatCode="_(* #,##0.00_);_(* \(#,##0.00\);_(* &quot;-&quot;??_);_(@_)"/>
    <numFmt numFmtId="170" formatCode="#,##0\ &quot;€&quot;;\-#,##0\ &quot;€&quot;"/>
    <numFmt numFmtId="171" formatCode="#,##0\ &quot;€&quot;;[Red]\-#,##0\ &quot;€&quot;"/>
    <numFmt numFmtId="172" formatCode="_-* #,##0\ &quot;€&quot;_-;\-* #,##0\ &quot;€&quot;_-;_-* &quot;-&quot;\ &quot;€&quot;_-;_-@_-"/>
    <numFmt numFmtId="173" formatCode="_-* #,##0\ _€_-;\-* #,##0\ _€_-;_-* &quot;-&quot;\ _€_-;_-@_-"/>
    <numFmt numFmtId="174" formatCode="_-* #,##0.00\ &quot;€&quot;_-;\-* #,##0.00\ &quot;€&quot;_-;_-* &quot;-&quot;??\ &quot;€&quot;_-;_-@_-"/>
    <numFmt numFmtId="175" formatCode="_-* #,##0.00\ _€_-;\-* #,##0.00\ _€_-;_-* &quot;-&quot;??\ _€_-;_-@_-"/>
    <numFmt numFmtId="176" formatCode="_-* #,##0.00\ _V_N_D_-;\-* #,##0.00\ _V_N_D_-;_-* &quot;-&quot;??\ _V_N_D_-;_-@_-"/>
    <numFmt numFmtId="177" formatCode="0_);\(0\)"/>
    <numFmt numFmtId="178" formatCode="_-&quot;ñ&quot;* #,##0_-;\-&quot;ñ&quot;* #,##0_-;_-&quot;ñ&quot;* &quot;-&quot;_-;_-@_-"/>
    <numFmt numFmtId="179" formatCode="_(* #,##0_);_(* \(#,##0\);_(* &quot;-&quot;??_);_(@_)"/>
    <numFmt numFmtId="180" formatCode="_-* #,##0\ &quot;F&quot;_-;\-* #,##0\ &quot;F&quot;_-;_-* &quot;-&quot;\ &quot;F&quot;_-;_-@_-"/>
    <numFmt numFmtId="181" formatCode="&quot;\&quot;#,##0;[Red]&quot;\&quot;&quot;\&quot;\-#,##0"/>
    <numFmt numFmtId="182" formatCode="#,##0\ &quot;DM&quot;;\-#,##0\ &quot;DM&quot;"/>
    <numFmt numFmtId="183" formatCode="0.000%"/>
    <numFmt numFmtId="184" formatCode="#.##00"/>
    <numFmt numFmtId="185" formatCode="&quot;Rp&quot;#,##0_);[Red]\(&quot;Rp&quot;#,##0\)"/>
    <numFmt numFmtId="186" formatCode="_ * #,##0_)\ &quot;€&quot;_ ;_ * \(#,##0\)\ &quot;€&quot;_ ;_ * &quot;-&quot;_)\ &quot;€&quot;_ ;_ @_ "/>
    <numFmt numFmtId="187" formatCode="_-&quot;€&quot;* #,##0_-;\-&quot;€&quot;* #,##0_-;_-&quot;€&quot;* &quot;-&quot;_-;_-@_-"/>
    <numFmt numFmtId="188" formatCode="_-* #,##0\ _F_-;\-* #,##0\ _F_-;_-* &quot;-&quot;\ _F_-;_-@_-"/>
    <numFmt numFmtId="189" formatCode="_ * #,##0_)&quot;€&quot;_ ;_ * \(#,##0\)&quot;€&quot;_ ;_ * &quot;-&quot;_)&quot;€&quot;_ ;_ @_ "/>
    <numFmt numFmtId="190" formatCode="_-* #,##0.00\ _F_-;\-* #,##0.00\ _F_-;_-* &quot;-&quot;??\ _F_-;_-@_-"/>
    <numFmt numFmtId="191" formatCode="_ * #,##0.00_ ;_ * \-#,##0.00_ ;_ * &quot;-&quot;??_ ;_ @_ "/>
    <numFmt numFmtId="192" formatCode="_ * #,##0.00_)\ _$_ ;_ * \(#,##0.00\)\ _$_ ;_ * &quot;-&quot;??_)\ _$_ ;_ @_ "/>
    <numFmt numFmtId="193" formatCode="_ * #,##0.00_)_$_ ;_ * \(#,##0.00\)_$_ ;_ * &quot;-&quot;??_)_$_ ;_ @_ "/>
    <numFmt numFmtId="194" formatCode="_-* #,##0.00\ _ñ_-;\-* #,##0.00\ _ñ_-;_-* &quot;-&quot;??\ _ñ_-;_-@_-"/>
    <numFmt numFmtId="195" formatCode="_-* #,##0.00\ _ñ_-;_-* #,##0.00\ _ñ\-;_-* &quot;-&quot;??\ _ñ_-;_-@_-"/>
    <numFmt numFmtId="196" formatCode="_(&quot;€&quot;\ * #,##0_);_(&quot;€&quot;\ * \(#,##0\);_(&quot;€&quot;\ * &quot;-&quot;_);_(@_)"/>
    <numFmt numFmtId="197" formatCode="_-* #,##0.00000000_-;\-* #,##0.00000000_-;_-* &quot;-&quot;??_-;_-@_-"/>
    <numFmt numFmtId="198" formatCode="_-* #,##0\ &quot;ñ&quot;_-;\-* #,##0\ &quot;ñ&quot;_-;_-* &quot;-&quot;\ &quot;ñ&quot;_-;_-@_-"/>
    <numFmt numFmtId="199" formatCode="_ * #,##0_ ;_ * \-#,##0_ ;_ * &quot;-&quot;_ ;_ @_ "/>
    <numFmt numFmtId="200" formatCode="_-* #,##0\ _V_N_D_-;\-* #,##0\ _V_N_D_-;_-* &quot;-&quot;\ _V_N_D_-;_-@_-"/>
    <numFmt numFmtId="201" formatCode="_ * #,##0_)\ _$_ ;_ * \(#,##0\)\ _$_ ;_ * &quot;-&quot;_)\ _$_ ;_ @_ "/>
    <numFmt numFmtId="202" formatCode="_ * #,##0_)_$_ ;_ * \(#,##0\)_$_ ;_ * &quot;-&quot;_)_$_ ;_ @_ "/>
    <numFmt numFmtId="203" formatCode="_-* #,##0\ _$_-;\-* #,##0\ _$_-;_-* &quot;-&quot;\ _$_-;_-@_-"/>
    <numFmt numFmtId="204" formatCode="_-* #,##0\ _ñ_-;\-* #,##0\ _ñ_-;_-* &quot;-&quot;\ _ñ_-;_-@_-"/>
    <numFmt numFmtId="205" formatCode="_-* #,##0\ _ñ_-;_-* #,##0\ _ñ\-;_-* &quot;-&quot;\ _ñ_-;_-@_-"/>
    <numFmt numFmtId="206" formatCode="_ &quot;\&quot;* #,##0_ ;_ &quot;\&quot;* \-#,##0_ ;_ &quot;\&quot;* &quot;-&quot;_ ;_ @_ "/>
    <numFmt numFmtId="207" formatCode="&quot;\&quot;#,##0.00;[Red]&quot;\&quot;\-#,##0.00"/>
    <numFmt numFmtId="208" formatCode="&quot;\&quot;#,##0;[Red]&quot;\&quot;\-#,##0"/>
    <numFmt numFmtId="209" formatCode="_ * #,##0_)\ &quot;F&quot;_ ;_ * \(#,##0\)\ &quot;F&quot;_ ;_ * &quot;-&quot;_)\ &quot;F&quot;_ ;_ @_ "/>
    <numFmt numFmtId="210" formatCode="_-&quot;F&quot;* #,##0_-;\-&quot;F&quot;* #,##0_-;_-&quot;F&quot;* &quot;-&quot;_-;_-@_-"/>
    <numFmt numFmtId="211" formatCode="_ * #,##0.00_)&quot;€&quot;_ ;_ * \(#,##0.00\)&quot;€&quot;_ ;_ * &quot;-&quot;??_)&quot;€&quot;_ ;_ @_ "/>
    <numFmt numFmtId="212" formatCode="_ * #,##0.0_)_$_ ;_ * \(#,##0.0\)_$_ ;_ * &quot;-&quot;??_)_$_ ;_ @_ "/>
    <numFmt numFmtId="213" formatCode=";;"/>
    <numFmt numFmtId="214" formatCode="#,##0.0_);\(#,##0.0\)"/>
    <numFmt numFmtId="215" formatCode="_ &quot;\&quot;* #,##0.00_ ;_ &quot;\&quot;* &quot;\&quot;&quot;\&quot;&quot;\&quot;&quot;\&quot;&quot;\&quot;&quot;\&quot;&quot;\&quot;&quot;\&quot;&quot;\&quot;&quot;\&quot;&quot;\&quot;&quot;\&quot;\-#,##0.00_ ;_ &quot;\&quot;* &quot;-&quot;??_ ;_ @_ "/>
    <numFmt numFmtId="216" formatCode="0.0%"/>
    <numFmt numFmtId="217" formatCode="_ * #,##0.00_ ;_ * &quot;\&quot;&quot;\&quot;&quot;\&quot;&quot;\&quot;&quot;\&quot;&quot;\&quot;&quot;\&quot;&quot;\&quot;&quot;\&quot;&quot;\&quot;&quot;\&quot;&quot;\&quot;\-#,##0.00_ ;_ * &quot;-&quot;??_ ;_ @_ "/>
    <numFmt numFmtId="218" formatCode="&quot;€&quot;#,##0.00"/>
    <numFmt numFmtId="219" formatCode="&quot;\&quot;#,##0;&quot;\&quot;&quot;\&quot;&quot;\&quot;&quot;\&quot;&quot;\&quot;&quot;\&quot;&quot;\&quot;&quot;\&quot;&quot;\&quot;&quot;\&quot;&quot;\&quot;&quot;\&quot;&quot;\&quot;&quot;\&quot;\-#,##0"/>
    <numFmt numFmtId="220" formatCode="_ * #,##0.00_)&quot;£&quot;_ ;_ * \(#,##0.00\)&quot;£&quot;_ ;_ * &quot;-&quot;??_)&quot;£&quot;_ ;_ @_ "/>
    <numFmt numFmtId="221" formatCode="&quot;\&quot;#,##0;[Red]&quot;\&quot;&quot;\&quot;&quot;\&quot;&quot;\&quot;&quot;\&quot;&quot;\&quot;&quot;\&quot;&quot;\&quot;&quot;\&quot;&quot;\&quot;&quot;\&quot;&quot;\&quot;&quot;\&quot;&quot;\&quot;\-#,##0"/>
    <numFmt numFmtId="222" formatCode="_-&quot;€&quot;* #,##0.00_-;\-&quot;€&quot;* #,##0.00_-;_-&quot;€&quot;* &quot;-&quot;??_-;_-@_-"/>
    <numFmt numFmtId="223" formatCode="_ * #,##0_ ;_ * &quot;\&quot;&quot;\&quot;&quot;\&quot;&quot;\&quot;&quot;\&quot;&quot;\&quot;&quot;\&quot;&quot;\&quot;&quot;\&quot;&quot;\&quot;&quot;\&quot;&quot;\&quot;\-#,##0_ ;_ * &quot;-&quot;_ ;_ @_ "/>
    <numFmt numFmtId="224" formatCode="0.0%;\(0.0%\)"/>
    <numFmt numFmtId="225" formatCode="&quot;\&quot;#,##0.00;&quot;\&quot;&quot;\&quot;&quot;\&quot;&quot;\&quot;&quot;\&quot;&quot;\&quot;&quot;\&quot;&quot;\&quot;&quot;\&quot;&quot;\&quot;&quot;\&quot;&quot;\&quot;&quot;\&quot;&quot;\&quot;\-#,##0.00"/>
    <numFmt numFmtId="226" formatCode="_-* #,##0.00\ &quot;F&quot;_-;\-* #,##0.00\ &quot;F&quot;_-;_-* &quot;-&quot;??\ &quot;F&quot;_-;_-@_-"/>
    <numFmt numFmtId="227" formatCode="0.000_)"/>
    <numFmt numFmtId="228" formatCode="#,##0_)_%;\(#,##0\)_%;"/>
    <numFmt numFmtId="229" formatCode="_(* #,##0.0_);_(* \(#,##0.0\);_(* &quot;-&quot;??_);_(@_)"/>
    <numFmt numFmtId="230" formatCode="_._.* #,##0.0_)_%;_._.* \(#,##0.0\)_%"/>
    <numFmt numFmtId="231" formatCode="#,##0.0_)_%;\(#,##0.0\)_%;\ \ .0_)_%"/>
    <numFmt numFmtId="232" formatCode="_._.* #,##0.00_)_%;_._.* \(#,##0.00\)_%"/>
    <numFmt numFmtId="233" formatCode="#,##0.00_)_%;\(#,##0.00\)_%;\ \ .00_)_%"/>
    <numFmt numFmtId="234" formatCode="_._.* #,##0.000_)_%;_._.* \(#,##0.000\)_%"/>
    <numFmt numFmtId="235" formatCode="#,##0.000_)_%;\(#,##0.000\)_%;\ \ .000_)_%"/>
    <numFmt numFmtId="236" formatCode="&quot;€&quot;#,##0;[Red]\-&quot;€&quot;#,##0"/>
    <numFmt numFmtId="237" formatCode="_-* #,##0_-;\-* #,##0_-;_-* &quot;-&quot;??_-;_-@_-"/>
    <numFmt numFmtId="238" formatCode="_(* #,##0.00_);_(* \(#,##0.00\);_(* &quot;-&quot;&quot;?&quot;&quot;?&quot;_);_(@_)"/>
    <numFmt numFmtId="239" formatCode="_-* #,##0\ &quot;þ&quot;_-;\-* #,##0\ &quot;þ&quot;_-;_-* &quot;-&quot;\ &quot;þ&quot;_-;_-@_-"/>
    <numFmt numFmtId="240" formatCode="_-* #,##0.00\ _þ_-;\-* #,##0.00\ _þ_-;_-* &quot;-&quot;??\ _þ_-;_-@_-"/>
    <numFmt numFmtId="241" formatCode="_-* #,##0\ _₫_-;\-* #,##0\ _₫_-;_-* &quot;-&quot;??\ _₫_-;_-@_-"/>
    <numFmt numFmtId="242" formatCode="\t#\ ??/??"/>
    <numFmt numFmtId="243" formatCode="0.0000"/>
    <numFmt numFmtId="244" formatCode="_-* #,##0.00\ _$_-;\-* #,##0.00\ _$_-;_-* &quot;-&quot;??\ _$_-;_-@_-"/>
    <numFmt numFmtId="245" formatCode="&quot;€&quot;#,##0;\-&quot;€&quot;#,##0"/>
    <numFmt numFmtId="246" formatCode="&quot;True&quot;;&quot;True&quot;;&quot;False&quot;"/>
    <numFmt numFmtId="247" formatCode="_(* #,##0.0_);_(* \(#,##0.0\);_(* &quot;-&quot;?_);_(@_)"/>
    <numFmt numFmtId="248" formatCode="&quot;\&quot;#&quot;,&quot;##0&quot;.&quot;00;[Red]&quot;\&quot;\-#&quot;,&quot;##0&quot;.&quot;00"/>
    <numFmt numFmtId="249" formatCode="#,##0.00;[Red]#,##0.00"/>
    <numFmt numFmtId="250" formatCode="#,##0;\(#,##0\)"/>
    <numFmt numFmtId="251" formatCode="_._.* \(#,##0\)_%;_._.* #,##0_)_%;_._.* 0_)_%;_._.@_)_%"/>
    <numFmt numFmtId="252" formatCode="_._.&quot;€&quot;* \(#,##0\)_%;_._.&quot;€&quot;* #,##0_)_%;_._.&quot;€&quot;* 0_)_%;_._.@_)_%"/>
    <numFmt numFmtId="253" formatCode="* \(#,##0\);* #,##0_);&quot;-&quot;??_);@"/>
    <numFmt numFmtId="254" formatCode="_ &quot;R&quot;\ * #,##0_ ;_ &quot;R&quot;\ * \-#,##0_ ;_ &quot;R&quot;\ * &quot;-&quot;_ ;_ @_ "/>
    <numFmt numFmtId="255" formatCode="_ * #,##0.00_ ;_ * &quot;\&quot;&quot;\&quot;&quot;\&quot;&quot;\&quot;&quot;\&quot;&quot;\&quot;\-#,##0.00_ ;_ * &quot;-&quot;??_ ;_ @_ "/>
    <numFmt numFmtId="256" formatCode="&quot;€&quot;* #,##0_)_%;&quot;€&quot;* \(#,##0\)_%;&quot;€&quot;* &quot;-&quot;??_)_%;@_)_%"/>
    <numFmt numFmtId="257" formatCode="&quot;\&quot;#,##0.00;&quot;\&quot;&quot;\&quot;&quot;\&quot;&quot;\&quot;&quot;\&quot;&quot;\&quot;&quot;\&quot;&quot;\&quot;\-#,##0.00"/>
    <numFmt numFmtId="258" formatCode="_._.&quot;€&quot;* #,##0.0_)_%;_._.&quot;€&quot;* \(#,##0.0\)_%"/>
    <numFmt numFmtId="259" formatCode="&quot;€&quot;* #,##0.0_)_%;&quot;€&quot;* \(#,##0.0\)_%;&quot;€&quot;* \ .0_)_%"/>
    <numFmt numFmtId="260" formatCode="_._.&quot;€&quot;* #,##0.00_)_%;_._.&quot;€&quot;* \(#,##0.00\)_%"/>
    <numFmt numFmtId="261" formatCode="&quot;€&quot;* #,##0.00_)_%;&quot;€&quot;* \(#,##0.00\)_%;&quot;€&quot;* \ .00_)_%"/>
    <numFmt numFmtId="262" formatCode="_._.&quot;€&quot;* #,##0.000_)_%;_._.&quot;€&quot;* \(#,##0.000\)_%"/>
    <numFmt numFmtId="263" formatCode="&quot;€&quot;* #,##0.000_)_%;&quot;€&quot;* \(#,##0.000\)_%;&quot;€&quot;* \ .000_)_%"/>
    <numFmt numFmtId="264" formatCode="_ * #,##0_ ;_ * &quot;\&quot;&quot;\&quot;&quot;\&quot;&quot;\&quot;&quot;\&quot;&quot;\&quot;\-#,##0_ ;_ * &quot;-&quot;_ ;_ @_ "/>
    <numFmt numFmtId="265" formatCode="\$#,##0\ ;\(\$#,##0\)"/>
    <numFmt numFmtId="266" formatCode="&quot;€&quot;#,##0\ ;\(&quot;€&quot;#,##0\)"/>
    <numFmt numFmtId="267" formatCode="\t0.00%"/>
    <numFmt numFmtId="268" formatCode="0.000"/>
    <numFmt numFmtId="269" formatCode="* #,##0_);* \(#,##0\);&quot;-&quot;??_);@"/>
    <numFmt numFmtId="270" formatCode="\U\S\$#,##0.00;\(\U\S\$#,##0.00\)"/>
    <numFmt numFmtId="271" formatCode="_(\§\g\ #,##0_);_(\§\g\ \(#,##0\);_(\§\g\ &quot;-&quot;??_);_(@_)"/>
    <numFmt numFmtId="272" formatCode="_(\§\g\ #,##0_);_(\§\g\ \(#,##0\);_(\§\g\ &quot;-&quot;_);_(@_)"/>
    <numFmt numFmtId="273" formatCode="\§\g#,##0_);\(\§\g#,##0\)"/>
    <numFmt numFmtId="274" formatCode="_-&quot;VND&quot;* #,##0_-;\-&quot;VND&quot;* #,##0_-;_-&quot;VND&quot;* &quot;-&quot;_-;_-@_-"/>
    <numFmt numFmtId="275" formatCode="_(&quot;Rp&quot;* #,##0.00_);_(&quot;Rp&quot;* \(#,##0.00\);_(&quot;Rp&quot;* &quot;-&quot;??_);_(@_)"/>
    <numFmt numFmtId="276" formatCode="#,##0.00\ &quot;FB&quot;;[Red]\-#,##0.00\ &quot;FB&quot;"/>
    <numFmt numFmtId="277" formatCode="_-* #,##0\ _F_B_-;\-* #,##0\ _F_B_-;_-* &quot;-&quot;\ _F_B_-;_-@_-"/>
    <numFmt numFmtId="278" formatCode="_-[$€]* #,##0.00_-;\-[$€]* #,##0.00_-;_-[$€]* &quot;-&quot;??_-;_-@_-"/>
    <numFmt numFmtId="279" formatCode="_ * #,##0.00_)_d_ ;_ * \(#,##0.00\)_d_ ;_ * &quot;-&quot;??_)_d_ ;_ @_ "/>
    <numFmt numFmtId="280" formatCode="#,##0_);\-#,##0_)"/>
    <numFmt numFmtId="281" formatCode="#,###;\-#,###;&quot;&quot;;_(@_)"/>
    <numFmt numFmtId="282" formatCode="#,##0\ &quot;€&quot;_);\(#,##0\ &quot;€&quot;\)"/>
    <numFmt numFmtId="283" formatCode="#,###"/>
    <numFmt numFmtId="284" formatCode="&quot;Fr.&quot;\ #,##0.00;[Red]&quot;Fr.&quot;\ \-#,##0.00"/>
    <numFmt numFmtId="285" formatCode="_ &quot;Fr.&quot;\ * #,##0_ ;_ &quot;Fr.&quot;\ * \-#,##0_ ;_ &quot;Fr.&quot;\ * &quot;-&quot;_ ;_ @_ "/>
    <numFmt numFmtId="286" formatCode="&quot;\&quot;#,##0;[Red]\-&quot;\&quot;#,##0"/>
    <numFmt numFmtId="287" formatCode="&quot;\&quot;#,##0.00;\-&quot;\&quot;#,##0.00"/>
    <numFmt numFmtId="288" formatCode="&quot;VND&quot;#,##0_);[Red]\(&quot;VND&quot;#,##0\)"/>
    <numFmt numFmtId="289" formatCode="#,##0.00_);\-#,##0.00_)"/>
    <numFmt numFmtId="290" formatCode="0_)%;\(0\)%"/>
    <numFmt numFmtId="291" formatCode="_._._(* 0_)%;_._.* \(0\)%"/>
    <numFmt numFmtId="292" formatCode="_(0_)%;\(0\)%"/>
    <numFmt numFmtId="293" formatCode="0%_);\(0%\)"/>
    <numFmt numFmtId="294" formatCode="#,##0.000_);\(#,##0.000\)"/>
    <numFmt numFmtId="295" formatCode="_ &quot;\&quot;* #,##0_ ;_ &quot;\&quot;* &quot;\&quot;&quot;\&quot;&quot;\&quot;&quot;\&quot;&quot;\&quot;&quot;\&quot;&quot;\&quot;&quot;\&quot;&quot;\&quot;&quot;\&quot;&quot;\&quot;&quot;\&quot;&quot;\&quot;&quot;\&quot;\-#,##0_ ;_ &quot;\&quot;* &quot;-&quot;_ ;_ @_ "/>
    <numFmt numFmtId="296" formatCode="_(0.0_)%;\(0.0\)%"/>
    <numFmt numFmtId="297" formatCode="_._._(* 0.0_)%;_._.* \(0.0\)%"/>
    <numFmt numFmtId="298" formatCode="_(0.00_)%;\(0.00\)%"/>
    <numFmt numFmtId="299" formatCode="_._._(* 0.00_)%;_._.* \(0.00\)%"/>
    <numFmt numFmtId="300" formatCode="_(0.000_)%;\(0.000\)%"/>
    <numFmt numFmtId="301" formatCode="_._._(* 0.000_)%;_._.* \(0.000\)%"/>
    <numFmt numFmtId="302" formatCode="#"/>
    <numFmt numFmtId="303" formatCode="&quot;¡Ì&quot;#,##0;[Red]\-&quot;¡Ì&quot;#,##0"/>
    <numFmt numFmtId="304" formatCode="#,##0.00\ &quot;F&quot;;[Red]\-#,##0.00\ &quot;F&quot;"/>
    <numFmt numFmtId="305" formatCode="#,##0.00\ \ "/>
    <numFmt numFmtId="306" formatCode="0.00000000000E+00;\?"/>
    <numFmt numFmtId="307" formatCode="_-* ###,0&quot;.&quot;00\ _F_B_-;\-* ###,0&quot;.&quot;00\ _F_B_-;_-* &quot;-&quot;??\ _F_B_-;_-@_-"/>
    <numFmt numFmtId="308" formatCode="_ * #,##0_ ;_ * \-#,##0_ ;_ * &quot;-&quot;??_ ;_ @_ "/>
    <numFmt numFmtId="309" formatCode="0.00000"/>
    <numFmt numFmtId="310" formatCode="_(* #.##0.00_);_(* \(#.##0.00\);_(* &quot;-&quot;??_);_(@_)"/>
    <numFmt numFmtId="311" formatCode="#,##0.00\ \ \ \ "/>
    <numFmt numFmtId="312" formatCode="#,##0\ &quot;F&quot;;[Red]\-#,##0\ &quot;F&quot;"/>
    <numFmt numFmtId="313" formatCode="_ * #.##._ ;_ * \-#.##._ ;_ * &quot;-&quot;??_ ;_ @_ⴆ"/>
    <numFmt numFmtId="314" formatCode="&quot;\&quot;#,##0.00;[Red]&quot;\&quot;&quot;\&quot;&quot;\&quot;&quot;\&quot;&quot;\&quot;&quot;\&quot;&quot;\&quot;&quot;\&quot;&quot;\&quot;&quot;\&quot;&quot;\&quot;&quot;\&quot;&quot;\&quot;&quot;\&quot;\-#,##0.00"/>
    <numFmt numFmtId="315" formatCode="_ &quot;\&quot;* #,##0_ ;_ &quot;\&quot;* &quot;\&quot;&quot;\&quot;&quot;\&quot;&quot;\&quot;&quot;\&quot;&quot;\&quot;&quot;\&quot;&quot;\&quot;&quot;\&quot;&quot;\&quot;&quot;\&quot;&quot;\&quot;&quot;\&quot;\-#,##0_ ;_ &quot;\&quot;* &quot;-&quot;_ ;_ @_ "/>
    <numFmt numFmtId="316" formatCode="_-* ###,0&quot;.&quot;00_-;\-* ###,0&quot;.&quot;00_-;_-* &quot;-&quot;??_-;_-@_-"/>
    <numFmt numFmtId="317" formatCode="_-* #,##0\ _F_-;\-* #,##0\ _F_-;_-* &quot;-&quot;??\ _F_-;_-@_-"/>
    <numFmt numFmtId="318" formatCode="_-&quot;€&quot;* ###,0&quot;.&quot;00_-;\-&quot;€&quot;* ###,0&quot;.&quot;00_-;_-&quot;€&quot;* &quot;-&quot;??_-;_-@_-"/>
    <numFmt numFmtId="319" formatCode="#,##0.00\ &quot;F&quot;;\-#,##0.00\ &quot;F&quot;"/>
    <numFmt numFmtId="320" formatCode="_-* #,##0\ &quot;DM&quot;_-;\-* #,##0\ &quot;DM&quot;_-;_-* &quot;-&quot;\ &quot;DM&quot;_-;_-@_-"/>
    <numFmt numFmtId="321" formatCode="_-* #,##0.00\ &quot;DM&quot;_-;\-* #,##0.00\ &quot;DM&quot;_-;_-* &quot;-&quot;??\ &quot;DM&quot;_-;_-@_-"/>
    <numFmt numFmtId="322" formatCode="yyyy"/>
    <numFmt numFmtId="323" formatCode="#,##0\ _."/>
    <numFmt numFmtId="324" formatCode="_(* #,##0_);_(* \(#,##0\);_(* &quot;-&quot;_);_(@_)"/>
    <numFmt numFmtId="325" formatCode="_(* #.0.;_(* \(#.0.;_(* &quot;-&quot;??_);_(@_ⴆ"/>
    <numFmt numFmtId="326" formatCode="_(* #,##0.000_);_(* \(#,##0.000\);_(* &quot;-&quot;??_);_(@_)"/>
    <numFmt numFmtId="327" formatCode="#,##0.0"/>
  </numFmts>
  <fonts count="305">
    <font>
      <sz val="11"/>
      <color theme="1"/>
      <name val="Calibri"/>
      <family val="2"/>
      <scheme val="minor"/>
    </font>
    <font>
      <sz val="11"/>
      <color theme="1"/>
      <name val="Calibri"/>
      <family val="2"/>
      <charset val="163"/>
      <scheme val="minor"/>
    </font>
    <font>
      <sz val="11"/>
      <color theme="1"/>
      <name val="Calibri"/>
      <family val="2"/>
      <charset val="163"/>
      <scheme val="minor"/>
    </font>
    <font>
      <sz val="10"/>
      <name val="Arial"/>
      <family val="2"/>
    </font>
    <font>
      <b/>
      <sz val="16"/>
      <name val="Times New Roman"/>
      <family val="1"/>
    </font>
    <font>
      <sz val="11"/>
      <color theme="1"/>
      <name val="Calibri"/>
      <family val="2"/>
      <scheme val="minor"/>
    </font>
    <font>
      <sz val="14"/>
      <color indexed="8"/>
      <name val="Times New Roman"/>
      <family val="2"/>
    </font>
    <font>
      <sz val="14"/>
      <color theme="1"/>
      <name val="Times New Roman"/>
      <family val="2"/>
    </font>
    <font>
      <sz val="14"/>
      <name val="Times New Roman"/>
      <family val="1"/>
    </font>
    <font>
      <i/>
      <sz val="14"/>
      <color theme="1"/>
      <name val="Times New Roman"/>
      <family val="1"/>
    </font>
    <font>
      <b/>
      <sz val="14"/>
      <color indexed="8"/>
      <name val="Times New Roman"/>
      <family val="1"/>
    </font>
    <font>
      <i/>
      <sz val="14"/>
      <color indexed="8"/>
      <name val="Times New Roman"/>
      <family val="1"/>
    </font>
    <font>
      <vertAlign val="superscript"/>
      <sz val="14"/>
      <color indexed="8"/>
      <name val="Times New Roman"/>
      <family val="1"/>
    </font>
    <font>
      <sz val="14"/>
      <color indexed="8"/>
      <name val="Times New Roman"/>
      <family val="1"/>
    </font>
    <font>
      <b/>
      <i/>
      <sz val="14"/>
      <name val="Times New Roman"/>
      <family val="1"/>
    </font>
    <font>
      <i/>
      <sz val="14"/>
      <name val="Times New Roman"/>
      <family val="1"/>
    </font>
    <font>
      <b/>
      <sz val="14"/>
      <name val="Times New Roman"/>
      <family val="1"/>
    </font>
    <font>
      <i/>
      <sz val="18"/>
      <name val="Times New Roman"/>
      <family val="1"/>
    </font>
    <font>
      <sz val="14"/>
      <color indexed="9"/>
      <name val="Times New Roman"/>
      <family val="1"/>
    </font>
    <font>
      <vertAlign val="superscript"/>
      <sz val="14"/>
      <name val="Times New Roman"/>
      <family val="1"/>
    </font>
    <font>
      <i/>
      <sz val="12"/>
      <color theme="1"/>
      <name val="Times New Roman"/>
      <family val="1"/>
    </font>
    <font>
      <b/>
      <i/>
      <sz val="18"/>
      <name val="Times New Roman"/>
      <family val="1"/>
    </font>
    <font>
      <b/>
      <sz val="18"/>
      <name val="Times New Roman"/>
      <family val="1"/>
    </font>
    <font>
      <b/>
      <vertAlign val="superscript"/>
      <sz val="18"/>
      <name val="Times New Roman"/>
      <family val="1"/>
    </font>
    <font>
      <sz val="14"/>
      <color indexed="8"/>
      <name val="Calibri"/>
      <family val="2"/>
    </font>
    <font>
      <i/>
      <sz val="12"/>
      <name val="Times New Roman"/>
      <family val="1"/>
    </font>
    <font>
      <b/>
      <i/>
      <sz val="16"/>
      <color indexed="8"/>
      <name val="Times New Roman"/>
      <family val="1"/>
    </font>
    <font>
      <sz val="16"/>
      <color indexed="8"/>
      <name val="Times New Roman"/>
      <family val="1"/>
    </font>
    <font>
      <b/>
      <sz val="16"/>
      <color indexed="8"/>
      <name val="Times New Roman"/>
      <family val="1"/>
    </font>
    <font>
      <b/>
      <vertAlign val="superscript"/>
      <sz val="16"/>
      <color indexed="8"/>
      <name val="Times New Roman"/>
      <family val="1"/>
    </font>
    <font>
      <i/>
      <sz val="16"/>
      <color indexed="8"/>
      <name val="Times New Roman"/>
      <family val="1"/>
    </font>
    <font>
      <sz val="10"/>
      <name val="Times New Roman"/>
      <family val="1"/>
    </font>
    <font>
      <b/>
      <i/>
      <sz val="16"/>
      <name val="Times New Roman"/>
      <family val="1"/>
    </font>
    <font>
      <b/>
      <vertAlign val="superscript"/>
      <sz val="16"/>
      <name val="Times New Roman"/>
      <family val="1"/>
    </font>
    <font>
      <sz val="16"/>
      <name val="Times New Roman"/>
      <family val="1"/>
    </font>
    <font>
      <i/>
      <sz val="16"/>
      <name val="Times New Roman"/>
      <family val="1"/>
    </font>
    <font>
      <sz val="16"/>
      <color indexed="9"/>
      <name val="Times New Roman"/>
      <family val="1"/>
    </font>
    <font>
      <sz val="12"/>
      <name val="Times New Roman"/>
      <family val="1"/>
    </font>
    <font>
      <sz val="12"/>
      <color indexed="9"/>
      <name val="Times New Roman"/>
      <family val="1"/>
    </font>
    <font>
      <sz val="8"/>
      <name val="Times New Roman"/>
      <family val="1"/>
    </font>
    <font>
      <b/>
      <sz val="12"/>
      <name val="Times New Roman"/>
      <family val="1"/>
    </font>
    <font>
      <sz val="11"/>
      <color indexed="8"/>
      <name val="Calibri"/>
      <family val="2"/>
    </font>
    <font>
      <b/>
      <sz val="10"/>
      <name val="Times New Roman"/>
      <family val="1"/>
    </font>
    <font>
      <b/>
      <sz val="12"/>
      <color indexed="10"/>
      <name val="Times New Roman"/>
      <family val="1"/>
    </font>
    <font>
      <b/>
      <sz val="10"/>
      <color indexed="10"/>
      <name val="Times New Roman"/>
      <family val="1"/>
    </font>
    <font>
      <sz val="12"/>
      <color indexed="10"/>
      <name val="Times New Roman"/>
      <family val="1"/>
    </font>
    <font>
      <sz val="10"/>
      <color indexed="10"/>
      <name val="Times New Roman"/>
      <family val="1"/>
    </font>
    <font>
      <sz val="12"/>
      <name val=".VnTime"/>
      <family val="2"/>
    </font>
    <font>
      <sz val="11"/>
      <color indexed="8"/>
      <name val="Helvetica Neue"/>
    </font>
    <font>
      <b/>
      <sz val="14"/>
      <color theme="1"/>
      <name val="Times New Roman"/>
      <family val="1"/>
    </font>
    <font>
      <sz val="14"/>
      <color theme="1"/>
      <name val="Times New Roman"/>
      <family val="1"/>
    </font>
    <font>
      <b/>
      <sz val="13"/>
      <color theme="1"/>
      <name val="Times New Roman"/>
      <family val="1"/>
    </font>
    <font>
      <b/>
      <i/>
      <sz val="14"/>
      <color theme="1"/>
      <name val="Times New Roman"/>
      <family val="1"/>
    </font>
    <font>
      <sz val="13"/>
      <color theme="1"/>
      <name val="Times New Roman"/>
      <family val="1"/>
    </font>
    <font>
      <b/>
      <vertAlign val="superscript"/>
      <sz val="14"/>
      <color theme="1"/>
      <name val="Times New Roman"/>
      <family val="1"/>
    </font>
    <font>
      <i/>
      <sz val="13"/>
      <color theme="1"/>
      <name val="Times New Roman"/>
      <family val="1"/>
    </font>
    <font>
      <b/>
      <sz val="13"/>
      <color rgb="FFFFFFFF"/>
      <name val="Times New Roman"/>
      <family val="1"/>
    </font>
    <font>
      <b/>
      <i/>
      <sz val="13"/>
      <color theme="1"/>
      <name val="Times New Roman"/>
      <family val="1"/>
    </font>
    <font>
      <b/>
      <i/>
      <sz val="13"/>
      <color rgb="FFFFFFFF"/>
      <name val="Times New Roman"/>
      <family val="1"/>
    </font>
    <font>
      <i/>
      <sz val="13"/>
      <color rgb="FFFFFFFF"/>
      <name val="Times New Roman"/>
      <family val="1"/>
    </font>
    <font>
      <sz val="13"/>
      <color rgb="FFFFFFFF"/>
      <name val="Times New Roman"/>
      <family val="1"/>
    </font>
    <font>
      <b/>
      <sz val="14"/>
      <color rgb="FFFFFFFF"/>
      <name val="Times New Roman"/>
      <family val="1"/>
    </font>
    <font>
      <sz val="14"/>
      <color rgb="FFFFFFFF"/>
      <name val="Times New Roman"/>
      <family val="1"/>
    </font>
    <font>
      <sz val="13"/>
      <color theme="1"/>
      <name val="Calibri"/>
      <family val="2"/>
      <charset val="163"/>
      <scheme val="minor"/>
    </font>
    <font>
      <b/>
      <sz val="16"/>
      <color theme="1"/>
      <name val="Times New Roman"/>
      <family val="1"/>
    </font>
    <font>
      <sz val="12"/>
      <name val="VNI-Times"/>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8"/>
      <name val="Arial"/>
      <family val="2"/>
    </font>
    <font>
      <sz val="11"/>
      <name val="Tms Rmn"/>
    </font>
    <font>
      <sz val="12"/>
      <color theme="1"/>
      <name val="Calibri"/>
      <family val="2"/>
      <scheme val="minor"/>
    </font>
    <font>
      <sz val="11"/>
      <name val="Times New Roman"/>
      <family val="1"/>
    </font>
    <font>
      <u val="singleAccounting"/>
      <sz val="11"/>
      <name val="Times New Roman"/>
      <family val="1"/>
    </font>
    <font>
      <sz val="11"/>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1"/>
      <color indexed="9"/>
      <name val="Calibri"/>
      <family val="2"/>
      <charset val="163"/>
    </font>
    <font>
      <sz val="10"/>
      <name val="VNI-Aptima"/>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1"/>
      <color indexed="17"/>
      <name val="Calibri"/>
      <family val="2"/>
      <charset val="163"/>
    </font>
    <font>
      <sz val="8"/>
      <name val="Arial"/>
      <family val="2"/>
    </font>
    <font>
      <b/>
      <sz val="11"/>
      <name val="Times New Roman"/>
      <family val="1"/>
    </font>
    <font>
      <sz val="12"/>
      <name val="VNTime"/>
      <family val="2"/>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2"/>
      <name val="VnTime"/>
    </font>
    <font>
      <b/>
      <sz val="12"/>
      <name val="VNI-Times"/>
    </font>
    <font>
      <sz val="11"/>
      <name val=".VnAvant"/>
      <family val="2"/>
    </font>
    <font>
      <b/>
      <sz val="13"/>
      <color indexed="8"/>
      <name val=".VnTimeH"/>
      <family val="2"/>
    </font>
    <font>
      <sz val="10"/>
      <name val="VNtimes new roman"/>
      <family val="2"/>
    </font>
    <font>
      <sz val="10"/>
      <name val="VNtimes new roman"/>
      <family val="2"/>
    </font>
    <font>
      <sz val="14"/>
      <name val="VnTime"/>
      <family val="2"/>
    </font>
    <font>
      <sz val="8"/>
      <name val=".VnTime"/>
      <family val="2"/>
    </font>
    <font>
      <b/>
      <sz val="8"/>
      <name val="VN Helvetica"/>
    </font>
    <font>
      <sz val="10"/>
      <name val="VN Helvetica"/>
    </font>
    <font>
      <sz val="9"/>
      <name val=".VnTime"/>
      <family val="2"/>
    </font>
    <font>
      <b/>
      <sz val="12"/>
      <name val=".VnTime"/>
      <family val="2"/>
    </font>
    <font>
      <b/>
      <sz val="10"/>
      <name val="VN AvantGBook"/>
    </font>
    <font>
      <b/>
      <sz val="10"/>
      <name val="VN Helvetica"/>
    </font>
    <font>
      <b/>
      <sz val="16"/>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sz val="12"/>
      <color theme="1"/>
      <name val="Times New Roman"/>
      <family val="2"/>
    </font>
    <font>
      <sz val="10"/>
      <color theme="1"/>
      <name val="Times New Roman"/>
      <family val="1"/>
    </font>
    <font>
      <i/>
      <sz val="10"/>
      <name val="Times New Roman"/>
      <family val="1"/>
    </font>
    <font>
      <b/>
      <i/>
      <sz val="10"/>
      <name val="Times New Roman"/>
      <family val="1"/>
    </font>
    <font>
      <sz val="10"/>
      <color rgb="FFFF0000"/>
      <name val="Times New Roman"/>
      <family val="1"/>
    </font>
    <font>
      <b/>
      <sz val="10"/>
      <color rgb="FFFF0000"/>
      <name val="Times New Roman"/>
      <family val="1"/>
    </font>
    <font>
      <b/>
      <i/>
      <sz val="10"/>
      <color rgb="FFFF0000"/>
      <name val="Times New Roman"/>
      <family val="1"/>
    </font>
    <font>
      <b/>
      <sz val="10"/>
      <color theme="1"/>
      <name val="Times New Roman"/>
      <family val="1"/>
    </font>
    <font>
      <sz val="10"/>
      <color rgb="FF7030A0"/>
      <name val="Times New Roman"/>
      <family val="1"/>
    </font>
    <font>
      <b/>
      <i/>
      <sz val="10"/>
      <color rgb="FF7030A0"/>
      <name val="Times New Roman"/>
      <family val="1"/>
    </font>
    <font>
      <b/>
      <i/>
      <sz val="10"/>
      <color theme="1"/>
      <name val="Times New Roman"/>
      <family val="1"/>
    </font>
    <font>
      <i/>
      <sz val="10"/>
      <color theme="1"/>
      <name val="Times New Roman"/>
      <family val="1"/>
    </font>
    <font>
      <sz val="10"/>
      <color rgb="FFC00000"/>
      <name val="Times New Roman"/>
      <family val="1"/>
    </font>
    <font>
      <sz val="12"/>
      <color rgb="FF7030A0"/>
      <name val="Times New Roman"/>
      <family val="1"/>
    </font>
    <font>
      <sz val="10"/>
      <color rgb="FF00B0F0"/>
      <name val="Times New Roman"/>
      <family val="1"/>
    </font>
    <font>
      <b/>
      <i/>
      <sz val="12"/>
      <color rgb="FFFF0000"/>
      <name val="Times New Roman"/>
      <family val="1"/>
    </font>
    <font>
      <sz val="12"/>
      <color rgb="FFFF0000"/>
      <name val="Times New Roman"/>
      <family val="1"/>
    </font>
    <font>
      <sz val="10"/>
      <color theme="0"/>
      <name val="Times New Roman"/>
      <family val="1"/>
    </font>
    <font>
      <i/>
      <sz val="10"/>
      <color rgb="FFFF0000"/>
      <name val="Times New Roman"/>
      <family val="1"/>
    </font>
    <font>
      <sz val="10"/>
      <color indexed="8"/>
      <name val="Times New Roman"/>
      <family val="1"/>
    </font>
    <font>
      <sz val="10"/>
      <color rgb="FF002060"/>
      <name val="Times New Roman"/>
      <family val="1"/>
    </font>
    <font>
      <b/>
      <i/>
      <sz val="12"/>
      <name val="Times New Roman"/>
      <family val="1"/>
    </font>
    <font>
      <b/>
      <sz val="9"/>
      <color indexed="81"/>
      <name val="Tahoma"/>
      <family val="2"/>
    </font>
    <font>
      <sz val="9"/>
      <color indexed="81"/>
      <name val="Tahoma"/>
      <family val="2"/>
    </font>
    <font>
      <b/>
      <sz val="12"/>
      <color theme="1"/>
      <name val="Times New Roman"/>
      <family val="1"/>
    </font>
    <font>
      <sz val="12"/>
      <color theme="1"/>
      <name val="Times New Roman"/>
      <family val="1"/>
    </font>
    <font>
      <b/>
      <sz val="13"/>
      <name val="Times New Roman"/>
      <family val="1"/>
    </font>
    <font>
      <b/>
      <i/>
      <sz val="13"/>
      <name val="Times New Roman"/>
      <family val="1"/>
    </font>
    <font>
      <b/>
      <sz val="10"/>
      <color rgb="FF7030A0"/>
      <name val="Times New Roman"/>
      <family val="1"/>
    </font>
    <font>
      <b/>
      <sz val="12"/>
      <color rgb="FF7030A0"/>
      <name val="Times New Roman"/>
      <family val="1"/>
    </font>
    <font>
      <sz val="12"/>
      <name val="Times New Roman"/>
      <family val="2"/>
    </font>
    <font>
      <b/>
      <i/>
      <sz val="11"/>
      <name val="Times New Roman"/>
      <family val="1"/>
    </font>
    <font>
      <b/>
      <sz val="12"/>
      <color rgb="FFFF0000"/>
      <name val="Times New Roman"/>
      <family val="1"/>
    </font>
  </fonts>
  <fills count="6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
      <patternFill patternType="solid">
        <fgColor rgb="FFFFFF00"/>
        <bgColor indexed="64"/>
      </patternFill>
    </fill>
    <fill>
      <patternFill patternType="solid">
        <fgColor rgb="FF04FC86"/>
        <bgColor indexed="64"/>
      </patternFill>
    </fill>
    <fill>
      <patternFill patternType="solid">
        <fgColor theme="5" tint="0.59999389629810485"/>
        <bgColor indexed="64"/>
      </patternFill>
    </fill>
    <fill>
      <patternFill patternType="solid">
        <fgColor rgb="FF92D05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39997558519241921"/>
        <bgColor indexed="64"/>
      </patternFill>
    </fill>
    <fill>
      <patternFill patternType="solid">
        <fgColor rgb="FF7030A0"/>
        <bgColor indexed="64"/>
      </patternFill>
    </fill>
    <fill>
      <patternFill patternType="solid">
        <fgColor rgb="FFFFC000"/>
        <bgColor indexed="64"/>
      </patternFill>
    </fill>
    <fill>
      <patternFill patternType="solid">
        <fgColor rgb="FF00B050"/>
        <bgColor indexed="64"/>
      </patternFill>
    </fill>
    <fill>
      <patternFill patternType="solid">
        <fgColor rgb="FFC00000"/>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0000"/>
        <bgColor indexed="64"/>
      </patternFill>
    </fill>
    <fill>
      <patternFill patternType="solid">
        <fgColor theme="0" tint="-0.249977111117893"/>
        <bgColor indexed="64"/>
      </patternFill>
    </fill>
  </fills>
  <borders count="6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hair">
        <color indexed="64"/>
      </left>
      <right/>
      <top/>
      <bottom/>
      <diagonal/>
    </border>
    <border>
      <left/>
      <right style="medium">
        <color indexed="8"/>
      </right>
      <top/>
      <bottom/>
      <diagonal/>
    </border>
    <border>
      <left/>
      <right style="medium">
        <color indexed="0"/>
      </right>
      <top/>
      <bottom/>
      <diagonal/>
    </border>
    <border>
      <left style="medium">
        <color indexed="9"/>
      </left>
      <right style="medium">
        <color indexed="9"/>
      </right>
      <top style="medium">
        <color indexed="9"/>
      </top>
      <bottom style="medium">
        <color indexed="9"/>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s>
  <cellStyleXfs count="4317">
    <xf numFmtId="0" fontId="0" fillId="0" borderId="0"/>
    <xf numFmtId="0" fontId="3" fillId="0" borderId="0"/>
    <xf numFmtId="0" fontId="3" fillId="0" borderId="0"/>
    <xf numFmtId="0" fontId="3" fillId="0" borderId="0"/>
    <xf numFmtId="0" fontId="41" fillId="0" borderId="0"/>
    <xf numFmtId="176" fontId="3" fillId="0" borderId="0" applyFont="0" applyFill="0" applyBorder="0" applyAlignment="0" applyProtection="0"/>
    <xf numFmtId="175" fontId="3" fillId="0" borderId="0" applyFont="0" applyFill="0" applyBorder="0" applyAlignment="0" applyProtection="0"/>
    <xf numFmtId="175" fontId="41" fillId="0" borderId="0" applyFont="0" applyFill="0" applyBorder="0" applyAlignment="0" applyProtection="0"/>
    <xf numFmtId="175" fontId="3" fillId="0" borderId="0" applyFont="0" applyFill="0" applyBorder="0" applyAlignment="0" applyProtection="0"/>
    <xf numFmtId="175" fontId="47" fillId="0" borderId="0" applyFont="0" applyFill="0" applyBorder="0" applyAlignment="0" applyProtection="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48" fillId="0" borderId="0" applyNumberFormat="0" applyFill="0" applyBorder="0" applyProtection="0">
      <alignment vertical="top"/>
    </xf>
    <xf numFmtId="0" fontId="47" fillId="0" borderId="0"/>
    <xf numFmtId="0" fontId="41" fillId="0" borderId="0"/>
    <xf numFmtId="9" fontId="3" fillId="0" borderId="0" applyFont="0" applyFill="0" applyBorder="0" applyAlignment="0" applyProtection="0"/>
    <xf numFmtId="0" fontId="2" fillId="0" borderId="0"/>
    <xf numFmtId="0" fontId="5" fillId="0" borderId="0"/>
    <xf numFmtId="0" fontId="5" fillId="0" borderId="0"/>
    <xf numFmtId="178" fontId="65"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Protection="0"/>
    <xf numFmtId="0" fontId="66" fillId="0" borderId="0"/>
    <xf numFmtId="0" fontId="66" fillId="0" borderId="0"/>
    <xf numFmtId="3" fontId="67" fillId="0" borderId="2"/>
    <xf numFmtId="3" fontId="67" fillId="0" borderId="2"/>
    <xf numFmtId="179" fontId="68" fillId="0" borderId="18" applyFont="0" applyBorder="0"/>
    <xf numFmtId="179" fontId="69" fillId="0" borderId="0" applyProtection="0"/>
    <xf numFmtId="179" fontId="70" fillId="0" borderId="18" applyFont="0" applyBorder="0"/>
    <xf numFmtId="0" fontId="71" fillId="0" borderId="0"/>
    <xf numFmtId="180" fontId="72" fillId="0" borderId="0" applyFont="0" applyFill="0" applyBorder="0" applyAlignment="0" applyProtection="0"/>
    <xf numFmtId="0" fontId="73" fillId="0" borderId="0" applyFont="0" applyFill="0" applyBorder="0" applyAlignment="0" applyProtection="0"/>
    <xf numFmtId="181" fontId="3" fillId="0" borderId="0" applyFont="0" applyFill="0" applyBorder="0" applyAlignment="0" applyProtection="0"/>
    <xf numFmtId="182" fontId="74" fillId="0" borderId="0" applyFont="0" applyFill="0" applyBorder="0" applyAlignment="0" applyProtection="0"/>
    <xf numFmtId="183" fontId="74" fillId="0" borderId="0" applyFont="0" applyFill="0" applyBorder="0" applyAlignment="0" applyProtection="0"/>
    <xf numFmtId="183" fontId="74" fillId="0" borderId="0" applyFont="0" applyFill="0" applyBorder="0" applyAlignment="0" applyProtection="0"/>
    <xf numFmtId="183" fontId="74" fillId="0" borderId="0" applyFont="0" applyFill="0" applyBorder="0" applyAlignment="0" applyProtection="0"/>
    <xf numFmtId="183" fontId="74" fillId="0" borderId="0" applyFont="0" applyFill="0" applyBorder="0" applyAlignment="0" applyProtection="0"/>
    <xf numFmtId="183" fontId="74" fillId="0" borderId="0" applyFont="0" applyFill="0" applyBorder="0" applyAlignment="0" applyProtection="0"/>
    <xf numFmtId="183" fontId="74"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75" fillId="0" borderId="0" applyFont="0" applyFill="0" applyBorder="0" applyAlignment="0" applyProtection="0"/>
    <xf numFmtId="0" fontId="76" fillId="0" borderId="19"/>
    <xf numFmtId="184" fontId="71" fillId="0" borderId="0" applyFont="0" applyFill="0" applyBorder="0" applyAlignment="0" applyProtection="0"/>
    <xf numFmtId="167" fontId="77" fillId="0" borderId="0" applyFont="0" applyFill="0" applyBorder="0" applyAlignment="0" applyProtection="0"/>
    <xf numFmtId="168" fontId="77" fillId="0" borderId="0" applyFont="0" applyFill="0" applyBorder="0" applyAlignment="0" applyProtection="0"/>
    <xf numFmtId="185" fontId="78" fillId="0" borderId="0" applyFont="0" applyFill="0" applyBorder="0" applyAlignment="0" applyProtection="0"/>
    <xf numFmtId="0" fontId="79"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Protection="0"/>
    <xf numFmtId="0" fontId="80" fillId="0" borderId="0"/>
    <xf numFmtId="0" fontId="3" fillId="0" borderId="0" applyProtection="0"/>
    <xf numFmtId="0" fontId="8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Protection="0"/>
    <xf numFmtId="0" fontId="82" fillId="0" borderId="0" applyNumberFormat="0" applyFill="0" applyBorder="0" applyProtection="0">
      <alignment vertical="center"/>
    </xf>
    <xf numFmtId="167" fontId="47" fillId="0" borderId="0" applyFont="0" applyFill="0" applyBorder="0" applyAlignment="0" applyProtection="0"/>
    <xf numFmtId="186" fontId="72" fillId="0" borderId="0" applyFont="0" applyFill="0" applyBorder="0" applyAlignment="0" applyProtection="0"/>
    <xf numFmtId="187" fontId="65" fillId="0" borderId="0" applyFont="0" applyFill="0" applyBorder="0" applyAlignment="0" applyProtection="0"/>
    <xf numFmtId="172" fontId="72" fillId="0" borderId="0" applyFon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188" fontId="47" fillId="0" borderId="0" applyFont="0" applyFill="0" applyBorder="0" applyAlignment="0" applyProtection="0"/>
    <xf numFmtId="172" fontId="72" fillId="0" borderId="0" applyFont="0" applyFill="0" applyBorder="0" applyAlignment="0" applyProtection="0"/>
    <xf numFmtId="186" fontId="72" fillId="0" borderId="0" applyFont="0" applyFill="0" applyBorder="0" applyAlignment="0" applyProtection="0"/>
    <xf numFmtId="172" fontId="72" fillId="0" borderId="0" applyFon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83" fillId="0" borderId="0"/>
    <xf numFmtId="172" fontId="72" fillId="0" borderId="0" applyFont="0" applyFill="0" applyBorder="0" applyAlignment="0" applyProtection="0"/>
    <xf numFmtId="186" fontId="72" fillId="0" borderId="0" applyFont="0" applyFill="0" applyBorder="0" applyAlignment="0" applyProtection="0"/>
    <xf numFmtId="0" fontId="83" fillId="0" borderId="0"/>
    <xf numFmtId="172" fontId="72" fillId="0" borderId="0" applyFont="0" applyFill="0" applyBorder="0" applyAlignment="0" applyProtection="0"/>
    <xf numFmtId="0" fontId="84" fillId="0" borderId="0">
      <alignment vertical="top"/>
    </xf>
    <xf numFmtId="0" fontId="85" fillId="0" borderId="0">
      <alignment vertical="top"/>
    </xf>
    <xf numFmtId="0" fontId="85" fillId="0" borderId="0">
      <alignment vertical="top"/>
    </xf>
    <xf numFmtId="0" fontId="71" fillId="0" borderId="0" applyNumberFormat="0" applyFill="0" applyBorder="0" applyAlignment="0" applyProtection="0"/>
    <xf numFmtId="180" fontId="65" fillId="0" borderId="0" applyFont="0" applyFill="0" applyBorder="0" applyAlignment="0" applyProtection="0"/>
    <xf numFmtId="0" fontId="71" fillId="0" borderId="0" applyNumberForma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89" fontId="72" fillId="0" borderId="0" applyFon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172" fontId="72" fillId="0" borderId="0" applyFont="0" applyFill="0" applyBorder="0" applyAlignment="0" applyProtection="0"/>
    <xf numFmtId="0" fontId="71" fillId="0" borderId="0" applyNumberFormat="0" applyFill="0" applyBorder="0" applyAlignment="0" applyProtection="0"/>
    <xf numFmtId="0" fontId="83" fillId="0" borderId="0"/>
    <xf numFmtId="186" fontId="72" fillId="0" borderId="0" applyFont="0" applyFill="0" applyBorder="0" applyAlignment="0" applyProtection="0"/>
    <xf numFmtId="0" fontId="83" fillId="0" borderId="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83" fillId="0" borderId="0"/>
    <xf numFmtId="172" fontId="72" fillId="0" borderId="0" applyFont="0" applyFill="0" applyBorder="0" applyAlignment="0" applyProtection="0"/>
    <xf numFmtId="172" fontId="72" fillId="0" borderId="0" applyFon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83" fillId="0" borderId="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83" fillId="0" borderId="0"/>
    <xf numFmtId="172" fontId="72" fillId="0" borderId="0" applyFont="0" applyFill="0" applyBorder="0" applyAlignment="0" applyProtection="0"/>
    <xf numFmtId="0" fontId="83" fillId="0" borderId="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83" fillId="0" borderId="0"/>
    <xf numFmtId="0" fontId="83" fillId="0" borderId="0"/>
    <xf numFmtId="0" fontId="83" fillId="0" borderId="0"/>
    <xf numFmtId="189"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172" fontId="72" fillId="0" borderId="0" applyFont="0" applyFill="0" applyBorder="0" applyAlignment="0" applyProtection="0"/>
    <xf numFmtId="189" fontId="72" fillId="0" borderId="0" applyFont="0" applyFill="0" applyBorder="0" applyAlignment="0" applyProtection="0"/>
    <xf numFmtId="187" fontId="65"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178" fontId="65" fillId="0" borderId="0" applyFont="0" applyFill="0" applyBorder="0" applyAlignment="0" applyProtection="0"/>
    <xf numFmtId="168" fontId="65" fillId="0" borderId="0" applyFont="0" applyFill="0" applyBorder="0" applyAlignment="0" applyProtection="0"/>
    <xf numFmtId="190" fontId="72" fillId="0" borderId="0" applyFont="0" applyFill="0" applyBorder="0" applyAlignment="0" applyProtection="0"/>
    <xf numFmtId="175" fontId="72" fillId="0" borderId="0" applyFont="0" applyFill="0" applyBorder="0" applyAlignment="0" applyProtection="0"/>
    <xf numFmtId="175" fontId="72" fillId="0" borderId="0" applyFont="0" applyFill="0" applyBorder="0" applyAlignment="0" applyProtection="0"/>
    <xf numFmtId="168" fontId="72" fillId="0" borderId="0" applyFont="0" applyFill="0" applyBorder="0" applyAlignment="0" applyProtection="0"/>
    <xf numFmtId="43" fontId="72" fillId="0" borderId="0" applyFont="0" applyFill="0" applyBorder="0" applyAlignment="0" applyProtection="0"/>
    <xf numFmtId="191" fontId="72" fillId="0" borderId="0" applyFont="0" applyFill="0" applyBorder="0" applyAlignment="0" applyProtection="0"/>
    <xf numFmtId="176" fontId="72" fillId="0" borderId="0" applyFont="0" applyFill="0" applyBorder="0" applyAlignment="0" applyProtection="0"/>
    <xf numFmtId="190" fontId="72" fillId="0" borderId="0" applyFont="0" applyFill="0" applyBorder="0" applyAlignment="0" applyProtection="0"/>
    <xf numFmtId="176" fontId="72" fillId="0" borderId="0" applyFont="0" applyFill="0" applyBorder="0" applyAlignment="0" applyProtection="0"/>
    <xf numFmtId="43" fontId="72" fillId="0" borderId="0" applyFont="0" applyFill="0" applyBorder="0" applyAlignment="0" applyProtection="0"/>
    <xf numFmtId="192" fontId="72" fillId="0" borderId="0" applyFont="0" applyFill="0" applyBorder="0" applyAlignment="0" applyProtection="0"/>
    <xf numFmtId="175" fontId="72" fillId="0" borderId="0" applyFont="0" applyFill="0" applyBorder="0" applyAlignment="0" applyProtection="0"/>
    <xf numFmtId="168" fontId="72" fillId="0" borderId="0" applyFont="0" applyFill="0" applyBorder="0" applyAlignment="0" applyProtection="0"/>
    <xf numFmtId="168" fontId="72" fillId="0" borderId="0" applyFont="0" applyFill="0" applyBorder="0" applyAlignment="0" applyProtection="0"/>
    <xf numFmtId="168" fontId="72" fillId="0" borderId="0" applyFont="0" applyFill="0" applyBorder="0" applyAlignment="0" applyProtection="0"/>
    <xf numFmtId="175" fontId="72" fillId="0" borderId="0" applyFont="0" applyFill="0" applyBorder="0" applyAlignment="0" applyProtection="0"/>
    <xf numFmtId="190" fontId="72" fillId="0" borderId="0" applyFont="0" applyFill="0" applyBorder="0" applyAlignment="0" applyProtection="0"/>
    <xf numFmtId="193" fontId="72" fillId="0" borderId="0" applyFont="0" applyFill="0" applyBorder="0" applyAlignment="0" applyProtection="0"/>
    <xf numFmtId="175" fontId="72" fillId="0" borderId="0" applyFont="0" applyFill="0" applyBorder="0" applyAlignment="0" applyProtection="0"/>
    <xf numFmtId="175" fontId="72" fillId="0" borderId="0" applyFont="0" applyFill="0" applyBorder="0" applyAlignment="0" applyProtection="0"/>
    <xf numFmtId="168" fontId="72" fillId="0" borderId="0" applyFont="0" applyFill="0" applyBorder="0" applyAlignment="0" applyProtection="0"/>
    <xf numFmtId="176" fontId="72" fillId="0" borderId="0" applyFont="0" applyFill="0" applyBorder="0" applyAlignment="0" applyProtection="0"/>
    <xf numFmtId="175" fontId="72" fillId="0" borderId="0" applyFont="0" applyFill="0" applyBorder="0" applyAlignment="0" applyProtection="0"/>
    <xf numFmtId="191"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168" fontId="72" fillId="0" borderId="0" applyFont="0" applyFill="0" applyBorder="0" applyAlignment="0" applyProtection="0"/>
    <xf numFmtId="43" fontId="72" fillId="0" borderId="0" applyFont="0" applyFill="0" applyBorder="0" applyAlignment="0" applyProtection="0"/>
    <xf numFmtId="190" fontId="72" fillId="0" borderId="0" applyFont="0" applyFill="0" applyBorder="0" applyAlignment="0" applyProtection="0"/>
    <xf numFmtId="0" fontId="72" fillId="0" borderId="0" applyFont="0" applyFill="0" applyBorder="0" applyAlignment="0" applyProtection="0"/>
    <xf numFmtId="168" fontId="72" fillId="0" borderId="0" applyFont="0" applyFill="0" applyBorder="0" applyAlignment="0" applyProtection="0"/>
    <xf numFmtId="168" fontId="72" fillId="0" borderId="0" applyFont="0" applyFill="0" applyBorder="0" applyAlignment="0" applyProtection="0"/>
    <xf numFmtId="168" fontId="72" fillId="0" borderId="0" applyFont="0" applyFill="0" applyBorder="0" applyAlignment="0" applyProtection="0"/>
    <xf numFmtId="192" fontId="72" fillId="0" borderId="0" applyFont="0" applyFill="0" applyBorder="0" applyAlignment="0" applyProtection="0"/>
    <xf numFmtId="190" fontId="72" fillId="0" borderId="0" applyFont="0" applyFill="0" applyBorder="0" applyAlignment="0" applyProtection="0"/>
    <xf numFmtId="190" fontId="72" fillId="0" borderId="0" applyFont="0" applyFill="0" applyBorder="0" applyAlignment="0" applyProtection="0"/>
    <xf numFmtId="190" fontId="72" fillId="0" borderId="0" applyFont="0" applyFill="0" applyBorder="0" applyAlignment="0" applyProtection="0"/>
    <xf numFmtId="193" fontId="72" fillId="0" borderId="0" applyFont="0" applyFill="0" applyBorder="0" applyAlignment="0" applyProtection="0"/>
    <xf numFmtId="190" fontId="72" fillId="0" borderId="0" applyFont="0" applyFill="0" applyBorder="0" applyAlignment="0" applyProtection="0"/>
    <xf numFmtId="190" fontId="72" fillId="0" borderId="0" applyFont="0" applyFill="0" applyBorder="0" applyAlignment="0" applyProtection="0"/>
    <xf numFmtId="190" fontId="72" fillId="0" borderId="0" applyFont="0" applyFill="0" applyBorder="0" applyAlignment="0" applyProtection="0"/>
    <xf numFmtId="190" fontId="72" fillId="0" borderId="0" applyFont="0" applyFill="0" applyBorder="0" applyAlignment="0" applyProtection="0"/>
    <xf numFmtId="190" fontId="72" fillId="0" borderId="0" applyFont="0" applyFill="0" applyBorder="0" applyAlignment="0" applyProtection="0"/>
    <xf numFmtId="190" fontId="72" fillId="0" borderId="0" applyFont="0" applyFill="0" applyBorder="0" applyAlignment="0" applyProtection="0"/>
    <xf numFmtId="190" fontId="72" fillId="0" borderId="0" applyFont="0" applyFill="0" applyBorder="0" applyAlignment="0" applyProtection="0"/>
    <xf numFmtId="190" fontId="72" fillId="0" borderId="0" applyFont="0" applyFill="0" applyBorder="0" applyAlignment="0" applyProtection="0"/>
    <xf numFmtId="190" fontId="72" fillId="0" borderId="0" applyFont="0" applyFill="0" applyBorder="0" applyAlignment="0" applyProtection="0"/>
    <xf numFmtId="43" fontId="72" fillId="0" borderId="0" applyFont="0" applyFill="0" applyBorder="0" applyAlignment="0" applyProtection="0"/>
    <xf numFmtId="168" fontId="72" fillId="0" borderId="0" applyFont="0" applyFill="0" applyBorder="0" applyAlignment="0" applyProtection="0"/>
    <xf numFmtId="175" fontId="72" fillId="0" borderId="0" applyFont="0" applyFill="0" applyBorder="0" applyAlignment="0" applyProtection="0"/>
    <xf numFmtId="175" fontId="72" fillId="0" borderId="0" applyFont="0" applyFill="0" applyBorder="0" applyAlignment="0" applyProtection="0"/>
    <xf numFmtId="168" fontId="72" fillId="0" borderId="0" applyFont="0" applyFill="0" applyBorder="0" applyAlignment="0" applyProtection="0"/>
    <xf numFmtId="175" fontId="72" fillId="0" borderId="0" applyFont="0" applyFill="0" applyBorder="0" applyAlignment="0" applyProtection="0"/>
    <xf numFmtId="190" fontId="72" fillId="0" borderId="0" applyFont="0" applyFill="0" applyBorder="0" applyAlignment="0" applyProtection="0"/>
    <xf numFmtId="168" fontId="72" fillId="0" borderId="0" applyFont="0" applyFill="0" applyBorder="0" applyAlignment="0" applyProtection="0"/>
    <xf numFmtId="175" fontId="72" fillId="0" borderId="0" applyFont="0" applyFill="0" applyBorder="0" applyAlignment="0" applyProtection="0"/>
    <xf numFmtId="190" fontId="72" fillId="0" borderId="0" applyFont="0" applyFill="0" applyBorder="0" applyAlignment="0" applyProtection="0"/>
    <xf numFmtId="175" fontId="72" fillId="0" borderId="0" applyFont="0" applyFill="0" applyBorder="0" applyAlignment="0" applyProtection="0"/>
    <xf numFmtId="193" fontId="72" fillId="0" borderId="0" applyFont="0" applyFill="0" applyBorder="0" applyAlignment="0" applyProtection="0"/>
    <xf numFmtId="168" fontId="72" fillId="0" borderId="0" applyFont="0" applyFill="0" applyBorder="0" applyAlignment="0" applyProtection="0"/>
    <xf numFmtId="43" fontId="72" fillId="0" borderId="0" applyFont="0" applyFill="0" applyBorder="0" applyAlignment="0" applyProtection="0"/>
    <xf numFmtId="193" fontId="72" fillId="0" borderId="0" applyFont="0" applyFill="0" applyBorder="0" applyAlignment="0" applyProtection="0"/>
    <xf numFmtId="192" fontId="72" fillId="0" borderId="0" applyFont="0" applyFill="0" applyBorder="0" applyAlignment="0" applyProtection="0"/>
    <xf numFmtId="175" fontId="72" fillId="0" borderId="0" applyFont="0" applyFill="0" applyBorder="0" applyAlignment="0" applyProtection="0"/>
    <xf numFmtId="190" fontId="72" fillId="0" borderId="0" applyFont="0" applyFill="0" applyBorder="0" applyAlignment="0" applyProtection="0"/>
    <xf numFmtId="190" fontId="72" fillId="0" borderId="0" applyFont="0" applyFill="0" applyBorder="0" applyAlignment="0" applyProtection="0"/>
    <xf numFmtId="175" fontId="72" fillId="0" borderId="0" applyFont="0" applyFill="0" applyBorder="0" applyAlignment="0" applyProtection="0"/>
    <xf numFmtId="193" fontId="72" fillId="0" borderId="0" applyFont="0" applyFill="0" applyBorder="0" applyAlignment="0" applyProtection="0"/>
    <xf numFmtId="168" fontId="72" fillId="0" borderId="0" applyFont="0" applyFill="0" applyBorder="0" applyAlignment="0" applyProtection="0"/>
    <xf numFmtId="176" fontId="72" fillId="0" borderId="0" applyFont="0" applyFill="0" applyBorder="0" applyAlignment="0" applyProtection="0"/>
    <xf numFmtId="176" fontId="72" fillId="0" borderId="0" applyFont="0" applyFill="0" applyBorder="0" applyAlignment="0" applyProtection="0"/>
    <xf numFmtId="190" fontId="72" fillId="0" borderId="0" applyFont="0" applyFill="0" applyBorder="0" applyAlignment="0" applyProtection="0"/>
    <xf numFmtId="176" fontId="72" fillId="0" borderId="0" applyFont="0" applyFill="0" applyBorder="0" applyAlignment="0" applyProtection="0"/>
    <xf numFmtId="190" fontId="72" fillId="0" borderId="0" applyFont="0" applyFill="0" applyBorder="0" applyAlignment="0" applyProtection="0"/>
    <xf numFmtId="175" fontId="72" fillId="0" borderId="0" applyFont="0" applyFill="0" applyBorder="0" applyAlignment="0" applyProtection="0"/>
    <xf numFmtId="194" fontId="72" fillId="0" borderId="0" applyFont="0" applyFill="0" applyBorder="0" applyAlignment="0" applyProtection="0"/>
    <xf numFmtId="195" fontId="72" fillId="0" borderId="0" applyFont="0" applyFill="0" applyBorder="0" applyAlignment="0" applyProtection="0"/>
    <xf numFmtId="193" fontId="72" fillId="0" borderId="0" applyFont="0" applyFill="0" applyBorder="0" applyAlignment="0" applyProtection="0"/>
    <xf numFmtId="175" fontId="72" fillId="0" borderId="0" applyFont="0" applyFill="0" applyBorder="0" applyAlignment="0" applyProtection="0"/>
    <xf numFmtId="175" fontId="72" fillId="0" borderId="0" applyFont="0" applyFill="0" applyBorder="0" applyAlignment="0" applyProtection="0"/>
    <xf numFmtId="175" fontId="72" fillId="0" borderId="0" applyFont="0" applyFill="0" applyBorder="0" applyAlignment="0" applyProtection="0"/>
    <xf numFmtId="175" fontId="72" fillId="0" borderId="0" applyFont="0" applyFill="0" applyBorder="0" applyAlignment="0" applyProtection="0"/>
    <xf numFmtId="190" fontId="72" fillId="0" borderId="0" applyFont="0" applyFill="0" applyBorder="0" applyAlignment="0" applyProtection="0"/>
    <xf numFmtId="192" fontId="72" fillId="0" borderId="0" applyFont="0" applyFill="0" applyBorder="0" applyAlignment="0" applyProtection="0"/>
    <xf numFmtId="167" fontId="65"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86"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89"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89" fontId="72" fillId="0" borderId="0" applyFont="0" applyFill="0" applyBorder="0" applyAlignment="0" applyProtection="0"/>
    <xf numFmtId="180" fontId="65"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89" fontId="72" fillId="0" borderId="0" applyFont="0" applyFill="0" applyBorder="0" applyAlignment="0" applyProtection="0"/>
    <xf numFmtId="186"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89"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89" fontId="72" fillId="0" borderId="0" applyFont="0" applyFill="0" applyBorder="0" applyAlignment="0" applyProtection="0"/>
    <xf numFmtId="186"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89" fontId="72" fillId="0" borderId="0" applyFont="0" applyFill="0" applyBorder="0" applyAlignment="0" applyProtection="0"/>
    <xf numFmtId="180" fontId="72" fillId="0" borderId="0" applyFont="0" applyFill="0" applyBorder="0" applyAlignment="0" applyProtection="0"/>
    <xf numFmtId="196" fontId="72" fillId="0" borderId="0" applyFont="0" applyFill="0" applyBorder="0" applyAlignment="0" applyProtection="0"/>
    <xf numFmtId="196" fontId="72" fillId="0" borderId="0" applyFont="0" applyFill="0" applyBorder="0" applyAlignment="0" applyProtection="0"/>
    <xf numFmtId="196" fontId="72" fillId="0" borderId="0" applyFont="0" applyFill="0" applyBorder="0" applyAlignment="0" applyProtection="0"/>
    <xf numFmtId="196" fontId="72" fillId="0" borderId="0" applyFont="0" applyFill="0" applyBorder="0" applyAlignment="0" applyProtection="0"/>
    <xf numFmtId="180" fontId="65" fillId="0" borderId="0" applyFont="0" applyFill="0" applyBorder="0" applyAlignment="0" applyProtection="0"/>
    <xf numFmtId="197" fontId="87" fillId="0" borderId="0" applyFont="0" applyFill="0" applyBorder="0" applyAlignment="0" applyProtection="0"/>
    <xf numFmtId="196" fontId="72" fillId="0" borderId="0" applyFont="0" applyFill="0" applyBorder="0" applyAlignment="0" applyProtection="0"/>
    <xf numFmtId="196" fontId="72" fillId="0" borderId="0" applyFont="0" applyFill="0" applyBorder="0" applyAlignment="0" applyProtection="0"/>
    <xf numFmtId="196" fontId="72" fillId="0" borderId="0" applyFont="0" applyFill="0" applyBorder="0" applyAlignment="0" applyProtection="0"/>
    <xf numFmtId="196" fontId="72" fillId="0" borderId="0" applyFont="0" applyFill="0" applyBorder="0" applyAlignment="0" applyProtection="0"/>
    <xf numFmtId="196" fontId="72" fillId="0" borderId="0" applyFont="0" applyFill="0" applyBorder="0" applyAlignment="0" applyProtection="0"/>
    <xf numFmtId="180" fontId="72" fillId="0" borderId="0" applyFont="0" applyFill="0" applyBorder="0" applyAlignment="0" applyProtection="0"/>
    <xf numFmtId="198" fontId="72" fillId="0" borderId="0" applyFont="0" applyFill="0" applyBorder="0" applyAlignment="0" applyProtection="0"/>
    <xf numFmtId="189"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86" fontId="72" fillId="0" borderId="0" applyFont="0" applyFill="0" applyBorder="0" applyAlignment="0" applyProtection="0"/>
    <xf numFmtId="190" fontId="72" fillId="0" borderId="0" applyFont="0" applyFill="0" applyBorder="0" applyAlignment="0" applyProtection="0"/>
    <xf numFmtId="175" fontId="72" fillId="0" borderId="0" applyFont="0" applyFill="0" applyBorder="0" applyAlignment="0" applyProtection="0"/>
    <xf numFmtId="175" fontId="72" fillId="0" borderId="0" applyFont="0" applyFill="0" applyBorder="0" applyAlignment="0" applyProtection="0"/>
    <xf numFmtId="168" fontId="72" fillId="0" borderId="0" applyFont="0" applyFill="0" applyBorder="0" applyAlignment="0" applyProtection="0"/>
    <xf numFmtId="43" fontId="72" fillId="0" borderId="0" applyFont="0" applyFill="0" applyBorder="0" applyAlignment="0" applyProtection="0"/>
    <xf numFmtId="191" fontId="72" fillId="0" borderId="0" applyFont="0" applyFill="0" applyBorder="0" applyAlignment="0" applyProtection="0"/>
    <xf numFmtId="176" fontId="72" fillId="0" borderId="0" applyFont="0" applyFill="0" applyBorder="0" applyAlignment="0" applyProtection="0"/>
    <xf numFmtId="190" fontId="72" fillId="0" borderId="0" applyFont="0" applyFill="0" applyBorder="0" applyAlignment="0" applyProtection="0"/>
    <xf numFmtId="176" fontId="72" fillId="0" borderId="0" applyFont="0" applyFill="0" applyBorder="0" applyAlignment="0" applyProtection="0"/>
    <xf numFmtId="43" fontId="72" fillId="0" borderId="0" applyFont="0" applyFill="0" applyBorder="0" applyAlignment="0" applyProtection="0"/>
    <xf numFmtId="192" fontId="72" fillId="0" borderId="0" applyFont="0" applyFill="0" applyBorder="0" applyAlignment="0" applyProtection="0"/>
    <xf numFmtId="175" fontId="72" fillId="0" borderId="0" applyFont="0" applyFill="0" applyBorder="0" applyAlignment="0" applyProtection="0"/>
    <xf numFmtId="168" fontId="72" fillId="0" borderId="0" applyFont="0" applyFill="0" applyBorder="0" applyAlignment="0" applyProtection="0"/>
    <xf numFmtId="168" fontId="72" fillId="0" borderId="0" applyFont="0" applyFill="0" applyBorder="0" applyAlignment="0" applyProtection="0"/>
    <xf numFmtId="168" fontId="72" fillId="0" borderId="0" applyFont="0" applyFill="0" applyBorder="0" applyAlignment="0" applyProtection="0"/>
    <xf numFmtId="175" fontId="72" fillId="0" borderId="0" applyFont="0" applyFill="0" applyBorder="0" applyAlignment="0" applyProtection="0"/>
    <xf numFmtId="190" fontId="72" fillId="0" borderId="0" applyFont="0" applyFill="0" applyBorder="0" applyAlignment="0" applyProtection="0"/>
    <xf numFmtId="193" fontId="72" fillId="0" borderId="0" applyFont="0" applyFill="0" applyBorder="0" applyAlignment="0" applyProtection="0"/>
    <xf numFmtId="175" fontId="72" fillId="0" borderId="0" applyFont="0" applyFill="0" applyBorder="0" applyAlignment="0" applyProtection="0"/>
    <xf numFmtId="175" fontId="72" fillId="0" borderId="0" applyFont="0" applyFill="0" applyBorder="0" applyAlignment="0" applyProtection="0"/>
    <xf numFmtId="168" fontId="72" fillId="0" borderId="0" applyFont="0" applyFill="0" applyBorder="0" applyAlignment="0" applyProtection="0"/>
    <xf numFmtId="176" fontId="72" fillId="0" borderId="0" applyFont="0" applyFill="0" applyBorder="0" applyAlignment="0" applyProtection="0"/>
    <xf numFmtId="175" fontId="72" fillId="0" borderId="0" applyFont="0" applyFill="0" applyBorder="0" applyAlignment="0" applyProtection="0"/>
    <xf numFmtId="191"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168" fontId="72" fillId="0" borderId="0" applyFont="0" applyFill="0" applyBorder="0" applyAlignment="0" applyProtection="0"/>
    <xf numFmtId="43" fontId="72" fillId="0" borderId="0" applyFont="0" applyFill="0" applyBorder="0" applyAlignment="0" applyProtection="0"/>
    <xf numFmtId="190" fontId="72" fillId="0" borderId="0" applyFont="0" applyFill="0" applyBorder="0" applyAlignment="0" applyProtection="0"/>
    <xf numFmtId="0" fontId="72" fillId="0" borderId="0" applyFont="0" applyFill="0" applyBorder="0" applyAlignment="0" applyProtection="0"/>
    <xf numFmtId="168" fontId="72" fillId="0" borderId="0" applyFont="0" applyFill="0" applyBorder="0" applyAlignment="0" applyProtection="0"/>
    <xf numFmtId="168" fontId="72" fillId="0" borderId="0" applyFont="0" applyFill="0" applyBorder="0" applyAlignment="0" applyProtection="0"/>
    <xf numFmtId="168" fontId="72" fillId="0" borderId="0" applyFont="0" applyFill="0" applyBorder="0" applyAlignment="0" applyProtection="0"/>
    <xf numFmtId="192" fontId="72" fillId="0" borderId="0" applyFont="0" applyFill="0" applyBorder="0" applyAlignment="0" applyProtection="0"/>
    <xf numFmtId="190" fontId="72" fillId="0" borderId="0" applyFont="0" applyFill="0" applyBorder="0" applyAlignment="0" applyProtection="0"/>
    <xf numFmtId="190" fontId="72" fillId="0" borderId="0" applyFont="0" applyFill="0" applyBorder="0" applyAlignment="0" applyProtection="0"/>
    <xf numFmtId="190" fontId="72" fillId="0" borderId="0" applyFont="0" applyFill="0" applyBorder="0" applyAlignment="0" applyProtection="0"/>
    <xf numFmtId="193" fontId="72" fillId="0" borderId="0" applyFont="0" applyFill="0" applyBorder="0" applyAlignment="0" applyProtection="0"/>
    <xf numFmtId="190" fontId="72" fillId="0" borderId="0" applyFont="0" applyFill="0" applyBorder="0" applyAlignment="0" applyProtection="0"/>
    <xf numFmtId="190" fontId="72" fillId="0" borderId="0" applyFont="0" applyFill="0" applyBorder="0" applyAlignment="0" applyProtection="0"/>
    <xf numFmtId="190" fontId="72" fillId="0" borderId="0" applyFont="0" applyFill="0" applyBorder="0" applyAlignment="0" applyProtection="0"/>
    <xf numFmtId="190" fontId="72" fillId="0" borderId="0" applyFont="0" applyFill="0" applyBorder="0" applyAlignment="0" applyProtection="0"/>
    <xf numFmtId="190" fontId="72" fillId="0" borderId="0" applyFont="0" applyFill="0" applyBorder="0" applyAlignment="0" applyProtection="0"/>
    <xf numFmtId="190" fontId="72" fillId="0" borderId="0" applyFont="0" applyFill="0" applyBorder="0" applyAlignment="0" applyProtection="0"/>
    <xf numFmtId="190" fontId="72" fillId="0" borderId="0" applyFont="0" applyFill="0" applyBorder="0" applyAlignment="0" applyProtection="0"/>
    <xf numFmtId="190" fontId="72" fillId="0" borderId="0" applyFont="0" applyFill="0" applyBorder="0" applyAlignment="0" applyProtection="0"/>
    <xf numFmtId="190" fontId="72" fillId="0" borderId="0" applyFont="0" applyFill="0" applyBorder="0" applyAlignment="0" applyProtection="0"/>
    <xf numFmtId="43" fontId="72" fillId="0" borderId="0" applyFont="0" applyFill="0" applyBorder="0" applyAlignment="0" applyProtection="0"/>
    <xf numFmtId="168" fontId="72" fillId="0" borderId="0" applyFont="0" applyFill="0" applyBorder="0" applyAlignment="0" applyProtection="0"/>
    <xf numFmtId="175" fontId="72" fillId="0" borderId="0" applyFont="0" applyFill="0" applyBorder="0" applyAlignment="0" applyProtection="0"/>
    <xf numFmtId="175" fontId="72" fillId="0" borderId="0" applyFont="0" applyFill="0" applyBorder="0" applyAlignment="0" applyProtection="0"/>
    <xf numFmtId="168" fontId="72" fillId="0" borderId="0" applyFont="0" applyFill="0" applyBorder="0" applyAlignment="0" applyProtection="0"/>
    <xf numFmtId="175" fontId="72" fillId="0" borderId="0" applyFont="0" applyFill="0" applyBorder="0" applyAlignment="0" applyProtection="0"/>
    <xf numFmtId="190" fontId="72" fillId="0" borderId="0" applyFont="0" applyFill="0" applyBorder="0" applyAlignment="0" applyProtection="0"/>
    <xf numFmtId="168" fontId="72" fillId="0" borderId="0" applyFont="0" applyFill="0" applyBorder="0" applyAlignment="0" applyProtection="0"/>
    <xf numFmtId="175" fontId="72" fillId="0" borderId="0" applyFont="0" applyFill="0" applyBorder="0" applyAlignment="0" applyProtection="0"/>
    <xf numFmtId="190" fontId="72" fillId="0" borderId="0" applyFont="0" applyFill="0" applyBorder="0" applyAlignment="0" applyProtection="0"/>
    <xf numFmtId="175" fontId="72" fillId="0" borderId="0" applyFont="0" applyFill="0" applyBorder="0" applyAlignment="0" applyProtection="0"/>
    <xf numFmtId="193" fontId="72" fillId="0" borderId="0" applyFont="0" applyFill="0" applyBorder="0" applyAlignment="0" applyProtection="0"/>
    <xf numFmtId="168" fontId="72" fillId="0" borderId="0" applyFont="0" applyFill="0" applyBorder="0" applyAlignment="0" applyProtection="0"/>
    <xf numFmtId="43" fontId="72" fillId="0" borderId="0" applyFont="0" applyFill="0" applyBorder="0" applyAlignment="0" applyProtection="0"/>
    <xf numFmtId="193" fontId="72" fillId="0" borderId="0" applyFont="0" applyFill="0" applyBorder="0" applyAlignment="0" applyProtection="0"/>
    <xf numFmtId="192" fontId="72" fillId="0" borderId="0" applyFont="0" applyFill="0" applyBorder="0" applyAlignment="0" applyProtection="0"/>
    <xf numFmtId="175" fontId="72" fillId="0" borderId="0" applyFont="0" applyFill="0" applyBorder="0" applyAlignment="0" applyProtection="0"/>
    <xf numFmtId="190" fontId="72" fillId="0" borderId="0" applyFont="0" applyFill="0" applyBorder="0" applyAlignment="0" applyProtection="0"/>
    <xf numFmtId="190" fontId="72" fillId="0" borderId="0" applyFont="0" applyFill="0" applyBorder="0" applyAlignment="0" applyProtection="0"/>
    <xf numFmtId="175" fontId="72" fillId="0" borderId="0" applyFont="0" applyFill="0" applyBorder="0" applyAlignment="0" applyProtection="0"/>
    <xf numFmtId="193" fontId="72" fillId="0" borderId="0" applyFont="0" applyFill="0" applyBorder="0" applyAlignment="0" applyProtection="0"/>
    <xf numFmtId="168" fontId="72" fillId="0" borderId="0" applyFont="0" applyFill="0" applyBorder="0" applyAlignment="0" applyProtection="0"/>
    <xf numFmtId="176" fontId="72" fillId="0" borderId="0" applyFont="0" applyFill="0" applyBorder="0" applyAlignment="0" applyProtection="0"/>
    <xf numFmtId="176" fontId="72" fillId="0" borderId="0" applyFont="0" applyFill="0" applyBorder="0" applyAlignment="0" applyProtection="0"/>
    <xf numFmtId="190" fontId="72" fillId="0" borderId="0" applyFont="0" applyFill="0" applyBorder="0" applyAlignment="0" applyProtection="0"/>
    <xf numFmtId="176" fontId="72" fillId="0" borderId="0" applyFont="0" applyFill="0" applyBorder="0" applyAlignment="0" applyProtection="0"/>
    <xf numFmtId="190" fontId="72" fillId="0" borderId="0" applyFont="0" applyFill="0" applyBorder="0" applyAlignment="0" applyProtection="0"/>
    <xf numFmtId="175" fontId="72" fillId="0" borderId="0" applyFont="0" applyFill="0" applyBorder="0" applyAlignment="0" applyProtection="0"/>
    <xf numFmtId="194" fontId="72" fillId="0" borderId="0" applyFont="0" applyFill="0" applyBorder="0" applyAlignment="0" applyProtection="0"/>
    <xf numFmtId="195" fontId="72" fillId="0" borderId="0" applyFont="0" applyFill="0" applyBorder="0" applyAlignment="0" applyProtection="0"/>
    <xf numFmtId="168" fontId="65" fillId="0" borderId="0" applyFont="0" applyFill="0" applyBorder="0" applyAlignment="0" applyProtection="0"/>
    <xf numFmtId="193" fontId="72" fillId="0" borderId="0" applyFont="0" applyFill="0" applyBorder="0" applyAlignment="0" applyProtection="0"/>
    <xf numFmtId="175" fontId="72" fillId="0" borderId="0" applyFont="0" applyFill="0" applyBorder="0" applyAlignment="0" applyProtection="0"/>
    <xf numFmtId="175" fontId="72" fillId="0" borderId="0" applyFont="0" applyFill="0" applyBorder="0" applyAlignment="0" applyProtection="0"/>
    <xf numFmtId="175" fontId="72" fillId="0" borderId="0" applyFont="0" applyFill="0" applyBorder="0" applyAlignment="0" applyProtection="0"/>
    <xf numFmtId="175" fontId="72" fillId="0" borderId="0" applyFont="0" applyFill="0" applyBorder="0" applyAlignment="0" applyProtection="0"/>
    <xf numFmtId="190" fontId="72" fillId="0" borderId="0" applyFont="0" applyFill="0" applyBorder="0" applyAlignment="0" applyProtection="0"/>
    <xf numFmtId="192" fontId="72" fillId="0" borderId="0" applyFont="0" applyFill="0" applyBorder="0" applyAlignment="0" applyProtection="0"/>
    <xf numFmtId="188" fontId="72" fillId="0" borderId="0" applyFont="0" applyFill="0" applyBorder="0" applyAlignment="0" applyProtection="0"/>
    <xf numFmtId="173" fontId="72" fillId="0" borderId="0" applyFont="0" applyFill="0" applyBorder="0" applyAlignment="0" applyProtection="0"/>
    <xf numFmtId="173" fontId="72" fillId="0" borderId="0" applyFont="0" applyFill="0" applyBorder="0" applyAlignment="0" applyProtection="0"/>
    <xf numFmtId="167" fontId="72" fillId="0" borderId="0" applyFont="0" applyFill="0" applyBorder="0" applyAlignment="0" applyProtection="0"/>
    <xf numFmtId="41" fontId="72" fillId="0" borderId="0" applyFont="0" applyFill="0" applyBorder="0" applyAlignment="0" applyProtection="0"/>
    <xf numFmtId="199" fontId="72" fillId="0" borderId="0" applyFont="0" applyFill="0" applyBorder="0" applyAlignment="0" applyProtection="0"/>
    <xf numFmtId="200" fontId="72" fillId="0" borderId="0" applyFont="0" applyFill="0" applyBorder="0" applyAlignment="0" applyProtection="0"/>
    <xf numFmtId="188" fontId="72" fillId="0" borderId="0" applyFont="0" applyFill="0" applyBorder="0" applyAlignment="0" applyProtection="0"/>
    <xf numFmtId="200" fontId="72" fillId="0" borderId="0" applyFont="0" applyFill="0" applyBorder="0" applyAlignment="0" applyProtection="0"/>
    <xf numFmtId="41" fontId="72" fillId="0" borderId="0" applyFont="0" applyFill="0" applyBorder="0" applyAlignment="0" applyProtection="0"/>
    <xf numFmtId="201" fontId="72" fillId="0" borderId="0" applyFont="0" applyFill="0" applyBorder="0" applyAlignment="0" applyProtection="0"/>
    <xf numFmtId="173" fontId="72" fillId="0" borderId="0" applyFont="0" applyFill="0" applyBorder="0" applyAlignment="0" applyProtection="0"/>
    <xf numFmtId="167" fontId="72" fillId="0" borderId="0" applyFont="0" applyFill="0" applyBorder="0" applyAlignment="0" applyProtection="0"/>
    <xf numFmtId="167" fontId="72" fillId="0" borderId="0" applyFont="0" applyFill="0" applyBorder="0" applyAlignment="0" applyProtection="0"/>
    <xf numFmtId="167" fontId="72" fillId="0" borderId="0" applyFont="0" applyFill="0" applyBorder="0" applyAlignment="0" applyProtection="0"/>
    <xf numFmtId="173" fontId="72" fillId="0" borderId="0" applyFont="0" applyFill="0" applyBorder="0" applyAlignment="0" applyProtection="0"/>
    <xf numFmtId="188" fontId="72" fillId="0" borderId="0" applyFont="0" applyFill="0" applyBorder="0" applyAlignment="0" applyProtection="0"/>
    <xf numFmtId="202" fontId="72" fillId="0" borderId="0" applyFont="0" applyFill="0" applyBorder="0" applyAlignment="0" applyProtection="0"/>
    <xf numFmtId="173" fontId="72" fillId="0" borderId="0" applyFont="0" applyFill="0" applyBorder="0" applyAlignment="0" applyProtection="0"/>
    <xf numFmtId="173" fontId="72" fillId="0" borderId="0" applyFont="0" applyFill="0" applyBorder="0" applyAlignment="0" applyProtection="0"/>
    <xf numFmtId="167" fontId="72" fillId="0" borderId="0" applyFont="0" applyFill="0" applyBorder="0" applyAlignment="0" applyProtection="0"/>
    <xf numFmtId="200" fontId="72" fillId="0" borderId="0" applyFont="0" applyFill="0" applyBorder="0" applyAlignment="0" applyProtection="0"/>
    <xf numFmtId="173" fontId="72" fillId="0" borderId="0" applyFont="0" applyFill="0" applyBorder="0" applyAlignment="0" applyProtection="0"/>
    <xf numFmtId="199" fontId="72" fillId="0" borderId="0" applyFont="0" applyFill="0" applyBorder="0" applyAlignment="0" applyProtection="0"/>
    <xf numFmtId="41" fontId="72" fillId="0" borderId="0" applyFont="0" applyFill="0" applyBorder="0" applyAlignment="0" applyProtection="0"/>
    <xf numFmtId="41" fontId="72" fillId="0" borderId="0" applyFont="0" applyFill="0" applyBorder="0" applyAlignment="0" applyProtection="0"/>
    <xf numFmtId="41" fontId="72" fillId="0" borderId="0" applyFont="0" applyFill="0" applyBorder="0" applyAlignment="0" applyProtection="0"/>
    <xf numFmtId="41" fontId="72" fillId="0" borderId="0" applyFont="0" applyFill="0" applyBorder="0" applyAlignment="0" applyProtection="0"/>
    <xf numFmtId="167" fontId="72" fillId="0" borderId="0" applyFont="0" applyFill="0" applyBorder="0" applyAlignment="0" applyProtection="0"/>
    <xf numFmtId="41" fontId="72" fillId="0" borderId="0" applyFont="0" applyFill="0" applyBorder="0" applyAlignment="0" applyProtection="0"/>
    <xf numFmtId="188" fontId="72" fillId="0" borderId="0" applyFont="0" applyFill="0" applyBorder="0" applyAlignment="0" applyProtection="0"/>
    <xf numFmtId="188" fontId="65" fillId="0" borderId="0" applyFont="0" applyFill="0" applyBorder="0" applyAlignment="0" applyProtection="0"/>
    <xf numFmtId="167" fontId="72" fillId="0" borderId="0" applyFont="0" applyFill="0" applyBorder="0" applyAlignment="0" applyProtection="0"/>
    <xf numFmtId="167" fontId="72" fillId="0" borderId="0" applyFont="0" applyFill="0" applyBorder="0" applyAlignment="0" applyProtection="0"/>
    <xf numFmtId="167" fontId="72" fillId="0" borderId="0" applyFont="0" applyFill="0" applyBorder="0" applyAlignment="0" applyProtection="0"/>
    <xf numFmtId="201" fontId="72" fillId="0" borderId="0" applyFont="0" applyFill="0" applyBorder="0" applyAlignment="0" applyProtection="0"/>
    <xf numFmtId="188" fontId="72" fillId="0" borderId="0" applyFont="0" applyFill="0" applyBorder="0" applyAlignment="0" applyProtection="0"/>
    <xf numFmtId="203" fontId="72" fillId="0" borderId="0" applyFont="0" applyFill="0" applyBorder="0" applyAlignment="0" applyProtection="0"/>
    <xf numFmtId="188" fontId="72" fillId="0" borderId="0" applyFont="0" applyFill="0" applyBorder="0" applyAlignment="0" applyProtection="0"/>
    <xf numFmtId="202" fontId="72" fillId="0" borderId="0" applyFont="0" applyFill="0" applyBorder="0" applyAlignment="0" applyProtection="0"/>
    <xf numFmtId="188" fontId="72" fillId="0" borderId="0" applyFont="0" applyFill="0" applyBorder="0" applyAlignment="0" applyProtection="0"/>
    <xf numFmtId="188" fontId="72" fillId="0" borderId="0" applyFont="0" applyFill="0" applyBorder="0" applyAlignment="0" applyProtection="0"/>
    <xf numFmtId="188" fontId="72" fillId="0" borderId="0" applyFont="0" applyFill="0" applyBorder="0" applyAlignment="0" applyProtection="0"/>
    <xf numFmtId="188" fontId="72" fillId="0" borderId="0" applyFont="0" applyFill="0" applyBorder="0" applyAlignment="0" applyProtection="0"/>
    <xf numFmtId="188" fontId="72" fillId="0" borderId="0" applyFont="0" applyFill="0" applyBorder="0" applyAlignment="0" applyProtection="0"/>
    <xf numFmtId="188" fontId="72" fillId="0" borderId="0" applyFont="0" applyFill="0" applyBorder="0" applyAlignment="0" applyProtection="0"/>
    <xf numFmtId="188" fontId="72" fillId="0" borderId="0" applyFont="0" applyFill="0" applyBorder="0" applyAlignment="0" applyProtection="0"/>
    <xf numFmtId="188" fontId="72" fillId="0" borderId="0" applyFont="0" applyFill="0" applyBorder="0" applyAlignment="0" applyProtection="0"/>
    <xf numFmtId="188" fontId="72" fillId="0" borderId="0" applyFont="0" applyFill="0" applyBorder="0" applyAlignment="0" applyProtection="0"/>
    <xf numFmtId="41" fontId="72" fillId="0" borderId="0" applyFont="0" applyFill="0" applyBorder="0" applyAlignment="0" applyProtection="0"/>
    <xf numFmtId="167" fontId="72" fillId="0" borderId="0" applyFont="0" applyFill="0" applyBorder="0" applyAlignment="0" applyProtection="0"/>
    <xf numFmtId="173" fontId="72" fillId="0" borderId="0" applyFont="0" applyFill="0" applyBorder="0" applyAlignment="0" applyProtection="0"/>
    <xf numFmtId="173" fontId="72" fillId="0" borderId="0" applyFont="0" applyFill="0" applyBorder="0" applyAlignment="0" applyProtection="0"/>
    <xf numFmtId="167" fontId="72" fillId="0" borderId="0" applyFont="0" applyFill="0" applyBorder="0" applyAlignment="0" applyProtection="0"/>
    <xf numFmtId="173" fontId="72" fillId="0" borderId="0" applyFont="0" applyFill="0" applyBorder="0" applyAlignment="0" applyProtection="0"/>
    <xf numFmtId="188" fontId="72" fillId="0" borderId="0" applyFont="0" applyFill="0" applyBorder="0" applyAlignment="0" applyProtection="0"/>
    <xf numFmtId="167" fontId="72" fillId="0" borderId="0" applyFont="0" applyFill="0" applyBorder="0" applyAlignment="0" applyProtection="0"/>
    <xf numFmtId="173" fontId="72" fillId="0" borderId="0" applyFont="0" applyFill="0" applyBorder="0" applyAlignment="0" applyProtection="0"/>
    <xf numFmtId="188" fontId="72" fillId="0" borderId="0" applyFont="0" applyFill="0" applyBorder="0" applyAlignment="0" applyProtection="0"/>
    <xf numFmtId="173" fontId="72" fillId="0" borderId="0" applyFont="0" applyFill="0" applyBorder="0" applyAlignment="0" applyProtection="0"/>
    <xf numFmtId="202" fontId="72" fillId="0" borderId="0" applyFont="0" applyFill="0" applyBorder="0" applyAlignment="0" applyProtection="0"/>
    <xf numFmtId="167" fontId="72" fillId="0" borderId="0" applyFont="0" applyFill="0" applyBorder="0" applyAlignment="0" applyProtection="0"/>
    <xf numFmtId="41" fontId="72" fillId="0" borderId="0" applyFont="0" applyFill="0" applyBorder="0" applyAlignment="0" applyProtection="0"/>
    <xf numFmtId="202" fontId="72" fillId="0" borderId="0" applyFont="0" applyFill="0" applyBorder="0" applyAlignment="0" applyProtection="0"/>
    <xf numFmtId="201" fontId="72" fillId="0" borderId="0" applyFont="0" applyFill="0" applyBorder="0" applyAlignment="0" applyProtection="0"/>
    <xf numFmtId="173" fontId="72" fillId="0" borderId="0" applyFont="0" applyFill="0" applyBorder="0" applyAlignment="0" applyProtection="0"/>
    <xf numFmtId="188" fontId="72" fillId="0" borderId="0" applyFont="0" applyFill="0" applyBorder="0" applyAlignment="0" applyProtection="0"/>
    <xf numFmtId="188" fontId="72" fillId="0" borderId="0" applyFont="0" applyFill="0" applyBorder="0" applyAlignment="0" applyProtection="0"/>
    <xf numFmtId="173" fontId="72" fillId="0" borderId="0" applyFont="0" applyFill="0" applyBorder="0" applyAlignment="0" applyProtection="0"/>
    <xf numFmtId="202" fontId="72" fillId="0" borderId="0" applyFont="0" applyFill="0" applyBorder="0" applyAlignment="0" applyProtection="0"/>
    <xf numFmtId="167" fontId="72" fillId="0" borderId="0" applyFont="0" applyFill="0" applyBorder="0" applyAlignment="0" applyProtection="0"/>
    <xf numFmtId="200" fontId="72" fillId="0" borderId="0" applyFont="0" applyFill="0" applyBorder="0" applyAlignment="0" applyProtection="0"/>
    <xf numFmtId="200" fontId="72" fillId="0" borderId="0" applyFont="0" applyFill="0" applyBorder="0" applyAlignment="0" applyProtection="0"/>
    <xf numFmtId="188" fontId="72" fillId="0" borderId="0" applyFont="0" applyFill="0" applyBorder="0" applyAlignment="0" applyProtection="0"/>
    <xf numFmtId="200" fontId="72" fillId="0" borderId="0" applyFont="0" applyFill="0" applyBorder="0" applyAlignment="0" applyProtection="0"/>
    <xf numFmtId="188" fontId="72" fillId="0" borderId="0" applyFont="0" applyFill="0" applyBorder="0" applyAlignment="0" applyProtection="0"/>
    <xf numFmtId="173" fontId="72" fillId="0" borderId="0" applyFont="0" applyFill="0" applyBorder="0" applyAlignment="0" applyProtection="0"/>
    <xf numFmtId="204" fontId="72" fillId="0" borderId="0" applyFont="0" applyFill="0" applyBorder="0" applyAlignment="0" applyProtection="0"/>
    <xf numFmtId="205" fontId="72" fillId="0" borderId="0" applyFont="0" applyFill="0" applyBorder="0" applyAlignment="0" applyProtection="0"/>
    <xf numFmtId="202" fontId="72" fillId="0" borderId="0" applyFont="0" applyFill="0" applyBorder="0" applyAlignment="0" applyProtection="0"/>
    <xf numFmtId="173" fontId="72" fillId="0" borderId="0" applyFont="0" applyFill="0" applyBorder="0" applyAlignment="0" applyProtection="0"/>
    <xf numFmtId="173" fontId="72" fillId="0" borderId="0" applyFont="0" applyFill="0" applyBorder="0" applyAlignment="0" applyProtection="0"/>
    <xf numFmtId="173" fontId="72" fillId="0" borderId="0" applyFont="0" applyFill="0" applyBorder="0" applyAlignment="0" applyProtection="0"/>
    <xf numFmtId="173" fontId="72" fillId="0" borderId="0" applyFont="0" applyFill="0" applyBorder="0" applyAlignment="0" applyProtection="0"/>
    <xf numFmtId="188" fontId="72" fillId="0" borderId="0" applyFont="0" applyFill="0" applyBorder="0" applyAlignment="0" applyProtection="0"/>
    <xf numFmtId="201" fontId="72" fillId="0" borderId="0" applyFont="0" applyFill="0" applyBorder="0" applyAlignment="0" applyProtection="0"/>
    <xf numFmtId="186"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89"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89" fontId="72" fillId="0" borderId="0" applyFont="0" applyFill="0" applyBorder="0" applyAlignment="0" applyProtection="0"/>
    <xf numFmtId="180" fontId="65"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89" fontId="72" fillId="0" borderId="0" applyFont="0" applyFill="0" applyBorder="0" applyAlignment="0" applyProtection="0"/>
    <xf numFmtId="186"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89"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89" fontId="72" fillId="0" borderId="0" applyFont="0" applyFill="0" applyBorder="0" applyAlignment="0" applyProtection="0"/>
    <xf numFmtId="186"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89" fontId="72" fillId="0" borderId="0" applyFont="0" applyFill="0" applyBorder="0" applyAlignment="0" applyProtection="0"/>
    <xf numFmtId="180" fontId="72" fillId="0" borderId="0" applyFont="0" applyFill="0" applyBorder="0" applyAlignment="0" applyProtection="0"/>
    <xf numFmtId="196" fontId="72" fillId="0" borderId="0" applyFont="0" applyFill="0" applyBorder="0" applyAlignment="0" applyProtection="0"/>
    <xf numFmtId="196" fontId="72" fillId="0" borderId="0" applyFont="0" applyFill="0" applyBorder="0" applyAlignment="0" applyProtection="0"/>
    <xf numFmtId="196" fontId="72" fillId="0" borderId="0" applyFont="0" applyFill="0" applyBorder="0" applyAlignment="0" applyProtection="0"/>
    <xf numFmtId="196" fontId="72" fillId="0" borderId="0" applyFont="0" applyFill="0" applyBorder="0" applyAlignment="0" applyProtection="0"/>
    <xf numFmtId="180" fontId="65" fillId="0" borderId="0" applyFont="0" applyFill="0" applyBorder="0" applyAlignment="0" applyProtection="0"/>
    <xf numFmtId="197" fontId="87" fillId="0" borderId="0" applyFont="0" applyFill="0" applyBorder="0" applyAlignment="0" applyProtection="0"/>
    <xf numFmtId="196" fontId="72" fillId="0" borderId="0" applyFont="0" applyFill="0" applyBorder="0" applyAlignment="0" applyProtection="0"/>
    <xf numFmtId="196" fontId="72" fillId="0" borderId="0" applyFont="0" applyFill="0" applyBorder="0" applyAlignment="0" applyProtection="0"/>
    <xf numFmtId="196" fontId="72" fillId="0" borderId="0" applyFont="0" applyFill="0" applyBorder="0" applyAlignment="0" applyProtection="0"/>
    <xf numFmtId="196" fontId="72" fillId="0" borderId="0" applyFont="0" applyFill="0" applyBorder="0" applyAlignment="0" applyProtection="0"/>
    <xf numFmtId="196" fontId="72" fillId="0" borderId="0" applyFont="0" applyFill="0" applyBorder="0" applyAlignment="0" applyProtection="0"/>
    <xf numFmtId="180" fontId="72" fillId="0" borderId="0" applyFont="0" applyFill="0" applyBorder="0" applyAlignment="0" applyProtection="0"/>
    <xf numFmtId="198" fontId="72" fillId="0" borderId="0" applyFont="0" applyFill="0" applyBorder="0" applyAlignment="0" applyProtection="0"/>
    <xf numFmtId="167" fontId="65" fillId="0" borderId="0" applyFont="0" applyFill="0" applyBorder="0" applyAlignment="0" applyProtection="0"/>
    <xf numFmtId="189"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86" fontId="72" fillId="0" borderId="0" applyFont="0" applyFill="0" applyBorder="0" applyAlignment="0" applyProtection="0"/>
    <xf numFmtId="168" fontId="65" fillId="0" borderId="0" applyFont="0" applyFill="0" applyBorder="0" applyAlignment="0" applyProtection="0"/>
    <xf numFmtId="188" fontId="72" fillId="0" borderId="0" applyFont="0" applyFill="0" applyBorder="0" applyAlignment="0" applyProtection="0"/>
    <xf numFmtId="173" fontId="72" fillId="0" borderId="0" applyFont="0" applyFill="0" applyBorder="0" applyAlignment="0" applyProtection="0"/>
    <xf numFmtId="173" fontId="72" fillId="0" borderId="0" applyFont="0" applyFill="0" applyBorder="0" applyAlignment="0" applyProtection="0"/>
    <xf numFmtId="167" fontId="72" fillId="0" borderId="0" applyFont="0" applyFill="0" applyBorder="0" applyAlignment="0" applyProtection="0"/>
    <xf numFmtId="41" fontId="72" fillId="0" borderId="0" applyFont="0" applyFill="0" applyBorder="0" applyAlignment="0" applyProtection="0"/>
    <xf numFmtId="199" fontId="72" fillId="0" borderId="0" applyFont="0" applyFill="0" applyBorder="0" applyAlignment="0" applyProtection="0"/>
    <xf numFmtId="200" fontId="72" fillId="0" borderId="0" applyFont="0" applyFill="0" applyBorder="0" applyAlignment="0" applyProtection="0"/>
    <xf numFmtId="188" fontId="72" fillId="0" borderId="0" applyFont="0" applyFill="0" applyBorder="0" applyAlignment="0" applyProtection="0"/>
    <xf numFmtId="200" fontId="72" fillId="0" borderId="0" applyFont="0" applyFill="0" applyBorder="0" applyAlignment="0" applyProtection="0"/>
    <xf numFmtId="41" fontId="72" fillId="0" borderId="0" applyFont="0" applyFill="0" applyBorder="0" applyAlignment="0" applyProtection="0"/>
    <xf numFmtId="201" fontId="72" fillId="0" borderId="0" applyFont="0" applyFill="0" applyBorder="0" applyAlignment="0" applyProtection="0"/>
    <xf numFmtId="173" fontId="72" fillId="0" borderId="0" applyFont="0" applyFill="0" applyBorder="0" applyAlignment="0" applyProtection="0"/>
    <xf numFmtId="167" fontId="72" fillId="0" borderId="0" applyFont="0" applyFill="0" applyBorder="0" applyAlignment="0" applyProtection="0"/>
    <xf numFmtId="167" fontId="72" fillId="0" borderId="0" applyFont="0" applyFill="0" applyBorder="0" applyAlignment="0" applyProtection="0"/>
    <xf numFmtId="167" fontId="72" fillId="0" borderId="0" applyFont="0" applyFill="0" applyBorder="0" applyAlignment="0" applyProtection="0"/>
    <xf numFmtId="173" fontId="72" fillId="0" borderId="0" applyFont="0" applyFill="0" applyBorder="0" applyAlignment="0" applyProtection="0"/>
    <xf numFmtId="188" fontId="72" fillId="0" borderId="0" applyFont="0" applyFill="0" applyBorder="0" applyAlignment="0" applyProtection="0"/>
    <xf numFmtId="202" fontId="72" fillId="0" borderId="0" applyFont="0" applyFill="0" applyBorder="0" applyAlignment="0" applyProtection="0"/>
    <xf numFmtId="173" fontId="72" fillId="0" borderId="0" applyFont="0" applyFill="0" applyBorder="0" applyAlignment="0" applyProtection="0"/>
    <xf numFmtId="173" fontId="72" fillId="0" borderId="0" applyFont="0" applyFill="0" applyBorder="0" applyAlignment="0" applyProtection="0"/>
    <xf numFmtId="167" fontId="72" fillId="0" borderId="0" applyFont="0" applyFill="0" applyBorder="0" applyAlignment="0" applyProtection="0"/>
    <xf numFmtId="200" fontId="72" fillId="0" borderId="0" applyFont="0" applyFill="0" applyBorder="0" applyAlignment="0" applyProtection="0"/>
    <xf numFmtId="173" fontId="72" fillId="0" borderId="0" applyFont="0" applyFill="0" applyBorder="0" applyAlignment="0" applyProtection="0"/>
    <xf numFmtId="199" fontId="72" fillId="0" borderId="0" applyFont="0" applyFill="0" applyBorder="0" applyAlignment="0" applyProtection="0"/>
    <xf numFmtId="41" fontId="72" fillId="0" borderId="0" applyFont="0" applyFill="0" applyBorder="0" applyAlignment="0" applyProtection="0"/>
    <xf numFmtId="41" fontId="72" fillId="0" borderId="0" applyFont="0" applyFill="0" applyBorder="0" applyAlignment="0" applyProtection="0"/>
    <xf numFmtId="41" fontId="72" fillId="0" borderId="0" applyFont="0" applyFill="0" applyBorder="0" applyAlignment="0" applyProtection="0"/>
    <xf numFmtId="41" fontId="72" fillId="0" borderId="0" applyFont="0" applyFill="0" applyBorder="0" applyAlignment="0" applyProtection="0"/>
    <xf numFmtId="167" fontId="72" fillId="0" borderId="0" applyFont="0" applyFill="0" applyBorder="0" applyAlignment="0" applyProtection="0"/>
    <xf numFmtId="41" fontId="72" fillId="0" borderId="0" applyFont="0" applyFill="0" applyBorder="0" applyAlignment="0" applyProtection="0"/>
    <xf numFmtId="188" fontId="72" fillId="0" borderId="0" applyFont="0" applyFill="0" applyBorder="0" applyAlignment="0" applyProtection="0"/>
    <xf numFmtId="188" fontId="65" fillId="0" borderId="0" applyFont="0" applyFill="0" applyBorder="0" applyAlignment="0" applyProtection="0"/>
    <xf numFmtId="167" fontId="72" fillId="0" borderId="0" applyFont="0" applyFill="0" applyBorder="0" applyAlignment="0" applyProtection="0"/>
    <xf numFmtId="167" fontId="72" fillId="0" borderId="0" applyFont="0" applyFill="0" applyBorder="0" applyAlignment="0" applyProtection="0"/>
    <xf numFmtId="167" fontId="72" fillId="0" borderId="0" applyFont="0" applyFill="0" applyBorder="0" applyAlignment="0" applyProtection="0"/>
    <xf numFmtId="201" fontId="72" fillId="0" borderId="0" applyFont="0" applyFill="0" applyBorder="0" applyAlignment="0" applyProtection="0"/>
    <xf numFmtId="188" fontId="72" fillId="0" borderId="0" applyFont="0" applyFill="0" applyBorder="0" applyAlignment="0" applyProtection="0"/>
    <xf numFmtId="203" fontId="72" fillId="0" borderId="0" applyFont="0" applyFill="0" applyBorder="0" applyAlignment="0" applyProtection="0"/>
    <xf numFmtId="188" fontId="72" fillId="0" borderId="0" applyFont="0" applyFill="0" applyBorder="0" applyAlignment="0" applyProtection="0"/>
    <xf numFmtId="202" fontId="72" fillId="0" borderId="0" applyFont="0" applyFill="0" applyBorder="0" applyAlignment="0" applyProtection="0"/>
    <xf numFmtId="188" fontId="72" fillId="0" borderId="0" applyFont="0" applyFill="0" applyBorder="0" applyAlignment="0" applyProtection="0"/>
    <xf numFmtId="188" fontId="72" fillId="0" borderId="0" applyFont="0" applyFill="0" applyBorder="0" applyAlignment="0" applyProtection="0"/>
    <xf numFmtId="188" fontId="72" fillId="0" borderId="0" applyFont="0" applyFill="0" applyBorder="0" applyAlignment="0" applyProtection="0"/>
    <xf numFmtId="188" fontId="72" fillId="0" borderId="0" applyFont="0" applyFill="0" applyBorder="0" applyAlignment="0" applyProtection="0"/>
    <xf numFmtId="188" fontId="72" fillId="0" borderId="0" applyFont="0" applyFill="0" applyBorder="0" applyAlignment="0" applyProtection="0"/>
    <xf numFmtId="188" fontId="72" fillId="0" borderId="0" applyFont="0" applyFill="0" applyBorder="0" applyAlignment="0" applyProtection="0"/>
    <xf numFmtId="188" fontId="72" fillId="0" borderId="0" applyFont="0" applyFill="0" applyBorder="0" applyAlignment="0" applyProtection="0"/>
    <xf numFmtId="188" fontId="72" fillId="0" borderId="0" applyFont="0" applyFill="0" applyBorder="0" applyAlignment="0" applyProtection="0"/>
    <xf numFmtId="188" fontId="72" fillId="0" borderId="0" applyFont="0" applyFill="0" applyBorder="0" applyAlignment="0" applyProtection="0"/>
    <xf numFmtId="41" fontId="72" fillId="0" borderId="0" applyFont="0" applyFill="0" applyBorder="0" applyAlignment="0" applyProtection="0"/>
    <xf numFmtId="167" fontId="72" fillId="0" borderId="0" applyFont="0" applyFill="0" applyBorder="0" applyAlignment="0" applyProtection="0"/>
    <xf numFmtId="173" fontId="72" fillId="0" borderId="0" applyFont="0" applyFill="0" applyBorder="0" applyAlignment="0" applyProtection="0"/>
    <xf numFmtId="173" fontId="72" fillId="0" borderId="0" applyFont="0" applyFill="0" applyBorder="0" applyAlignment="0" applyProtection="0"/>
    <xf numFmtId="167" fontId="72" fillId="0" borderId="0" applyFont="0" applyFill="0" applyBorder="0" applyAlignment="0" applyProtection="0"/>
    <xf numFmtId="173" fontId="72" fillId="0" borderId="0" applyFont="0" applyFill="0" applyBorder="0" applyAlignment="0" applyProtection="0"/>
    <xf numFmtId="188" fontId="72" fillId="0" borderId="0" applyFont="0" applyFill="0" applyBorder="0" applyAlignment="0" applyProtection="0"/>
    <xf numFmtId="167" fontId="72" fillId="0" borderId="0" applyFont="0" applyFill="0" applyBorder="0" applyAlignment="0" applyProtection="0"/>
    <xf numFmtId="173" fontId="72" fillId="0" borderId="0" applyFont="0" applyFill="0" applyBorder="0" applyAlignment="0" applyProtection="0"/>
    <xf numFmtId="188" fontId="72" fillId="0" borderId="0" applyFont="0" applyFill="0" applyBorder="0" applyAlignment="0" applyProtection="0"/>
    <xf numFmtId="173" fontId="72" fillId="0" borderId="0" applyFont="0" applyFill="0" applyBorder="0" applyAlignment="0" applyProtection="0"/>
    <xf numFmtId="202" fontId="72" fillId="0" borderId="0" applyFont="0" applyFill="0" applyBorder="0" applyAlignment="0" applyProtection="0"/>
    <xf numFmtId="167" fontId="72" fillId="0" borderId="0" applyFont="0" applyFill="0" applyBorder="0" applyAlignment="0" applyProtection="0"/>
    <xf numFmtId="41" fontId="72" fillId="0" borderId="0" applyFont="0" applyFill="0" applyBorder="0" applyAlignment="0" applyProtection="0"/>
    <xf numFmtId="202" fontId="72" fillId="0" borderId="0" applyFont="0" applyFill="0" applyBorder="0" applyAlignment="0" applyProtection="0"/>
    <xf numFmtId="201" fontId="72" fillId="0" borderId="0" applyFont="0" applyFill="0" applyBorder="0" applyAlignment="0" applyProtection="0"/>
    <xf numFmtId="173" fontId="72" fillId="0" borderId="0" applyFont="0" applyFill="0" applyBorder="0" applyAlignment="0" applyProtection="0"/>
    <xf numFmtId="188" fontId="72" fillId="0" borderId="0" applyFont="0" applyFill="0" applyBorder="0" applyAlignment="0" applyProtection="0"/>
    <xf numFmtId="188" fontId="72" fillId="0" borderId="0" applyFont="0" applyFill="0" applyBorder="0" applyAlignment="0" applyProtection="0"/>
    <xf numFmtId="173" fontId="72" fillId="0" borderId="0" applyFont="0" applyFill="0" applyBorder="0" applyAlignment="0" applyProtection="0"/>
    <xf numFmtId="202" fontId="72" fillId="0" borderId="0" applyFont="0" applyFill="0" applyBorder="0" applyAlignment="0" applyProtection="0"/>
    <xf numFmtId="167" fontId="72" fillId="0" borderId="0" applyFont="0" applyFill="0" applyBorder="0" applyAlignment="0" applyProtection="0"/>
    <xf numFmtId="200" fontId="72" fillId="0" borderId="0" applyFont="0" applyFill="0" applyBorder="0" applyAlignment="0" applyProtection="0"/>
    <xf numFmtId="200" fontId="72" fillId="0" borderId="0" applyFont="0" applyFill="0" applyBorder="0" applyAlignment="0" applyProtection="0"/>
    <xf numFmtId="188" fontId="72" fillId="0" borderId="0" applyFont="0" applyFill="0" applyBorder="0" applyAlignment="0" applyProtection="0"/>
    <xf numFmtId="200" fontId="72" fillId="0" borderId="0" applyFont="0" applyFill="0" applyBorder="0" applyAlignment="0" applyProtection="0"/>
    <xf numFmtId="188" fontId="72" fillId="0" borderId="0" applyFont="0" applyFill="0" applyBorder="0" applyAlignment="0" applyProtection="0"/>
    <xf numFmtId="173" fontId="72" fillId="0" borderId="0" applyFont="0" applyFill="0" applyBorder="0" applyAlignment="0" applyProtection="0"/>
    <xf numFmtId="204" fontId="72" fillId="0" borderId="0" applyFont="0" applyFill="0" applyBorder="0" applyAlignment="0" applyProtection="0"/>
    <xf numFmtId="205" fontId="72" fillId="0" borderId="0" applyFont="0" applyFill="0" applyBorder="0" applyAlignment="0" applyProtection="0"/>
    <xf numFmtId="202" fontId="72" fillId="0" borderId="0" applyFont="0" applyFill="0" applyBorder="0" applyAlignment="0" applyProtection="0"/>
    <xf numFmtId="173" fontId="72" fillId="0" borderId="0" applyFont="0" applyFill="0" applyBorder="0" applyAlignment="0" applyProtection="0"/>
    <xf numFmtId="173" fontId="72" fillId="0" borderId="0" applyFont="0" applyFill="0" applyBorder="0" applyAlignment="0" applyProtection="0"/>
    <xf numFmtId="173" fontId="72" fillId="0" borderId="0" applyFont="0" applyFill="0" applyBorder="0" applyAlignment="0" applyProtection="0"/>
    <xf numFmtId="173" fontId="72" fillId="0" borderId="0" applyFont="0" applyFill="0" applyBorder="0" applyAlignment="0" applyProtection="0"/>
    <xf numFmtId="188" fontId="72" fillId="0" borderId="0" applyFont="0" applyFill="0" applyBorder="0" applyAlignment="0" applyProtection="0"/>
    <xf numFmtId="201" fontId="72" fillId="0" borderId="0" applyFont="0" applyFill="0" applyBorder="0" applyAlignment="0" applyProtection="0"/>
    <xf numFmtId="190" fontId="72" fillId="0" borderId="0" applyFont="0" applyFill="0" applyBorder="0" applyAlignment="0" applyProtection="0"/>
    <xf numFmtId="175" fontId="72" fillId="0" borderId="0" applyFont="0" applyFill="0" applyBorder="0" applyAlignment="0" applyProtection="0"/>
    <xf numFmtId="175" fontId="72" fillId="0" borderId="0" applyFont="0" applyFill="0" applyBorder="0" applyAlignment="0" applyProtection="0"/>
    <xf numFmtId="168" fontId="72" fillId="0" borderId="0" applyFont="0" applyFill="0" applyBorder="0" applyAlignment="0" applyProtection="0"/>
    <xf numFmtId="43" fontId="72" fillId="0" borderId="0" applyFont="0" applyFill="0" applyBorder="0" applyAlignment="0" applyProtection="0"/>
    <xf numFmtId="191" fontId="72" fillId="0" borderId="0" applyFont="0" applyFill="0" applyBorder="0" applyAlignment="0" applyProtection="0"/>
    <xf numFmtId="176" fontId="72" fillId="0" borderId="0" applyFont="0" applyFill="0" applyBorder="0" applyAlignment="0" applyProtection="0"/>
    <xf numFmtId="190" fontId="72" fillId="0" borderId="0" applyFont="0" applyFill="0" applyBorder="0" applyAlignment="0" applyProtection="0"/>
    <xf numFmtId="176" fontId="72" fillId="0" borderId="0" applyFont="0" applyFill="0" applyBorder="0" applyAlignment="0" applyProtection="0"/>
    <xf numFmtId="43" fontId="72" fillId="0" borderId="0" applyFont="0" applyFill="0" applyBorder="0" applyAlignment="0" applyProtection="0"/>
    <xf numFmtId="192" fontId="72" fillId="0" borderId="0" applyFont="0" applyFill="0" applyBorder="0" applyAlignment="0" applyProtection="0"/>
    <xf numFmtId="175" fontId="72" fillId="0" borderId="0" applyFont="0" applyFill="0" applyBorder="0" applyAlignment="0" applyProtection="0"/>
    <xf numFmtId="168" fontId="72" fillId="0" borderId="0" applyFont="0" applyFill="0" applyBorder="0" applyAlignment="0" applyProtection="0"/>
    <xf numFmtId="168" fontId="72" fillId="0" borderId="0" applyFont="0" applyFill="0" applyBorder="0" applyAlignment="0" applyProtection="0"/>
    <xf numFmtId="168" fontId="72" fillId="0" borderId="0" applyFont="0" applyFill="0" applyBorder="0" applyAlignment="0" applyProtection="0"/>
    <xf numFmtId="175" fontId="72" fillId="0" borderId="0" applyFont="0" applyFill="0" applyBorder="0" applyAlignment="0" applyProtection="0"/>
    <xf numFmtId="190" fontId="72" fillId="0" borderId="0" applyFont="0" applyFill="0" applyBorder="0" applyAlignment="0" applyProtection="0"/>
    <xf numFmtId="193" fontId="72" fillId="0" borderId="0" applyFont="0" applyFill="0" applyBorder="0" applyAlignment="0" applyProtection="0"/>
    <xf numFmtId="175" fontId="72" fillId="0" borderId="0" applyFont="0" applyFill="0" applyBorder="0" applyAlignment="0" applyProtection="0"/>
    <xf numFmtId="175" fontId="72" fillId="0" borderId="0" applyFont="0" applyFill="0" applyBorder="0" applyAlignment="0" applyProtection="0"/>
    <xf numFmtId="168" fontId="72" fillId="0" borderId="0" applyFont="0" applyFill="0" applyBorder="0" applyAlignment="0" applyProtection="0"/>
    <xf numFmtId="176" fontId="72" fillId="0" borderId="0" applyFont="0" applyFill="0" applyBorder="0" applyAlignment="0" applyProtection="0"/>
    <xf numFmtId="175" fontId="72" fillId="0" borderId="0" applyFont="0" applyFill="0" applyBorder="0" applyAlignment="0" applyProtection="0"/>
    <xf numFmtId="191"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168" fontId="72" fillId="0" borderId="0" applyFont="0" applyFill="0" applyBorder="0" applyAlignment="0" applyProtection="0"/>
    <xf numFmtId="43" fontId="72" fillId="0" borderId="0" applyFont="0" applyFill="0" applyBorder="0" applyAlignment="0" applyProtection="0"/>
    <xf numFmtId="190" fontId="72" fillId="0" borderId="0" applyFont="0" applyFill="0" applyBorder="0" applyAlignment="0" applyProtection="0"/>
    <xf numFmtId="0" fontId="72" fillId="0" borderId="0" applyFont="0" applyFill="0" applyBorder="0" applyAlignment="0" applyProtection="0"/>
    <xf numFmtId="168" fontId="72" fillId="0" borderId="0" applyFont="0" applyFill="0" applyBorder="0" applyAlignment="0" applyProtection="0"/>
    <xf numFmtId="168" fontId="72" fillId="0" borderId="0" applyFont="0" applyFill="0" applyBorder="0" applyAlignment="0" applyProtection="0"/>
    <xf numFmtId="168" fontId="72" fillId="0" borderId="0" applyFont="0" applyFill="0" applyBorder="0" applyAlignment="0" applyProtection="0"/>
    <xf numFmtId="192" fontId="72" fillId="0" borderId="0" applyFont="0" applyFill="0" applyBorder="0" applyAlignment="0" applyProtection="0"/>
    <xf numFmtId="190" fontId="72" fillId="0" borderId="0" applyFont="0" applyFill="0" applyBorder="0" applyAlignment="0" applyProtection="0"/>
    <xf numFmtId="190" fontId="72" fillId="0" borderId="0" applyFont="0" applyFill="0" applyBorder="0" applyAlignment="0" applyProtection="0"/>
    <xf numFmtId="190" fontId="72" fillId="0" borderId="0" applyFont="0" applyFill="0" applyBorder="0" applyAlignment="0" applyProtection="0"/>
    <xf numFmtId="193" fontId="72" fillId="0" borderId="0" applyFont="0" applyFill="0" applyBorder="0" applyAlignment="0" applyProtection="0"/>
    <xf numFmtId="190" fontId="72" fillId="0" borderId="0" applyFont="0" applyFill="0" applyBorder="0" applyAlignment="0" applyProtection="0"/>
    <xf numFmtId="190" fontId="72" fillId="0" borderId="0" applyFont="0" applyFill="0" applyBorder="0" applyAlignment="0" applyProtection="0"/>
    <xf numFmtId="190" fontId="72" fillId="0" borderId="0" applyFont="0" applyFill="0" applyBorder="0" applyAlignment="0" applyProtection="0"/>
    <xf numFmtId="190" fontId="72" fillId="0" borderId="0" applyFont="0" applyFill="0" applyBorder="0" applyAlignment="0" applyProtection="0"/>
    <xf numFmtId="190" fontId="72" fillId="0" borderId="0" applyFont="0" applyFill="0" applyBorder="0" applyAlignment="0" applyProtection="0"/>
    <xf numFmtId="190" fontId="72" fillId="0" borderId="0" applyFont="0" applyFill="0" applyBorder="0" applyAlignment="0" applyProtection="0"/>
    <xf numFmtId="190" fontId="72" fillId="0" borderId="0" applyFont="0" applyFill="0" applyBorder="0" applyAlignment="0" applyProtection="0"/>
    <xf numFmtId="190" fontId="72" fillId="0" borderId="0" applyFont="0" applyFill="0" applyBorder="0" applyAlignment="0" applyProtection="0"/>
    <xf numFmtId="190" fontId="72" fillId="0" borderId="0" applyFont="0" applyFill="0" applyBorder="0" applyAlignment="0" applyProtection="0"/>
    <xf numFmtId="43" fontId="72" fillId="0" borderId="0" applyFont="0" applyFill="0" applyBorder="0" applyAlignment="0" applyProtection="0"/>
    <xf numFmtId="168" fontId="72" fillId="0" borderId="0" applyFont="0" applyFill="0" applyBorder="0" applyAlignment="0" applyProtection="0"/>
    <xf numFmtId="175" fontId="72" fillId="0" borderId="0" applyFont="0" applyFill="0" applyBorder="0" applyAlignment="0" applyProtection="0"/>
    <xf numFmtId="175" fontId="72" fillId="0" borderId="0" applyFont="0" applyFill="0" applyBorder="0" applyAlignment="0" applyProtection="0"/>
    <xf numFmtId="168" fontId="72" fillId="0" borderId="0" applyFont="0" applyFill="0" applyBorder="0" applyAlignment="0" applyProtection="0"/>
    <xf numFmtId="175" fontId="72" fillId="0" borderId="0" applyFont="0" applyFill="0" applyBorder="0" applyAlignment="0" applyProtection="0"/>
    <xf numFmtId="190" fontId="72" fillId="0" borderId="0" applyFont="0" applyFill="0" applyBorder="0" applyAlignment="0" applyProtection="0"/>
    <xf numFmtId="168" fontId="72" fillId="0" borderId="0" applyFont="0" applyFill="0" applyBorder="0" applyAlignment="0" applyProtection="0"/>
    <xf numFmtId="175" fontId="72" fillId="0" borderId="0" applyFont="0" applyFill="0" applyBorder="0" applyAlignment="0" applyProtection="0"/>
    <xf numFmtId="190" fontId="72" fillId="0" borderId="0" applyFont="0" applyFill="0" applyBorder="0" applyAlignment="0" applyProtection="0"/>
    <xf numFmtId="175" fontId="72" fillId="0" borderId="0" applyFont="0" applyFill="0" applyBorder="0" applyAlignment="0" applyProtection="0"/>
    <xf numFmtId="193" fontId="72" fillId="0" borderId="0" applyFont="0" applyFill="0" applyBorder="0" applyAlignment="0" applyProtection="0"/>
    <xf numFmtId="168" fontId="72" fillId="0" borderId="0" applyFont="0" applyFill="0" applyBorder="0" applyAlignment="0" applyProtection="0"/>
    <xf numFmtId="43" fontId="72" fillId="0" borderId="0" applyFont="0" applyFill="0" applyBorder="0" applyAlignment="0" applyProtection="0"/>
    <xf numFmtId="193" fontId="72" fillId="0" borderId="0" applyFont="0" applyFill="0" applyBorder="0" applyAlignment="0" applyProtection="0"/>
    <xf numFmtId="192" fontId="72" fillId="0" borderId="0" applyFont="0" applyFill="0" applyBorder="0" applyAlignment="0" applyProtection="0"/>
    <xf numFmtId="175" fontId="72" fillId="0" borderId="0" applyFont="0" applyFill="0" applyBorder="0" applyAlignment="0" applyProtection="0"/>
    <xf numFmtId="190" fontId="72" fillId="0" borderId="0" applyFont="0" applyFill="0" applyBorder="0" applyAlignment="0" applyProtection="0"/>
    <xf numFmtId="190" fontId="72" fillId="0" borderId="0" applyFont="0" applyFill="0" applyBorder="0" applyAlignment="0" applyProtection="0"/>
    <xf numFmtId="175" fontId="72" fillId="0" borderId="0" applyFont="0" applyFill="0" applyBorder="0" applyAlignment="0" applyProtection="0"/>
    <xf numFmtId="193" fontId="72" fillId="0" borderId="0" applyFont="0" applyFill="0" applyBorder="0" applyAlignment="0" applyProtection="0"/>
    <xf numFmtId="168" fontId="72" fillId="0" borderId="0" applyFont="0" applyFill="0" applyBorder="0" applyAlignment="0" applyProtection="0"/>
    <xf numFmtId="176" fontId="72" fillId="0" borderId="0" applyFont="0" applyFill="0" applyBorder="0" applyAlignment="0" applyProtection="0"/>
    <xf numFmtId="176" fontId="72" fillId="0" borderId="0" applyFont="0" applyFill="0" applyBorder="0" applyAlignment="0" applyProtection="0"/>
    <xf numFmtId="190" fontId="72" fillId="0" borderId="0" applyFont="0" applyFill="0" applyBorder="0" applyAlignment="0" applyProtection="0"/>
    <xf numFmtId="176" fontId="72" fillId="0" borderId="0" applyFont="0" applyFill="0" applyBorder="0" applyAlignment="0" applyProtection="0"/>
    <xf numFmtId="190" fontId="72" fillId="0" borderId="0" applyFont="0" applyFill="0" applyBorder="0" applyAlignment="0" applyProtection="0"/>
    <xf numFmtId="175" fontId="72" fillId="0" borderId="0" applyFont="0" applyFill="0" applyBorder="0" applyAlignment="0" applyProtection="0"/>
    <xf numFmtId="194" fontId="72" fillId="0" borderId="0" applyFont="0" applyFill="0" applyBorder="0" applyAlignment="0" applyProtection="0"/>
    <xf numFmtId="195" fontId="72" fillId="0" borderId="0" applyFont="0" applyFill="0" applyBorder="0" applyAlignment="0" applyProtection="0"/>
    <xf numFmtId="193" fontId="72" fillId="0" borderId="0" applyFont="0" applyFill="0" applyBorder="0" applyAlignment="0" applyProtection="0"/>
    <xf numFmtId="175" fontId="72" fillId="0" borderId="0" applyFont="0" applyFill="0" applyBorder="0" applyAlignment="0" applyProtection="0"/>
    <xf numFmtId="175" fontId="72" fillId="0" borderId="0" applyFont="0" applyFill="0" applyBorder="0" applyAlignment="0" applyProtection="0"/>
    <xf numFmtId="175" fontId="72" fillId="0" borderId="0" applyFont="0" applyFill="0" applyBorder="0" applyAlignment="0" applyProtection="0"/>
    <xf numFmtId="175" fontId="72" fillId="0" borderId="0" applyFont="0" applyFill="0" applyBorder="0" applyAlignment="0" applyProtection="0"/>
    <xf numFmtId="190" fontId="72" fillId="0" borderId="0" applyFont="0" applyFill="0" applyBorder="0" applyAlignment="0" applyProtection="0"/>
    <xf numFmtId="192" fontId="72" fillId="0" borderId="0" applyFont="0" applyFill="0" applyBorder="0" applyAlignment="0" applyProtection="0"/>
    <xf numFmtId="16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178" fontId="65" fillId="0" borderId="0" applyFon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172" fontId="72" fillId="0" borderId="0" applyFont="0" applyFill="0" applyBorder="0" applyAlignment="0" applyProtection="0"/>
    <xf numFmtId="0" fontId="83" fillId="0" borderId="0"/>
    <xf numFmtId="0" fontId="83" fillId="0" borderId="0"/>
    <xf numFmtId="186" fontId="72" fillId="0" borderId="0" applyFont="0" applyFill="0" applyBorder="0" applyAlignment="0" applyProtection="0"/>
    <xf numFmtId="0" fontId="83" fillId="0" borderId="0"/>
    <xf numFmtId="0" fontId="83" fillId="0" borderId="0"/>
    <xf numFmtId="0" fontId="83" fillId="0" borderId="0"/>
    <xf numFmtId="172"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189" fontId="72" fillId="0" borderId="0" applyFon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180" fontId="72" fillId="0" borderId="0" applyFont="0" applyFill="0" applyBorder="0" applyAlignment="0" applyProtection="0"/>
    <xf numFmtId="196" fontId="72" fillId="0" borderId="0" applyFont="0" applyFill="0" applyBorder="0" applyAlignment="0" applyProtection="0"/>
    <xf numFmtId="196" fontId="72" fillId="0" borderId="0" applyFont="0" applyFill="0" applyBorder="0" applyAlignment="0" applyProtection="0"/>
    <xf numFmtId="196" fontId="72" fillId="0" borderId="0" applyFont="0" applyFill="0" applyBorder="0" applyAlignment="0" applyProtection="0"/>
    <xf numFmtId="196" fontId="72" fillId="0" borderId="0" applyFont="0" applyFill="0" applyBorder="0" applyAlignment="0" applyProtection="0"/>
    <xf numFmtId="180" fontId="65" fillId="0" borderId="0" applyFont="0" applyFill="0" applyBorder="0" applyAlignment="0" applyProtection="0"/>
    <xf numFmtId="197" fontId="87" fillId="0" borderId="0" applyFont="0" applyFill="0" applyBorder="0" applyAlignment="0" applyProtection="0"/>
    <xf numFmtId="196" fontId="72" fillId="0" borderId="0" applyFont="0" applyFill="0" applyBorder="0" applyAlignment="0" applyProtection="0"/>
    <xf numFmtId="196" fontId="72" fillId="0" borderId="0" applyFont="0" applyFill="0" applyBorder="0" applyAlignment="0" applyProtection="0"/>
    <xf numFmtId="196" fontId="72" fillId="0" borderId="0" applyFont="0" applyFill="0" applyBorder="0" applyAlignment="0" applyProtection="0"/>
    <xf numFmtId="196" fontId="72" fillId="0" borderId="0" applyFont="0" applyFill="0" applyBorder="0" applyAlignment="0" applyProtection="0"/>
    <xf numFmtId="196" fontId="72" fillId="0" borderId="0" applyFont="0" applyFill="0" applyBorder="0" applyAlignment="0" applyProtection="0"/>
    <xf numFmtId="180" fontId="72" fillId="0" borderId="0" applyFont="0" applyFill="0" applyBorder="0" applyAlignment="0" applyProtection="0"/>
    <xf numFmtId="0" fontId="83" fillId="0" borderId="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83" fillId="0" borderId="0"/>
    <xf numFmtId="0" fontId="83" fillId="0" borderId="0"/>
    <xf numFmtId="172"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0" fontId="83" fillId="0" borderId="0"/>
    <xf numFmtId="198"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67" fontId="65" fillId="0" borderId="0" applyFont="0" applyFill="0" applyBorder="0" applyAlignment="0" applyProtection="0"/>
    <xf numFmtId="188" fontId="72" fillId="0" borderId="0" applyFont="0" applyFill="0" applyBorder="0" applyAlignment="0" applyProtection="0"/>
    <xf numFmtId="173" fontId="72" fillId="0" borderId="0" applyFont="0" applyFill="0" applyBorder="0" applyAlignment="0" applyProtection="0"/>
    <xf numFmtId="173" fontId="72" fillId="0" borderId="0" applyFont="0" applyFill="0" applyBorder="0" applyAlignment="0" applyProtection="0"/>
    <xf numFmtId="167" fontId="72" fillId="0" borderId="0" applyFont="0" applyFill="0" applyBorder="0" applyAlignment="0" applyProtection="0"/>
    <xf numFmtId="41" fontId="72" fillId="0" borderId="0" applyFont="0" applyFill="0" applyBorder="0" applyAlignment="0" applyProtection="0"/>
    <xf numFmtId="199" fontId="72" fillId="0" borderId="0" applyFont="0" applyFill="0" applyBorder="0" applyAlignment="0" applyProtection="0"/>
    <xf numFmtId="200" fontId="72" fillId="0" borderId="0" applyFont="0" applyFill="0" applyBorder="0" applyAlignment="0" applyProtection="0"/>
    <xf numFmtId="188" fontId="72" fillId="0" borderId="0" applyFont="0" applyFill="0" applyBorder="0" applyAlignment="0" applyProtection="0"/>
    <xf numFmtId="200" fontId="72" fillId="0" borderId="0" applyFont="0" applyFill="0" applyBorder="0" applyAlignment="0" applyProtection="0"/>
    <xf numFmtId="41" fontId="72" fillId="0" borderId="0" applyFont="0" applyFill="0" applyBorder="0" applyAlignment="0" applyProtection="0"/>
    <xf numFmtId="201" fontId="72" fillId="0" borderId="0" applyFont="0" applyFill="0" applyBorder="0" applyAlignment="0" applyProtection="0"/>
    <xf numFmtId="173" fontId="72" fillId="0" borderId="0" applyFont="0" applyFill="0" applyBorder="0" applyAlignment="0" applyProtection="0"/>
    <xf numFmtId="167" fontId="72" fillId="0" borderId="0" applyFont="0" applyFill="0" applyBorder="0" applyAlignment="0" applyProtection="0"/>
    <xf numFmtId="167" fontId="72" fillId="0" borderId="0" applyFont="0" applyFill="0" applyBorder="0" applyAlignment="0" applyProtection="0"/>
    <xf numFmtId="167" fontId="72" fillId="0" borderId="0" applyFont="0" applyFill="0" applyBorder="0" applyAlignment="0" applyProtection="0"/>
    <xf numFmtId="173" fontId="72" fillId="0" borderId="0" applyFont="0" applyFill="0" applyBorder="0" applyAlignment="0" applyProtection="0"/>
    <xf numFmtId="188" fontId="72" fillId="0" borderId="0" applyFont="0" applyFill="0" applyBorder="0" applyAlignment="0" applyProtection="0"/>
    <xf numFmtId="202" fontId="72" fillId="0" borderId="0" applyFont="0" applyFill="0" applyBorder="0" applyAlignment="0" applyProtection="0"/>
    <xf numFmtId="173" fontId="72" fillId="0" borderId="0" applyFont="0" applyFill="0" applyBorder="0" applyAlignment="0" applyProtection="0"/>
    <xf numFmtId="173" fontId="72" fillId="0" borderId="0" applyFont="0" applyFill="0" applyBorder="0" applyAlignment="0" applyProtection="0"/>
    <xf numFmtId="167" fontId="72" fillId="0" borderId="0" applyFont="0" applyFill="0" applyBorder="0" applyAlignment="0" applyProtection="0"/>
    <xf numFmtId="200" fontId="72" fillId="0" borderId="0" applyFont="0" applyFill="0" applyBorder="0" applyAlignment="0" applyProtection="0"/>
    <xf numFmtId="173" fontId="72" fillId="0" borderId="0" applyFont="0" applyFill="0" applyBorder="0" applyAlignment="0" applyProtection="0"/>
    <xf numFmtId="199" fontId="72" fillId="0" borderId="0" applyFont="0" applyFill="0" applyBorder="0" applyAlignment="0" applyProtection="0"/>
    <xf numFmtId="41" fontId="72" fillId="0" borderId="0" applyFont="0" applyFill="0" applyBorder="0" applyAlignment="0" applyProtection="0"/>
    <xf numFmtId="41" fontId="72" fillId="0" borderId="0" applyFont="0" applyFill="0" applyBorder="0" applyAlignment="0" applyProtection="0"/>
    <xf numFmtId="41" fontId="72" fillId="0" borderId="0" applyFont="0" applyFill="0" applyBorder="0" applyAlignment="0" applyProtection="0"/>
    <xf numFmtId="41" fontId="72" fillId="0" borderId="0" applyFont="0" applyFill="0" applyBorder="0" applyAlignment="0" applyProtection="0"/>
    <xf numFmtId="167" fontId="72" fillId="0" borderId="0" applyFont="0" applyFill="0" applyBorder="0" applyAlignment="0" applyProtection="0"/>
    <xf numFmtId="41" fontId="72" fillId="0" borderId="0" applyFont="0" applyFill="0" applyBorder="0" applyAlignment="0" applyProtection="0"/>
    <xf numFmtId="188" fontId="72" fillId="0" borderId="0" applyFont="0" applyFill="0" applyBorder="0" applyAlignment="0" applyProtection="0"/>
    <xf numFmtId="188" fontId="65" fillId="0" borderId="0" applyFont="0" applyFill="0" applyBorder="0" applyAlignment="0" applyProtection="0"/>
    <xf numFmtId="167" fontId="72" fillId="0" borderId="0" applyFont="0" applyFill="0" applyBorder="0" applyAlignment="0" applyProtection="0"/>
    <xf numFmtId="167" fontId="72" fillId="0" borderId="0" applyFont="0" applyFill="0" applyBorder="0" applyAlignment="0" applyProtection="0"/>
    <xf numFmtId="167" fontId="72" fillId="0" borderId="0" applyFont="0" applyFill="0" applyBorder="0" applyAlignment="0" applyProtection="0"/>
    <xf numFmtId="201" fontId="72" fillId="0" borderId="0" applyFont="0" applyFill="0" applyBorder="0" applyAlignment="0" applyProtection="0"/>
    <xf numFmtId="188" fontId="72" fillId="0" borderId="0" applyFont="0" applyFill="0" applyBorder="0" applyAlignment="0" applyProtection="0"/>
    <xf numFmtId="203" fontId="72" fillId="0" borderId="0" applyFont="0" applyFill="0" applyBorder="0" applyAlignment="0" applyProtection="0"/>
    <xf numFmtId="188" fontId="72" fillId="0" borderId="0" applyFont="0" applyFill="0" applyBorder="0" applyAlignment="0" applyProtection="0"/>
    <xf numFmtId="202" fontId="72" fillId="0" borderId="0" applyFont="0" applyFill="0" applyBorder="0" applyAlignment="0" applyProtection="0"/>
    <xf numFmtId="188" fontId="72" fillId="0" borderId="0" applyFont="0" applyFill="0" applyBorder="0" applyAlignment="0" applyProtection="0"/>
    <xf numFmtId="188" fontId="72" fillId="0" borderId="0" applyFont="0" applyFill="0" applyBorder="0" applyAlignment="0" applyProtection="0"/>
    <xf numFmtId="188" fontId="72" fillId="0" borderId="0" applyFont="0" applyFill="0" applyBorder="0" applyAlignment="0" applyProtection="0"/>
    <xf numFmtId="188" fontId="72" fillId="0" borderId="0" applyFont="0" applyFill="0" applyBorder="0" applyAlignment="0" applyProtection="0"/>
    <xf numFmtId="188" fontId="72" fillId="0" borderId="0" applyFont="0" applyFill="0" applyBorder="0" applyAlignment="0" applyProtection="0"/>
    <xf numFmtId="188" fontId="72" fillId="0" borderId="0" applyFont="0" applyFill="0" applyBorder="0" applyAlignment="0" applyProtection="0"/>
    <xf numFmtId="188" fontId="72" fillId="0" borderId="0" applyFont="0" applyFill="0" applyBorder="0" applyAlignment="0" applyProtection="0"/>
    <xf numFmtId="188" fontId="72" fillId="0" borderId="0" applyFont="0" applyFill="0" applyBorder="0" applyAlignment="0" applyProtection="0"/>
    <xf numFmtId="188" fontId="72" fillId="0" borderId="0" applyFont="0" applyFill="0" applyBorder="0" applyAlignment="0" applyProtection="0"/>
    <xf numFmtId="41" fontId="72" fillId="0" borderId="0" applyFont="0" applyFill="0" applyBorder="0" applyAlignment="0" applyProtection="0"/>
    <xf numFmtId="167" fontId="72" fillId="0" borderId="0" applyFont="0" applyFill="0" applyBorder="0" applyAlignment="0" applyProtection="0"/>
    <xf numFmtId="173" fontId="72" fillId="0" borderId="0" applyFont="0" applyFill="0" applyBorder="0" applyAlignment="0" applyProtection="0"/>
    <xf numFmtId="173" fontId="72" fillId="0" borderId="0" applyFont="0" applyFill="0" applyBorder="0" applyAlignment="0" applyProtection="0"/>
    <xf numFmtId="167" fontId="72" fillId="0" borderId="0" applyFont="0" applyFill="0" applyBorder="0" applyAlignment="0" applyProtection="0"/>
    <xf numFmtId="173" fontId="72" fillId="0" borderId="0" applyFont="0" applyFill="0" applyBorder="0" applyAlignment="0" applyProtection="0"/>
    <xf numFmtId="188" fontId="72" fillId="0" borderId="0" applyFont="0" applyFill="0" applyBorder="0" applyAlignment="0" applyProtection="0"/>
    <xf numFmtId="167" fontId="72" fillId="0" borderId="0" applyFont="0" applyFill="0" applyBorder="0" applyAlignment="0" applyProtection="0"/>
    <xf numFmtId="173" fontId="72" fillId="0" borderId="0" applyFont="0" applyFill="0" applyBorder="0" applyAlignment="0" applyProtection="0"/>
    <xf numFmtId="188" fontId="72" fillId="0" borderId="0" applyFont="0" applyFill="0" applyBorder="0" applyAlignment="0" applyProtection="0"/>
    <xf numFmtId="173" fontId="72" fillId="0" borderId="0" applyFont="0" applyFill="0" applyBorder="0" applyAlignment="0" applyProtection="0"/>
    <xf numFmtId="202" fontId="72" fillId="0" borderId="0" applyFont="0" applyFill="0" applyBorder="0" applyAlignment="0" applyProtection="0"/>
    <xf numFmtId="167" fontId="72" fillId="0" borderId="0" applyFont="0" applyFill="0" applyBorder="0" applyAlignment="0" applyProtection="0"/>
    <xf numFmtId="41" fontId="72" fillId="0" borderId="0" applyFont="0" applyFill="0" applyBorder="0" applyAlignment="0" applyProtection="0"/>
    <xf numFmtId="202" fontId="72" fillId="0" borderId="0" applyFont="0" applyFill="0" applyBorder="0" applyAlignment="0" applyProtection="0"/>
    <xf numFmtId="201" fontId="72" fillId="0" borderId="0" applyFont="0" applyFill="0" applyBorder="0" applyAlignment="0" applyProtection="0"/>
    <xf numFmtId="173" fontId="72" fillId="0" borderId="0" applyFont="0" applyFill="0" applyBorder="0" applyAlignment="0" applyProtection="0"/>
    <xf numFmtId="188" fontId="72" fillId="0" borderId="0" applyFont="0" applyFill="0" applyBorder="0" applyAlignment="0" applyProtection="0"/>
    <xf numFmtId="188" fontId="72" fillId="0" borderId="0" applyFont="0" applyFill="0" applyBorder="0" applyAlignment="0" applyProtection="0"/>
    <xf numFmtId="173" fontId="72" fillId="0" borderId="0" applyFont="0" applyFill="0" applyBorder="0" applyAlignment="0" applyProtection="0"/>
    <xf numFmtId="202" fontId="72" fillId="0" borderId="0" applyFont="0" applyFill="0" applyBorder="0" applyAlignment="0" applyProtection="0"/>
    <xf numFmtId="167" fontId="72" fillId="0" borderId="0" applyFont="0" applyFill="0" applyBorder="0" applyAlignment="0" applyProtection="0"/>
    <xf numFmtId="200" fontId="72" fillId="0" borderId="0" applyFont="0" applyFill="0" applyBorder="0" applyAlignment="0" applyProtection="0"/>
    <xf numFmtId="200" fontId="72" fillId="0" borderId="0" applyFont="0" applyFill="0" applyBorder="0" applyAlignment="0" applyProtection="0"/>
    <xf numFmtId="188" fontId="72" fillId="0" borderId="0" applyFont="0" applyFill="0" applyBorder="0" applyAlignment="0" applyProtection="0"/>
    <xf numFmtId="200" fontId="72" fillId="0" borderId="0" applyFont="0" applyFill="0" applyBorder="0" applyAlignment="0" applyProtection="0"/>
    <xf numFmtId="188" fontId="72" fillId="0" borderId="0" applyFont="0" applyFill="0" applyBorder="0" applyAlignment="0" applyProtection="0"/>
    <xf numFmtId="173" fontId="72" fillId="0" borderId="0" applyFont="0" applyFill="0" applyBorder="0" applyAlignment="0" applyProtection="0"/>
    <xf numFmtId="204" fontId="72" fillId="0" borderId="0" applyFont="0" applyFill="0" applyBorder="0" applyAlignment="0" applyProtection="0"/>
    <xf numFmtId="205" fontId="72" fillId="0" borderId="0" applyFont="0" applyFill="0" applyBorder="0" applyAlignment="0" applyProtection="0"/>
    <xf numFmtId="202" fontId="72" fillId="0" borderId="0" applyFont="0" applyFill="0" applyBorder="0" applyAlignment="0" applyProtection="0"/>
    <xf numFmtId="173" fontId="72" fillId="0" borderId="0" applyFont="0" applyFill="0" applyBorder="0" applyAlignment="0" applyProtection="0"/>
    <xf numFmtId="173" fontId="72" fillId="0" borderId="0" applyFont="0" applyFill="0" applyBorder="0" applyAlignment="0" applyProtection="0"/>
    <xf numFmtId="173" fontId="72" fillId="0" borderId="0" applyFont="0" applyFill="0" applyBorder="0" applyAlignment="0" applyProtection="0"/>
    <xf numFmtId="173" fontId="72" fillId="0" borderId="0" applyFont="0" applyFill="0" applyBorder="0" applyAlignment="0" applyProtection="0"/>
    <xf numFmtId="188" fontId="72" fillId="0" borderId="0" applyFont="0" applyFill="0" applyBorder="0" applyAlignment="0" applyProtection="0"/>
    <xf numFmtId="201" fontId="72" fillId="0" borderId="0" applyFont="0" applyFill="0" applyBorder="0" applyAlignment="0" applyProtection="0"/>
    <xf numFmtId="190" fontId="72" fillId="0" borderId="0" applyFont="0" applyFill="0" applyBorder="0" applyAlignment="0" applyProtection="0"/>
    <xf numFmtId="175" fontId="72" fillId="0" borderId="0" applyFont="0" applyFill="0" applyBorder="0" applyAlignment="0" applyProtection="0"/>
    <xf numFmtId="175" fontId="72" fillId="0" borderId="0" applyFont="0" applyFill="0" applyBorder="0" applyAlignment="0" applyProtection="0"/>
    <xf numFmtId="168" fontId="72" fillId="0" borderId="0" applyFont="0" applyFill="0" applyBorder="0" applyAlignment="0" applyProtection="0"/>
    <xf numFmtId="43" fontId="72" fillId="0" borderId="0" applyFont="0" applyFill="0" applyBorder="0" applyAlignment="0" applyProtection="0"/>
    <xf numFmtId="191" fontId="72" fillId="0" borderId="0" applyFont="0" applyFill="0" applyBorder="0" applyAlignment="0" applyProtection="0"/>
    <xf numFmtId="176" fontId="72" fillId="0" borderId="0" applyFont="0" applyFill="0" applyBorder="0" applyAlignment="0" applyProtection="0"/>
    <xf numFmtId="190" fontId="72" fillId="0" borderId="0" applyFont="0" applyFill="0" applyBorder="0" applyAlignment="0" applyProtection="0"/>
    <xf numFmtId="176" fontId="72" fillId="0" borderId="0" applyFont="0" applyFill="0" applyBorder="0" applyAlignment="0" applyProtection="0"/>
    <xf numFmtId="43" fontId="72" fillId="0" borderId="0" applyFont="0" applyFill="0" applyBorder="0" applyAlignment="0" applyProtection="0"/>
    <xf numFmtId="192" fontId="72" fillId="0" borderId="0" applyFont="0" applyFill="0" applyBorder="0" applyAlignment="0" applyProtection="0"/>
    <xf numFmtId="175" fontId="72" fillId="0" borderId="0" applyFont="0" applyFill="0" applyBorder="0" applyAlignment="0" applyProtection="0"/>
    <xf numFmtId="168" fontId="72" fillId="0" borderId="0" applyFont="0" applyFill="0" applyBorder="0" applyAlignment="0" applyProtection="0"/>
    <xf numFmtId="168" fontId="72" fillId="0" borderId="0" applyFont="0" applyFill="0" applyBorder="0" applyAlignment="0" applyProtection="0"/>
    <xf numFmtId="168" fontId="72" fillId="0" borderId="0" applyFont="0" applyFill="0" applyBorder="0" applyAlignment="0" applyProtection="0"/>
    <xf numFmtId="175" fontId="72" fillId="0" borderId="0" applyFont="0" applyFill="0" applyBorder="0" applyAlignment="0" applyProtection="0"/>
    <xf numFmtId="190" fontId="72" fillId="0" borderId="0" applyFont="0" applyFill="0" applyBorder="0" applyAlignment="0" applyProtection="0"/>
    <xf numFmtId="193" fontId="72" fillId="0" borderId="0" applyFont="0" applyFill="0" applyBorder="0" applyAlignment="0" applyProtection="0"/>
    <xf numFmtId="175" fontId="72" fillId="0" borderId="0" applyFont="0" applyFill="0" applyBorder="0" applyAlignment="0" applyProtection="0"/>
    <xf numFmtId="175" fontId="72" fillId="0" borderId="0" applyFont="0" applyFill="0" applyBorder="0" applyAlignment="0" applyProtection="0"/>
    <xf numFmtId="168" fontId="72" fillId="0" borderId="0" applyFont="0" applyFill="0" applyBorder="0" applyAlignment="0" applyProtection="0"/>
    <xf numFmtId="176" fontId="72" fillId="0" borderId="0" applyFont="0" applyFill="0" applyBorder="0" applyAlignment="0" applyProtection="0"/>
    <xf numFmtId="175" fontId="72" fillId="0" borderId="0" applyFont="0" applyFill="0" applyBorder="0" applyAlignment="0" applyProtection="0"/>
    <xf numFmtId="191"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168" fontId="72" fillId="0" borderId="0" applyFont="0" applyFill="0" applyBorder="0" applyAlignment="0" applyProtection="0"/>
    <xf numFmtId="43" fontId="72" fillId="0" borderId="0" applyFont="0" applyFill="0" applyBorder="0" applyAlignment="0" applyProtection="0"/>
    <xf numFmtId="190" fontId="72" fillId="0" borderId="0" applyFont="0" applyFill="0" applyBorder="0" applyAlignment="0" applyProtection="0"/>
    <xf numFmtId="0" fontId="72" fillId="0" borderId="0" applyFont="0" applyFill="0" applyBorder="0" applyAlignment="0" applyProtection="0"/>
    <xf numFmtId="168" fontId="72" fillId="0" borderId="0" applyFont="0" applyFill="0" applyBorder="0" applyAlignment="0" applyProtection="0"/>
    <xf numFmtId="168" fontId="72" fillId="0" borderId="0" applyFont="0" applyFill="0" applyBorder="0" applyAlignment="0" applyProtection="0"/>
    <xf numFmtId="168" fontId="72" fillId="0" borderId="0" applyFont="0" applyFill="0" applyBorder="0" applyAlignment="0" applyProtection="0"/>
    <xf numFmtId="192" fontId="72" fillId="0" borderId="0" applyFont="0" applyFill="0" applyBorder="0" applyAlignment="0" applyProtection="0"/>
    <xf numFmtId="190" fontId="72" fillId="0" borderId="0" applyFont="0" applyFill="0" applyBorder="0" applyAlignment="0" applyProtection="0"/>
    <xf numFmtId="190" fontId="72" fillId="0" borderId="0" applyFont="0" applyFill="0" applyBorder="0" applyAlignment="0" applyProtection="0"/>
    <xf numFmtId="190" fontId="72" fillId="0" borderId="0" applyFont="0" applyFill="0" applyBorder="0" applyAlignment="0" applyProtection="0"/>
    <xf numFmtId="193" fontId="72" fillId="0" borderId="0" applyFont="0" applyFill="0" applyBorder="0" applyAlignment="0" applyProtection="0"/>
    <xf numFmtId="190" fontId="72" fillId="0" borderId="0" applyFont="0" applyFill="0" applyBorder="0" applyAlignment="0" applyProtection="0"/>
    <xf numFmtId="190" fontId="72" fillId="0" borderId="0" applyFont="0" applyFill="0" applyBorder="0" applyAlignment="0" applyProtection="0"/>
    <xf numFmtId="190" fontId="72" fillId="0" borderId="0" applyFont="0" applyFill="0" applyBorder="0" applyAlignment="0" applyProtection="0"/>
    <xf numFmtId="190" fontId="72" fillId="0" borderId="0" applyFont="0" applyFill="0" applyBorder="0" applyAlignment="0" applyProtection="0"/>
    <xf numFmtId="190" fontId="72" fillId="0" borderId="0" applyFont="0" applyFill="0" applyBorder="0" applyAlignment="0" applyProtection="0"/>
    <xf numFmtId="190" fontId="72" fillId="0" borderId="0" applyFont="0" applyFill="0" applyBorder="0" applyAlignment="0" applyProtection="0"/>
    <xf numFmtId="190" fontId="72" fillId="0" borderId="0" applyFont="0" applyFill="0" applyBorder="0" applyAlignment="0" applyProtection="0"/>
    <xf numFmtId="190" fontId="72" fillId="0" borderId="0" applyFont="0" applyFill="0" applyBorder="0" applyAlignment="0" applyProtection="0"/>
    <xf numFmtId="190" fontId="72" fillId="0" borderId="0" applyFont="0" applyFill="0" applyBorder="0" applyAlignment="0" applyProtection="0"/>
    <xf numFmtId="43" fontId="72" fillId="0" borderId="0" applyFont="0" applyFill="0" applyBorder="0" applyAlignment="0" applyProtection="0"/>
    <xf numFmtId="168" fontId="72" fillId="0" borderId="0" applyFont="0" applyFill="0" applyBorder="0" applyAlignment="0" applyProtection="0"/>
    <xf numFmtId="175" fontId="72" fillId="0" borderId="0" applyFont="0" applyFill="0" applyBorder="0" applyAlignment="0" applyProtection="0"/>
    <xf numFmtId="175" fontId="72" fillId="0" borderId="0" applyFont="0" applyFill="0" applyBorder="0" applyAlignment="0" applyProtection="0"/>
    <xf numFmtId="168" fontId="72" fillId="0" borderId="0" applyFont="0" applyFill="0" applyBorder="0" applyAlignment="0" applyProtection="0"/>
    <xf numFmtId="175" fontId="72" fillId="0" borderId="0" applyFont="0" applyFill="0" applyBorder="0" applyAlignment="0" applyProtection="0"/>
    <xf numFmtId="190" fontId="72" fillId="0" borderId="0" applyFont="0" applyFill="0" applyBorder="0" applyAlignment="0" applyProtection="0"/>
    <xf numFmtId="168" fontId="72" fillId="0" borderId="0" applyFont="0" applyFill="0" applyBorder="0" applyAlignment="0" applyProtection="0"/>
    <xf numFmtId="175" fontId="72" fillId="0" borderId="0" applyFont="0" applyFill="0" applyBorder="0" applyAlignment="0" applyProtection="0"/>
    <xf numFmtId="190" fontId="72" fillId="0" borderId="0" applyFont="0" applyFill="0" applyBorder="0" applyAlignment="0" applyProtection="0"/>
    <xf numFmtId="175" fontId="72" fillId="0" borderId="0" applyFont="0" applyFill="0" applyBorder="0" applyAlignment="0" applyProtection="0"/>
    <xf numFmtId="193" fontId="72" fillId="0" borderId="0" applyFont="0" applyFill="0" applyBorder="0" applyAlignment="0" applyProtection="0"/>
    <xf numFmtId="168" fontId="72" fillId="0" borderId="0" applyFont="0" applyFill="0" applyBorder="0" applyAlignment="0" applyProtection="0"/>
    <xf numFmtId="43" fontId="72" fillId="0" borderId="0" applyFont="0" applyFill="0" applyBorder="0" applyAlignment="0" applyProtection="0"/>
    <xf numFmtId="193" fontId="72" fillId="0" borderId="0" applyFont="0" applyFill="0" applyBorder="0" applyAlignment="0" applyProtection="0"/>
    <xf numFmtId="192" fontId="72" fillId="0" borderId="0" applyFont="0" applyFill="0" applyBorder="0" applyAlignment="0" applyProtection="0"/>
    <xf numFmtId="175" fontId="72" fillId="0" borderId="0" applyFont="0" applyFill="0" applyBorder="0" applyAlignment="0" applyProtection="0"/>
    <xf numFmtId="190" fontId="72" fillId="0" borderId="0" applyFont="0" applyFill="0" applyBorder="0" applyAlignment="0" applyProtection="0"/>
    <xf numFmtId="190" fontId="72" fillId="0" borderId="0" applyFont="0" applyFill="0" applyBorder="0" applyAlignment="0" applyProtection="0"/>
    <xf numFmtId="175" fontId="72" fillId="0" borderId="0" applyFont="0" applyFill="0" applyBorder="0" applyAlignment="0" applyProtection="0"/>
    <xf numFmtId="193" fontId="72" fillId="0" borderId="0" applyFont="0" applyFill="0" applyBorder="0" applyAlignment="0" applyProtection="0"/>
    <xf numFmtId="168" fontId="72" fillId="0" borderId="0" applyFont="0" applyFill="0" applyBorder="0" applyAlignment="0" applyProtection="0"/>
    <xf numFmtId="176" fontId="72" fillId="0" borderId="0" applyFont="0" applyFill="0" applyBorder="0" applyAlignment="0" applyProtection="0"/>
    <xf numFmtId="176" fontId="72" fillId="0" borderId="0" applyFont="0" applyFill="0" applyBorder="0" applyAlignment="0" applyProtection="0"/>
    <xf numFmtId="190" fontId="72" fillId="0" borderId="0" applyFont="0" applyFill="0" applyBorder="0" applyAlignment="0" applyProtection="0"/>
    <xf numFmtId="176" fontId="72" fillId="0" borderId="0" applyFont="0" applyFill="0" applyBorder="0" applyAlignment="0" applyProtection="0"/>
    <xf numFmtId="190" fontId="72" fillId="0" borderId="0" applyFont="0" applyFill="0" applyBorder="0" applyAlignment="0" applyProtection="0"/>
    <xf numFmtId="175" fontId="72" fillId="0" borderId="0" applyFont="0" applyFill="0" applyBorder="0" applyAlignment="0" applyProtection="0"/>
    <xf numFmtId="194" fontId="72" fillId="0" borderId="0" applyFont="0" applyFill="0" applyBorder="0" applyAlignment="0" applyProtection="0"/>
    <xf numFmtId="195" fontId="72" fillId="0" borderId="0" applyFont="0" applyFill="0" applyBorder="0" applyAlignment="0" applyProtection="0"/>
    <xf numFmtId="193" fontId="72" fillId="0" borderId="0" applyFont="0" applyFill="0" applyBorder="0" applyAlignment="0" applyProtection="0"/>
    <xf numFmtId="175" fontId="72" fillId="0" borderId="0" applyFont="0" applyFill="0" applyBorder="0" applyAlignment="0" applyProtection="0"/>
    <xf numFmtId="175" fontId="72" fillId="0" borderId="0" applyFont="0" applyFill="0" applyBorder="0" applyAlignment="0" applyProtection="0"/>
    <xf numFmtId="175" fontId="72" fillId="0" borderId="0" applyFont="0" applyFill="0" applyBorder="0" applyAlignment="0" applyProtection="0"/>
    <xf numFmtId="175" fontId="72" fillId="0" borderId="0" applyFont="0" applyFill="0" applyBorder="0" applyAlignment="0" applyProtection="0"/>
    <xf numFmtId="190" fontId="72" fillId="0" borderId="0" applyFont="0" applyFill="0" applyBorder="0" applyAlignment="0" applyProtection="0"/>
    <xf numFmtId="192" fontId="72"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178" fontId="65" fillId="0" borderId="0" applyFont="0" applyFill="0" applyBorder="0" applyAlignment="0" applyProtection="0"/>
    <xf numFmtId="168" fontId="65" fillId="0" borderId="0" applyFont="0" applyFill="0" applyBorder="0" applyAlignment="0" applyProtection="0"/>
    <xf numFmtId="189" fontId="72" fillId="0" borderId="0" applyFont="0" applyFill="0" applyBorder="0" applyAlignment="0" applyProtection="0"/>
    <xf numFmtId="172" fontId="72" fillId="0" borderId="0" applyFon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83" fillId="0" borderId="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172" fontId="72" fillId="0" borderId="0" applyFont="0" applyFill="0" applyBorder="0" applyAlignment="0" applyProtection="0"/>
    <xf numFmtId="0" fontId="85" fillId="0" borderId="0">
      <alignment vertical="top"/>
    </xf>
    <xf numFmtId="0" fontId="85" fillId="0" borderId="0">
      <alignment vertical="top"/>
    </xf>
    <xf numFmtId="0" fontId="84" fillId="0" borderId="0">
      <alignment vertical="top"/>
    </xf>
    <xf numFmtId="0" fontId="84" fillId="0" borderId="0">
      <alignment vertical="top"/>
    </xf>
    <xf numFmtId="0" fontId="84" fillId="0" borderId="0">
      <alignment vertical="top"/>
    </xf>
    <xf numFmtId="0" fontId="85" fillId="0" borderId="0">
      <alignment vertical="top"/>
    </xf>
    <xf numFmtId="0" fontId="85" fillId="0" borderId="0">
      <alignment vertical="top"/>
    </xf>
    <xf numFmtId="0" fontId="84" fillId="0" borderId="0">
      <alignment vertical="top"/>
    </xf>
    <xf numFmtId="0" fontId="84" fillId="0" borderId="0">
      <alignment vertical="top"/>
    </xf>
    <xf numFmtId="0" fontId="84" fillId="0" borderId="0">
      <alignment vertical="top"/>
    </xf>
    <xf numFmtId="0" fontId="85" fillId="0" borderId="0">
      <alignment vertical="top"/>
    </xf>
    <xf numFmtId="0" fontId="3" fillId="0" borderId="0"/>
    <xf numFmtId="0" fontId="85" fillId="0" borderId="0">
      <alignment vertical="top"/>
    </xf>
    <xf numFmtId="0" fontId="85" fillId="0" borderId="0">
      <alignment vertical="top"/>
    </xf>
    <xf numFmtId="0" fontId="85" fillId="0" borderId="0">
      <alignment vertical="top"/>
    </xf>
    <xf numFmtId="0" fontId="84" fillId="0" borderId="0">
      <alignment vertical="top"/>
    </xf>
    <xf numFmtId="0" fontId="84" fillId="0" borderId="0">
      <alignment vertical="top"/>
    </xf>
    <xf numFmtId="0" fontId="84" fillId="0" borderId="0">
      <alignment vertical="top"/>
    </xf>
    <xf numFmtId="0" fontId="85" fillId="0" borderId="0">
      <alignment vertical="top"/>
    </xf>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178" fontId="69" fillId="0" borderId="0" applyProtection="0"/>
    <xf numFmtId="187" fontId="69" fillId="0" borderId="0" applyProtection="0"/>
    <xf numFmtId="187" fontId="69" fillId="0" borderId="0" applyProtection="0"/>
    <xf numFmtId="0" fontId="66" fillId="0" borderId="0" applyProtection="0"/>
    <xf numFmtId="178" fontId="69" fillId="0" borderId="0" applyProtection="0"/>
    <xf numFmtId="187" fontId="69" fillId="0" borderId="0" applyProtection="0"/>
    <xf numFmtId="187" fontId="69" fillId="0" borderId="0" applyProtection="0"/>
    <xf numFmtId="0" fontId="66" fillId="0" borderId="0" applyProtection="0"/>
    <xf numFmtId="189" fontId="72" fillId="0" borderId="0" applyFon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172" fontId="72" fillId="0" borderId="0" applyFont="0" applyFill="0" applyBorder="0" applyAlignment="0" applyProtection="0"/>
    <xf numFmtId="0" fontId="83" fillId="0" borderId="0"/>
    <xf numFmtId="186" fontId="72" fillId="0" borderId="0" applyFont="0" applyFill="0" applyBorder="0" applyAlignment="0" applyProtection="0"/>
    <xf numFmtId="0" fontId="83" fillId="0" borderId="0"/>
    <xf numFmtId="206" fontId="88" fillId="0" borderId="0" applyFont="0" applyFill="0" applyBorder="0" applyAlignment="0" applyProtection="0"/>
    <xf numFmtId="207" fontId="89" fillId="0" borderId="0" applyFont="0" applyFill="0" applyBorder="0" applyAlignment="0" applyProtection="0"/>
    <xf numFmtId="208" fontId="89" fillId="0" borderId="0" applyFont="0" applyFill="0" applyBorder="0" applyAlignment="0" applyProtection="0"/>
    <xf numFmtId="0" fontId="90" fillId="0" borderId="0"/>
    <xf numFmtId="0" fontId="91" fillId="0" borderId="0"/>
    <xf numFmtId="0" fontId="91" fillId="0" borderId="0"/>
    <xf numFmtId="0" fontId="91" fillId="0" borderId="0"/>
    <xf numFmtId="0" fontId="31" fillId="0" borderId="0"/>
    <xf numFmtId="1" fontId="92" fillId="0" borderId="2" applyBorder="0" applyAlignment="0">
      <alignment horizontal="center"/>
    </xf>
    <xf numFmtId="1" fontId="92" fillId="0" borderId="2" applyBorder="0" applyAlignment="0">
      <alignment horizontal="center"/>
    </xf>
    <xf numFmtId="0" fontId="93" fillId="0" borderId="0"/>
    <xf numFmtId="0" fontId="93" fillId="0" borderId="0"/>
    <xf numFmtId="0" fontId="3" fillId="0" borderId="0"/>
    <xf numFmtId="0" fontId="94" fillId="0" borderId="0"/>
    <xf numFmtId="0" fontId="93" fillId="0" borderId="0" applyProtection="0"/>
    <xf numFmtId="3" fontId="67" fillId="0" borderId="2"/>
    <xf numFmtId="3" fontId="67" fillId="0" borderId="2"/>
    <xf numFmtId="3" fontId="67" fillId="0" borderId="2"/>
    <xf numFmtId="3" fontId="67" fillId="0" borderId="2"/>
    <xf numFmtId="206" fontId="88" fillId="0" borderId="0" applyFont="0" applyFill="0" applyBorder="0" applyAlignment="0" applyProtection="0"/>
    <xf numFmtId="0" fontId="95" fillId="3" borderId="0"/>
    <xf numFmtId="0" fontId="95" fillId="3" borderId="0"/>
    <xf numFmtId="0" fontId="95" fillId="3" borderId="0"/>
    <xf numFmtId="206" fontId="88" fillId="0" borderId="0" applyFont="0" applyFill="0" applyBorder="0" applyAlignment="0" applyProtection="0"/>
    <xf numFmtId="0" fontId="95"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206" fontId="88" fillId="0" borderId="0" applyFont="0" applyFill="0" applyBorder="0" applyAlignment="0" applyProtection="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7" fillId="0" borderId="0" applyFont="0" applyFill="0" applyBorder="0" applyAlignment="0">
      <alignment horizontal="left"/>
    </xf>
    <xf numFmtId="0" fontId="95" fillId="3" borderId="0"/>
    <xf numFmtId="0" fontId="97" fillId="0" borderId="0" applyFont="0" applyFill="0" applyBorder="0" applyAlignment="0">
      <alignment horizontal="left"/>
    </xf>
    <xf numFmtId="206" fontId="88" fillId="0" borderId="0" applyFont="0" applyFill="0" applyBorder="0" applyAlignment="0" applyProtection="0"/>
    <xf numFmtId="0" fontId="95" fillId="3" borderId="0"/>
    <xf numFmtId="0" fontId="95" fillId="3" borderId="0"/>
    <xf numFmtId="0" fontId="98" fillId="0" borderId="2" applyNumberFormat="0" applyFont="0" applyBorder="0">
      <alignment horizontal="left" indent="2"/>
    </xf>
    <xf numFmtId="0" fontId="98" fillId="0" borderId="2" applyNumberFormat="0" applyFont="0" applyBorder="0">
      <alignment horizontal="left" indent="2"/>
    </xf>
    <xf numFmtId="0" fontId="97" fillId="0" borderId="0" applyFont="0" applyFill="0" applyBorder="0" applyAlignment="0">
      <alignment horizontal="left"/>
    </xf>
    <xf numFmtId="0" fontId="97" fillId="0" borderId="0" applyFont="0" applyFill="0" applyBorder="0" applyAlignment="0">
      <alignment horizontal="left"/>
    </xf>
    <xf numFmtId="0" fontId="99" fillId="0" borderId="0"/>
    <xf numFmtId="0" fontId="100" fillId="4" borderId="20" applyFont="0" applyFill="0" applyAlignment="0">
      <alignment vertical="center" wrapText="1"/>
    </xf>
    <xf numFmtId="9" fontId="101" fillId="0" borderId="0" applyBorder="0" applyAlignment="0" applyProtection="0"/>
    <xf numFmtId="0" fontId="102" fillId="3" borderId="0"/>
    <xf numFmtId="0" fontId="102"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102" fillId="3" borderId="0"/>
    <xf numFmtId="0" fontId="102" fillId="3" borderId="0"/>
    <xf numFmtId="0" fontId="98" fillId="0" borderId="2" applyNumberFormat="0" applyFont="0" applyBorder="0" applyAlignment="0">
      <alignment horizontal="center"/>
    </xf>
    <xf numFmtId="0" fontId="98" fillId="0" borderId="2" applyNumberFormat="0" applyFont="0" applyBorder="0" applyAlignment="0">
      <alignment horizontal="center"/>
    </xf>
    <xf numFmtId="0" fontId="103" fillId="5" borderId="0" applyNumberFormat="0" applyBorder="0" applyAlignment="0" applyProtection="0"/>
    <xf numFmtId="0" fontId="103" fillId="6" borderId="0" applyNumberFormat="0" applyBorder="0" applyAlignment="0" applyProtection="0"/>
    <xf numFmtId="0" fontId="103" fillId="7" borderId="0" applyNumberFormat="0" applyBorder="0" applyAlignment="0" applyProtection="0"/>
    <xf numFmtId="0" fontId="103" fillId="8" borderId="0" applyNumberFormat="0" applyBorder="0" applyAlignment="0" applyProtection="0"/>
    <xf numFmtId="0" fontId="103" fillId="9" borderId="0" applyNumberFormat="0" applyBorder="0" applyAlignment="0" applyProtection="0"/>
    <xf numFmtId="0" fontId="103" fillId="10" borderId="0" applyNumberFormat="0" applyBorder="0" applyAlignment="0" applyProtection="0"/>
    <xf numFmtId="0" fontId="104" fillId="0" borderId="0"/>
    <xf numFmtId="0" fontId="105" fillId="3" borderId="0"/>
    <xf numFmtId="0" fontId="105"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105" fillId="3" borderId="0"/>
    <xf numFmtId="0" fontId="106" fillId="0" borderId="0">
      <alignment wrapText="1"/>
    </xf>
    <xf numFmtId="0" fontId="106" fillId="0" borderId="0">
      <alignment wrapText="1"/>
    </xf>
    <xf numFmtId="0" fontId="96" fillId="0" borderId="0">
      <alignment wrapText="1"/>
    </xf>
    <xf numFmtId="0" fontId="96" fillId="0" borderId="0">
      <alignment wrapText="1"/>
    </xf>
    <xf numFmtId="0" fontId="96" fillId="0" borderId="0">
      <alignment wrapText="1"/>
    </xf>
    <xf numFmtId="0" fontId="96" fillId="0" borderId="0">
      <alignment wrapText="1"/>
    </xf>
    <xf numFmtId="0" fontId="96" fillId="0" borderId="0">
      <alignment wrapText="1"/>
    </xf>
    <xf numFmtId="0" fontId="96" fillId="0" borderId="0">
      <alignment wrapText="1"/>
    </xf>
    <xf numFmtId="0" fontId="96" fillId="0" borderId="0">
      <alignment wrapText="1"/>
    </xf>
    <xf numFmtId="0" fontId="96" fillId="0" borderId="0">
      <alignment wrapText="1"/>
    </xf>
    <xf numFmtId="0" fontId="96" fillId="0" borderId="0">
      <alignment wrapText="1"/>
    </xf>
    <xf numFmtId="0" fontId="96" fillId="0" borderId="0">
      <alignment wrapText="1"/>
    </xf>
    <xf numFmtId="0" fontId="96" fillId="0" borderId="0">
      <alignment wrapText="1"/>
    </xf>
    <xf numFmtId="0" fontId="96" fillId="0" borderId="0">
      <alignment wrapText="1"/>
    </xf>
    <xf numFmtId="0" fontId="96" fillId="0" borderId="0">
      <alignment wrapText="1"/>
    </xf>
    <xf numFmtId="0" fontId="96" fillId="0" borderId="0">
      <alignment wrapText="1"/>
    </xf>
    <xf numFmtId="0" fontId="96" fillId="0" borderId="0">
      <alignment wrapText="1"/>
    </xf>
    <xf numFmtId="0" fontId="96" fillId="0" borderId="0">
      <alignment wrapText="1"/>
    </xf>
    <xf numFmtId="0" fontId="96" fillId="0" borderId="0">
      <alignment wrapText="1"/>
    </xf>
    <xf numFmtId="0" fontId="96" fillId="0" borderId="0">
      <alignment wrapText="1"/>
    </xf>
    <xf numFmtId="0" fontId="96" fillId="0" borderId="0">
      <alignment wrapText="1"/>
    </xf>
    <xf numFmtId="0" fontId="96" fillId="0" borderId="0">
      <alignment wrapText="1"/>
    </xf>
    <xf numFmtId="0" fontId="96" fillId="0" borderId="0">
      <alignment wrapText="1"/>
    </xf>
    <xf numFmtId="0" fontId="96" fillId="0" borderId="0">
      <alignment wrapText="1"/>
    </xf>
    <xf numFmtId="0" fontId="96" fillId="0" borderId="0">
      <alignment wrapText="1"/>
    </xf>
    <xf numFmtId="0" fontId="96" fillId="0" borderId="0">
      <alignment wrapText="1"/>
    </xf>
    <xf numFmtId="0" fontId="96" fillId="0" borderId="0">
      <alignment wrapText="1"/>
    </xf>
    <xf numFmtId="0" fontId="96" fillId="0" borderId="0">
      <alignment wrapText="1"/>
    </xf>
    <xf numFmtId="0" fontId="96" fillId="0" borderId="0">
      <alignment wrapText="1"/>
    </xf>
    <xf numFmtId="0" fontId="96" fillId="0" borderId="0">
      <alignment wrapText="1"/>
    </xf>
    <xf numFmtId="0" fontId="96" fillId="0" borderId="0">
      <alignment wrapText="1"/>
    </xf>
    <xf numFmtId="0" fontId="96" fillId="0" borderId="0">
      <alignment wrapText="1"/>
    </xf>
    <xf numFmtId="0" fontId="106" fillId="0" borderId="0">
      <alignment wrapText="1"/>
    </xf>
    <xf numFmtId="0" fontId="103" fillId="11" borderId="0" applyNumberFormat="0" applyBorder="0" applyAlignment="0" applyProtection="0"/>
    <xf numFmtId="0" fontId="103" fillId="12" borderId="0" applyNumberFormat="0" applyBorder="0" applyAlignment="0" applyProtection="0"/>
    <xf numFmtId="0" fontId="103" fillId="13" borderId="0" applyNumberFormat="0" applyBorder="0" applyAlignment="0" applyProtection="0"/>
    <xf numFmtId="0" fontId="103" fillId="8" borderId="0" applyNumberFormat="0" applyBorder="0" applyAlignment="0" applyProtection="0"/>
    <xf numFmtId="0" fontId="103" fillId="11" borderId="0" applyNumberFormat="0" applyBorder="0" applyAlignment="0" applyProtection="0"/>
    <xf numFmtId="0" fontId="103" fillId="14" borderId="0" applyNumberFormat="0" applyBorder="0" applyAlignment="0" applyProtection="0"/>
    <xf numFmtId="179" fontId="107" fillId="0" borderId="1" applyNumberFormat="0" applyFont="0" applyBorder="0" applyAlignment="0">
      <alignment horizontal="center" vertical="center"/>
    </xf>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08" fillId="15" borderId="0" applyNumberFormat="0" applyBorder="0" applyAlignment="0" applyProtection="0"/>
    <xf numFmtId="0" fontId="108" fillId="12" borderId="0" applyNumberFormat="0" applyBorder="0" applyAlignment="0" applyProtection="0"/>
    <xf numFmtId="0" fontId="108" fillId="13" borderId="0" applyNumberFormat="0" applyBorder="0" applyAlignment="0" applyProtection="0"/>
    <xf numFmtId="0" fontId="108" fillId="16" borderId="0" applyNumberFormat="0" applyBorder="0" applyAlignment="0" applyProtection="0"/>
    <xf numFmtId="0" fontId="108" fillId="17" borderId="0" applyNumberFormat="0" applyBorder="0" applyAlignment="0" applyProtection="0"/>
    <xf numFmtId="0" fontId="108" fillId="18" borderId="0" applyNumberFormat="0" applyBorder="0" applyAlignment="0" applyProtection="0"/>
    <xf numFmtId="0" fontId="109" fillId="0" borderId="0"/>
    <xf numFmtId="0" fontId="109" fillId="0" borderId="0"/>
    <xf numFmtId="0" fontId="109" fillId="0" borderId="0"/>
    <xf numFmtId="0" fontId="109" fillId="0" borderId="0"/>
    <xf numFmtId="0" fontId="109" fillId="0" borderId="0"/>
    <xf numFmtId="0" fontId="109" fillId="0" borderId="0"/>
    <xf numFmtId="0" fontId="108" fillId="19" borderId="0" applyNumberFormat="0" applyBorder="0" applyAlignment="0" applyProtection="0"/>
    <xf numFmtId="0" fontId="108" fillId="20" borderId="0" applyNumberFormat="0" applyBorder="0" applyAlignment="0" applyProtection="0"/>
    <xf numFmtId="0" fontId="108" fillId="21" borderId="0" applyNumberFormat="0" applyBorder="0" applyAlignment="0" applyProtection="0"/>
    <xf numFmtId="0" fontId="108" fillId="16" borderId="0" applyNumberFormat="0" applyBorder="0" applyAlignment="0" applyProtection="0"/>
    <xf numFmtId="0" fontId="108" fillId="17" borderId="0" applyNumberFormat="0" applyBorder="0" applyAlignment="0" applyProtection="0"/>
    <xf numFmtId="0" fontId="108" fillId="22" borderId="0" applyNumberFormat="0" applyBorder="0" applyAlignment="0" applyProtection="0"/>
    <xf numFmtId="209" fontId="110" fillId="0" borderId="0" applyFont="0" applyFill="0" applyBorder="0" applyAlignment="0" applyProtection="0"/>
    <xf numFmtId="0" fontId="111" fillId="0" borderId="0" applyFont="0" applyFill="0" applyBorder="0" applyAlignment="0" applyProtection="0"/>
    <xf numFmtId="165" fontId="112" fillId="0" borderId="0" applyFont="0" applyFill="0" applyBorder="0" applyAlignment="0" applyProtection="0"/>
    <xf numFmtId="201" fontId="110" fillId="0" borderId="0" applyFont="0" applyFill="0" applyBorder="0" applyAlignment="0" applyProtection="0"/>
    <xf numFmtId="0" fontId="111" fillId="0" borderId="0" applyFont="0" applyFill="0" applyBorder="0" applyAlignment="0" applyProtection="0"/>
    <xf numFmtId="210" fontId="110" fillId="0" borderId="0" applyFont="0" applyFill="0" applyBorder="0" applyAlignment="0" applyProtection="0"/>
    <xf numFmtId="0" fontId="113" fillId="0" borderId="0">
      <alignment horizontal="center" wrapText="1"/>
      <protection locked="0"/>
    </xf>
    <xf numFmtId="0" fontId="39" fillId="0" borderId="0">
      <alignment horizontal="center" wrapText="1"/>
      <protection locked="0"/>
    </xf>
    <xf numFmtId="0" fontId="114" fillId="0" borderId="0" applyNumberFormat="0" applyBorder="0" applyAlignment="0">
      <alignment horizontal="center"/>
    </xf>
    <xf numFmtId="199" fontId="115" fillId="0" borderId="0" applyFont="0" applyFill="0" applyBorder="0" applyAlignment="0" applyProtection="0"/>
    <xf numFmtId="0" fontId="116" fillId="0" borderId="0" applyFont="0" applyFill="0" applyBorder="0" applyAlignment="0" applyProtection="0"/>
    <xf numFmtId="211" fontId="72" fillId="0" borderId="0" applyFont="0" applyFill="0" applyBorder="0" applyAlignment="0" applyProtection="0"/>
    <xf numFmtId="191" fontId="115" fillId="0" borderId="0" applyFont="0" applyFill="0" applyBorder="0" applyAlignment="0" applyProtection="0"/>
    <xf numFmtId="0" fontId="116" fillId="0" borderId="0" applyFont="0" applyFill="0" applyBorder="0" applyAlignment="0" applyProtection="0"/>
    <xf numFmtId="212" fontId="72"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0" fontId="117" fillId="6" borderId="0" applyNumberFormat="0" applyBorder="0" applyAlignment="0" applyProtection="0"/>
    <xf numFmtId="0" fontId="118" fillId="0" borderId="0" applyNumberFormat="0" applyFill="0" applyBorder="0" applyAlignment="0" applyProtection="0"/>
    <xf numFmtId="0" fontId="116" fillId="0" borderId="0"/>
    <xf numFmtId="0" fontId="119" fillId="0" borderId="0"/>
    <xf numFmtId="0" fontId="120" fillId="0" borderId="0"/>
    <xf numFmtId="0" fontId="116" fillId="0" borderId="0"/>
    <xf numFmtId="0" fontId="121" fillId="0" borderId="0"/>
    <xf numFmtId="0" fontId="122" fillId="0" borderId="0"/>
    <xf numFmtId="0" fontId="123" fillId="0" borderId="0"/>
    <xf numFmtId="213" fontId="86" fillId="0" borderId="0" applyFill="0" applyBorder="0" applyAlignment="0"/>
    <xf numFmtId="211" fontId="47" fillId="0" borderId="0" applyFill="0" applyBorder="0" applyAlignment="0"/>
    <xf numFmtId="214" fontId="124"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6"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8"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20" fontId="104"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2" fontId="124"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4" fontId="124"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14" fontId="124"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0" fontId="125" fillId="23" borderId="21" applyNumberFormat="0" applyAlignment="0" applyProtection="0"/>
    <xf numFmtId="0" fontId="126" fillId="0" borderId="0"/>
    <xf numFmtId="0" fontId="127" fillId="0" borderId="0"/>
    <xf numFmtId="0" fontId="128" fillId="0" borderId="0" applyFill="0" applyBorder="0" applyProtection="0">
      <alignment horizontal="center"/>
      <protection locked="0"/>
    </xf>
    <xf numFmtId="226" fontId="72" fillId="0" borderId="0" applyFont="0" applyFill="0" applyBorder="0" applyAlignment="0" applyProtection="0"/>
    <xf numFmtId="0" fontId="129" fillId="0" borderId="6">
      <alignment horizontal="center"/>
    </xf>
    <xf numFmtId="227" fontId="130" fillId="0" borderId="0"/>
    <xf numFmtId="227" fontId="130" fillId="0" borderId="0"/>
    <xf numFmtId="227" fontId="130" fillId="0" borderId="0"/>
    <xf numFmtId="227" fontId="130" fillId="0" borderId="0"/>
    <xf numFmtId="227" fontId="130" fillId="0" borderId="0"/>
    <xf numFmtId="227" fontId="130" fillId="0" borderId="0"/>
    <xf numFmtId="227" fontId="130" fillId="0" borderId="0"/>
    <xf numFmtId="227" fontId="130" fillId="0" borderId="0"/>
    <xf numFmtId="228" fontId="3" fillId="0" borderId="0" applyFont="0" applyFill="0" applyBorder="0" applyAlignment="0" applyProtection="0"/>
    <xf numFmtId="228" fontId="3" fillId="0" borderId="0" applyFont="0" applyFill="0" applyBorder="0" applyAlignment="0" applyProtection="0"/>
    <xf numFmtId="228" fontId="3" fillId="0" borderId="0" applyFont="0" applyFill="0" applyBorder="0" applyAlignment="0" applyProtection="0"/>
    <xf numFmtId="228" fontId="3" fillId="0" borderId="0" applyFont="0" applyFill="0" applyBorder="0" applyAlignment="0" applyProtection="0"/>
    <xf numFmtId="228" fontId="3" fillId="0" borderId="0" applyFont="0" applyFill="0" applyBorder="0" applyAlignment="0" applyProtection="0"/>
    <xf numFmtId="228" fontId="3" fillId="0" borderId="0" applyFont="0" applyFill="0" applyBorder="0" applyAlignment="0" applyProtection="0"/>
    <xf numFmtId="228" fontId="3" fillId="0" borderId="0" applyFont="0" applyFill="0" applyBorder="0" applyAlignment="0" applyProtection="0"/>
    <xf numFmtId="228" fontId="3" fillId="0" borderId="0" applyFont="0" applyFill="0" applyBorder="0" applyAlignment="0" applyProtection="0"/>
    <xf numFmtId="228" fontId="3" fillId="0" borderId="0" applyFont="0" applyFill="0" applyBorder="0" applyAlignment="0" applyProtection="0"/>
    <xf numFmtId="228" fontId="3" fillId="0" borderId="0" applyFont="0" applyFill="0" applyBorder="0" applyAlignment="0" applyProtection="0"/>
    <xf numFmtId="228" fontId="3" fillId="0" borderId="0" applyFont="0" applyFill="0" applyBorder="0" applyAlignment="0" applyProtection="0"/>
    <xf numFmtId="228" fontId="3" fillId="0" borderId="0" applyFont="0" applyFill="0" applyBorder="0" applyAlignment="0" applyProtection="0"/>
    <xf numFmtId="228" fontId="3" fillId="0" borderId="0" applyFont="0" applyFill="0" applyBorder="0" applyAlignment="0" applyProtection="0"/>
    <xf numFmtId="228" fontId="3" fillId="0" borderId="0" applyFont="0" applyFill="0" applyBorder="0" applyAlignment="0" applyProtection="0"/>
    <xf numFmtId="228" fontId="3" fillId="0" borderId="0" applyFont="0" applyFill="0" applyBorder="0" applyAlignment="0" applyProtection="0"/>
    <xf numFmtId="173" fontId="3" fillId="0" borderId="0" applyFont="0" applyFill="0" applyBorder="0" applyAlignment="0" applyProtection="0"/>
    <xf numFmtId="173" fontId="131" fillId="0" borderId="0" applyFont="0" applyFill="0" applyBorder="0" applyAlignment="0" applyProtection="0"/>
    <xf numFmtId="167" fontId="109" fillId="0" borderId="0" applyFont="0" applyFill="0" applyBorder="0" applyAlignment="0" applyProtection="0"/>
    <xf numFmtId="173" fontId="41" fillId="0" borderId="0" applyFont="0" applyFill="0" applyBorder="0" applyAlignment="0" applyProtection="0"/>
    <xf numFmtId="173" fontId="41" fillId="0" borderId="0" applyFont="0" applyFill="0" applyBorder="0" applyAlignment="0" applyProtection="0"/>
    <xf numFmtId="173" fontId="41" fillId="0" borderId="0" applyFont="0" applyFill="0" applyBorder="0" applyAlignment="0" applyProtection="0"/>
    <xf numFmtId="173" fontId="41" fillId="0" borderId="0" applyFont="0" applyFill="0" applyBorder="0" applyAlignment="0" applyProtection="0"/>
    <xf numFmtId="173" fontId="41" fillId="0" borderId="0" applyFont="0" applyFill="0" applyBorder="0" applyAlignment="0" applyProtection="0"/>
    <xf numFmtId="173" fontId="41" fillId="0" borderId="0" applyFont="0" applyFill="0" applyBorder="0" applyAlignment="0" applyProtection="0"/>
    <xf numFmtId="173" fontId="41" fillId="0" borderId="0" applyFont="0" applyFill="0" applyBorder="0" applyAlignment="0" applyProtection="0"/>
    <xf numFmtId="173" fontId="41" fillId="0" borderId="0" applyFont="0" applyFill="0" applyBorder="0" applyAlignment="0" applyProtection="0"/>
    <xf numFmtId="173" fontId="41" fillId="0" borderId="0" applyFont="0" applyFill="0" applyBorder="0" applyAlignment="0" applyProtection="0"/>
    <xf numFmtId="173" fontId="41" fillId="0" borderId="0" applyFont="0" applyFill="0" applyBorder="0" applyAlignment="0" applyProtection="0"/>
    <xf numFmtId="173" fontId="41" fillId="0" borderId="0" applyFont="0" applyFill="0" applyBorder="0" applyAlignment="0" applyProtection="0"/>
    <xf numFmtId="173" fontId="41" fillId="0" borderId="0" applyFont="0" applyFill="0" applyBorder="0" applyAlignment="0" applyProtection="0"/>
    <xf numFmtId="173" fontId="41" fillId="0" borderId="0" applyFont="0" applyFill="0" applyBorder="0" applyAlignment="0" applyProtection="0"/>
    <xf numFmtId="173" fontId="41" fillId="0" borderId="0" applyFont="0" applyFill="0" applyBorder="0" applyAlignment="0" applyProtection="0"/>
    <xf numFmtId="173" fontId="41" fillId="0" borderId="0" applyFont="0" applyFill="0" applyBorder="0" applyAlignment="0" applyProtection="0"/>
    <xf numFmtId="173" fontId="41" fillId="0" borderId="0" applyFont="0" applyFill="0" applyBorder="0" applyAlignment="0" applyProtection="0"/>
    <xf numFmtId="229" fontId="69" fillId="0" borderId="0" applyProtection="0"/>
    <xf numFmtId="229" fontId="69" fillId="0" borderId="0" applyProtection="0"/>
    <xf numFmtId="173" fontId="41" fillId="0" borderId="0" applyFont="0" applyFill="0" applyBorder="0" applyAlignment="0" applyProtection="0"/>
    <xf numFmtId="173" fontId="41" fillId="0" borderId="0" applyFont="0" applyFill="0" applyBorder="0" applyAlignment="0" applyProtection="0"/>
    <xf numFmtId="173" fontId="41" fillId="0" borderId="0" applyFont="0" applyFill="0" applyBorder="0" applyAlignment="0" applyProtection="0"/>
    <xf numFmtId="173" fontId="41" fillId="0" borderId="0" applyFont="0" applyFill="0" applyBorder="0" applyAlignment="0" applyProtection="0"/>
    <xf numFmtId="173" fontId="41" fillId="0" borderId="0" applyFont="0" applyFill="0" applyBorder="0" applyAlignment="0" applyProtection="0"/>
    <xf numFmtId="173" fontId="41" fillId="0" borderId="0" applyFont="0" applyFill="0" applyBorder="0" applyAlignment="0" applyProtection="0"/>
    <xf numFmtId="173" fontId="41" fillId="0" borderId="0" applyFont="0" applyFill="0" applyBorder="0" applyAlignment="0" applyProtection="0"/>
    <xf numFmtId="173" fontId="41" fillId="0" borderId="0" applyFont="0" applyFill="0" applyBorder="0" applyAlignment="0" applyProtection="0"/>
    <xf numFmtId="173" fontId="41" fillId="0" borderId="0" applyFont="0" applyFill="0" applyBorder="0" applyAlignment="0" applyProtection="0"/>
    <xf numFmtId="171" fontId="69" fillId="0" borderId="0" applyFont="0" applyFill="0" applyBorder="0" applyAlignment="0" applyProtection="0"/>
    <xf numFmtId="168" fontId="69" fillId="0" borderId="0" applyFont="0" applyFill="0" applyBorder="0" applyAlignment="0" applyProtection="0"/>
    <xf numFmtId="173" fontId="41" fillId="0" borderId="0" applyFont="0" applyFill="0" applyBorder="0" applyAlignment="0" applyProtection="0"/>
    <xf numFmtId="167" fontId="69"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222" fontId="124"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30" fontId="132" fillId="0" borderId="0" applyFont="0" applyFill="0" applyBorder="0" applyAlignment="0" applyProtection="0"/>
    <xf numFmtId="231" fontId="69" fillId="0" borderId="0" applyFont="0" applyFill="0" applyBorder="0" applyAlignment="0" applyProtection="0"/>
    <xf numFmtId="232" fontId="133" fillId="0" borderId="0" applyFont="0" applyFill="0" applyBorder="0" applyAlignment="0" applyProtection="0"/>
    <xf numFmtId="233" fontId="69" fillId="0" borderId="0" applyFont="0" applyFill="0" applyBorder="0" applyAlignment="0" applyProtection="0"/>
    <xf numFmtId="234" fontId="133" fillId="0" borderId="0" applyFont="0" applyFill="0" applyBorder="0" applyAlignment="0" applyProtection="0"/>
    <xf numFmtId="235" fontId="69" fillId="0" borderId="0" applyFont="0" applyFill="0" applyBorder="0" applyAlignment="0" applyProtection="0"/>
    <xf numFmtId="168" fontId="41" fillId="0" borderId="0" applyFont="0" applyFill="0" applyBorder="0" applyAlignment="0" applyProtection="0"/>
    <xf numFmtId="175" fontId="41" fillId="0" borderId="0" applyFont="0" applyFill="0" applyBorder="0" applyAlignment="0" applyProtection="0"/>
    <xf numFmtId="175" fontId="3" fillId="0" borderId="0" applyFont="0" applyFill="0" applyBorder="0" applyAlignment="0" applyProtection="0"/>
    <xf numFmtId="43" fontId="41" fillId="0" borderId="0" applyFont="0" applyFill="0" applyBorder="0" applyAlignment="0" applyProtection="0"/>
    <xf numFmtId="236" fontId="41" fillId="0" borderId="0" applyFont="0" applyFill="0" applyBorder="0" applyAlignment="0" applyProtection="0"/>
    <xf numFmtId="175" fontId="41" fillId="0" borderId="0" applyFont="0" applyFill="0" applyBorder="0" applyAlignment="0" applyProtection="0"/>
    <xf numFmtId="178" fontId="41"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67" fontId="41" fillId="0" borderId="0" applyFont="0" applyFill="0" applyBorder="0" applyAlignment="0" applyProtection="0"/>
    <xf numFmtId="175" fontId="41"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134" fillId="0" borderId="0" applyFont="0" applyFill="0" applyBorder="0" applyAlignment="0" applyProtection="0"/>
    <xf numFmtId="175" fontId="41" fillId="0" borderId="0" applyFont="0" applyFill="0" applyBorder="0" applyAlignment="0" applyProtection="0"/>
    <xf numFmtId="175" fontId="41" fillId="0" borderId="0" applyFont="0" applyFill="0" applyBorder="0" applyAlignment="0" applyProtection="0"/>
    <xf numFmtId="175" fontId="41" fillId="0" borderId="0" applyFont="0" applyFill="0" applyBorder="0" applyAlignment="0" applyProtection="0"/>
    <xf numFmtId="175" fontId="41" fillId="0" borderId="0" applyFont="0" applyFill="0" applyBorder="0" applyAlignment="0" applyProtection="0"/>
    <xf numFmtId="178" fontId="41" fillId="0" borderId="0" applyFont="0" applyFill="0" applyBorder="0" applyAlignment="0" applyProtection="0"/>
    <xf numFmtId="237" fontId="41" fillId="0" borderId="0" applyFont="0" applyFill="0" applyBorder="0" applyAlignment="0" applyProtection="0"/>
    <xf numFmtId="175" fontId="41" fillId="0" borderId="0" applyFont="0" applyFill="0" applyBorder="0" applyAlignment="0" applyProtection="0"/>
    <xf numFmtId="238" fontId="41" fillId="0" borderId="0" applyFont="0" applyFill="0" applyBorder="0" applyAlignment="0" applyProtection="0"/>
    <xf numFmtId="167" fontId="41" fillId="0" borderId="0" applyFont="0" applyFill="0" applyBorder="0" applyAlignment="0" applyProtection="0"/>
    <xf numFmtId="175" fontId="41" fillId="0" borderId="0" applyFont="0" applyFill="0" applyBorder="0" applyAlignment="0" applyProtection="0"/>
    <xf numFmtId="175" fontId="41" fillId="0" borderId="0" applyFont="0" applyFill="0" applyBorder="0" applyAlignment="0" applyProtection="0"/>
    <xf numFmtId="175" fontId="41" fillId="0" borderId="0" applyFont="0" applyFill="0" applyBorder="0" applyAlignment="0" applyProtection="0"/>
    <xf numFmtId="238" fontId="41" fillId="0" borderId="0" applyFont="0" applyFill="0" applyBorder="0" applyAlignment="0" applyProtection="0"/>
    <xf numFmtId="239" fontId="41" fillId="0" borderId="0" applyFont="0" applyFill="0" applyBorder="0" applyAlignment="0" applyProtection="0"/>
    <xf numFmtId="239" fontId="41" fillId="0" borderId="0" applyFont="0" applyFill="0" applyBorder="0" applyAlignment="0" applyProtection="0"/>
    <xf numFmtId="175" fontId="3" fillId="0" borderId="0" applyFont="0" applyFill="0" applyBorder="0" applyAlignment="0" applyProtection="0"/>
    <xf numFmtId="175" fontId="37" fillId="0" borderId="0" applyFont="0" applyFill="0" applyBorder="0" applyAlignment="0" applyProtection="0"/>
    <xf numFmtId="239" fontId="41" fillId="0" borderId="0" applyFont="0" applyFill="0" applyBorder="0" applyAlignment="0" applyProtection="0"/>
    <xf numFmtId="239" fontId="41" fillId="0" borderId="0" applyFont="0" applyFill="0" applyBorder="0" applyAlignment="0" applyProtection="0"/>
    <xf numFmtId="175" fontId="3" fillId="0" borderId="0" applyFont="0" applyFill="0" applyBorder="0" applyAlignment="0" applyProtection="0"/>
    <xf numFmtId="175" fontId="41" fillId="0" borderId="0" applyFont="0" applyFill="0" applyBorder="0" applyAlignment="0" applyProtection="0"/>
    <xf numFmtId="175" fontId="41" fillId="0" borderId="0" applyFont="0" applyFill="0" applyBorder="0" applyAlignment="0" applyProtection="0"/>
    <xf numFmtId="175" fontId="41" fillId="0" borderId="0" applyFont="0" applyFill="0" applyBorder="0" applyAlignment="0" applyProtection="0"/>
    <xf numFmtId="175" fontId="41"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68" fontId="41" fillId="0" borderId="0" applyFont="0" applyFill="0" applyBorder="0" applyAlignment="0" applyProtection="0"/>
    <xf numFmtId="175" fontId="41" fillId="0" borderId="0" applyFont="0" applyFill="0" applyBorder="0" applyAlignment="0" applyProtection="0"/>
    <xf numFmtId="175" fontId="41" fillId="0" borderId="0" applyFont="0" applyFill="0" applyBorder="0" applyAlignment="0" applyProtection="0"/>
    <xf numFmtId="175" fontId="3" fillId="0" borderId="0" applyFont="0" applyFill="0" applyBorder="0" applyAlignment="0" applyProtection="0"/>
    <xf numFmtId="175" fontId="41"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93" fillId="0" borderId="0" applyFont="0" applyFill="0" applyBorder="0" applyAlignment="0" applyProtection="0"/>
    <xf numFmtId="175" fontId="6" fillId="0" borderId="0" applyFont="0" applyFill="0" applyBorder="0" applyAlignment="0" applyProtection="0"/>
    <xf numFmtId="175" fontId="41" fillId="0" borderId="0" applyFont="0" applyFill="0" applyBorder="0" applyAlignment="0" applyProtection="0"/>
    <xf numFmtId="175" fontId="41" fillId="0" borderId="0" applyFont="0" applyFill="0" applyBorder="0" applyAlignment="0" applyProtection="0"/>
    <xf numFmtId="175" fontId="41" fillId="0" borderId="0" applyFont="0" applyFill="0" applyBorder="0" applyAlignment="0" applyProtection="0"/>
    <xf numFmtId="175" fontId="41" fillId="0" borderId="0" applyFont="0" applyFill="0" applyBorder="0" applyAlignment="0" applyProtection="0"/>
    <xf numFmtId="175" fontId="41" fillId="0" borderId="0" applyFont="0" applyFill="0" applyBorder="0" applyAlignment="0" applyProtection="0"/>
    <xf numFmtId="175" fontId="41" fillId="0" borderId="0" applyFont="0" applyFill="0" applyBorder="0" applyAlignment="0" applyProtection="0"/>
    <xf numFmtId="175" fontId="41" fillId="0" borderId="0" applyFont="0" applyFill="0" applyBorder="0" applyAlignment="0" applyProtection="0"/>
    <xf numFmtId="175" fontId="41" fillId="0" borderId="0" applyFont="0" applyFill="0" applyBorder="0" applyAlignment="0" applyProtection="0"/>
    <xf numFmtId="175" fontId="41" fillId="0" borderId="0" applyFont="0" applyFill="0" applyBorder="0" applyAlignment="0" applyProtection="0"/>
    <xf numFmtId="175" fontId="41"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5" fontId="41"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75" fontId="3"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5" fontId="135" fillId="0" borderId="0" applyFont="0" applyFill="0" applyBorder="0" applyAlignment="0" applyProtection="0"/>
    <xf numFmtId="175" fontId="41" fillId="0" borderId="0" applyFont="0" applyFill="0" applyBorder="0" applyAlignment="0" applyProtection="0"/>
    <xf numFmtId="0"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5" fontId="31" fillId="0" borderId="0" applyFont="0" applyFill="0" applyBorder="0" applyAlignment="0" applyProtection="0"/>
    <xf numFmtId="175" fontId="41" fillId="0" borderId="0" applyFont="0" applyFill="0" applyBorder="0" applyAlignment="0" applyProtection="0"/>
    <xf numFmtId="175" fontId="41" fillId="0" borderId="0" applyFont="0" applyFill="0" applyBorder="0" applyAlignment="0" applyProtection="0"/>
    <xf numFmtId="175" fontId="41" fillId="0" borderId="0" applyFont="0" applyFill="0" applyBorder="0" applyAlignment="0" applyProtection="0"/>
    <xf numFmtId="175" fontId="41" fillId="0" borderId="0" applyFont="0" applyFill="0" applyBorder="0" applyAlignment="0" applyProtection="0"/>
    <xf numFmtId="175" fontId="41" fillId="0" borderId="0" applyFont="0" applyFill="0" applyBorder="0" applyAlignment="0" applyProtection="0"/>
    <xf numFmtId="175" fontId="41" fillId="0" borderId="0" applyFont="0" applyFill="0" applyBorder="0" applyAlignment="0" applyProtection="0"/>
    <xf numFmtId="175" fontId="3" fillId="0" borderId="0" applyFont="0" applyFill="0" applyBorder="0" applyAlignment="0" applyProtection="0"/>
    <xf numFmtId="168" fontId="41" fillId="0" borderId="0" applyFont="0" applyFill="0" applyBorder="0" applyAlignment="0" applyProtection="0"/>
    <xf numFmtId="175" fontId="5" fillId="0" borderId="0" applyFont="0" applyFill="0" applyBorder="0" applyAlignment="0" applyProtection="0"/>
    <xf numFmtId="208" fontId="3" fillId="0" borderId="0" applyFont="0" applyFill="0" applyBorder="0" applyAlignment="0" applyProtection="0"/>
    <xf numFmtId="175" fontId="41" fillId="0" borderId="0" applyFont="0" applyFill="0" applyBorder="0" applyAlignment="0" applyProtection="0"/>
    <xf numFmtId="240" fontId="41" fillId="0" borderId="0" applyFont="0" applyFill="0" applyBorder="0" applyAlignment="0" applyProtection="0"/>
    <xf numFmtId="241" fontId="41" fillId="0" borderId="0" applyFont="0" applyFill="0" applyBorder="0" applyAlignment="0" applyProtection="0"/>
    <xf numFmtId="240" fontId="41" fillId="0" borderId="0" applyFont="0" applyFill="0" applyBorder="0" applyAlignment="0" applyProtection="0"/>
    <xf numFmtId="175" fontId="41" fillId="0" borderId="0" applyFont="0" applyFill="0" applyBorder="0" applyAlignment="0" applyProtection="0"/>
    <xf numFmtId="175" fontId="134" fillId="0" borderId="0" applyFont="0" applyFill="0" applyBorder="0" applyAlignment="0" applyProtection="0"/>
    <xf numFmtId="175" fontId="41" fillId="0" borderId="0" applyFont="0" applyFill="0" applyBorder="0" applyAlignment="0" applyProtection="0"/>
    <xf numFmtId="242" fontId="3" fillId="0" borderId="0" applyFont="0" applyFill="0" applyBorder="0" applyAlignment="0" applyProtection="0"/>
    <xf numFmtId="175" fontId="41" fillId="0" borderId="0" applyFont="0" applyFill="0" applyBorder="0" applyAlignment="0" applyProtection="0"/>
    <xf numFmtId="175" fontId="47" fillId="0" borderId="0" applyFont="0" applyFill="0" applyBorder="0" applyAlignment="0" applyProtection="0"/>
    <xf numFmtId="175" fontId="41" fillId="0" borderId="0" applyFont="0" applyFill="0" applyBorder="0" applyAlignment="0" applyProtection="0"/>
    <xf numFmtId="175" fontId="41" fillId="0" borderId="0" applyFont="0" applyFill="0" applyBorder="0" applyAlignment="0" applyProtection="0"/>
    <xf numFmtId="175" fontId="41" fillId="0" borderId="0" applyFont="0" applyFill="0" applyBorder="0" applyAlignment="0" applyProtection="0"/>
    <xf numFmtId="176" fontId="3" fillId="0" borderId="0" applyFont="0" applyFill="0" applyBorder="0" applyAlignment="0" applyProtection="0"/>
    <xf numFmtId="174" fontId="69" fillId="0" borderId="0" applyFont="0" applyFill="0" applyBorder="0" applyAlignment="0" applyProtection="0"/>
    <xf numFmtId="175" fontId="6" fillId="0" borderId="0" applyFont="0" applyFill="0" applyBorder="0" applyAlignment="0" applyProtection="0"/>
    <xf numFmtId="0" fontId="41" fillId="0" borderId="0" applyFont="0" applyFill="0" applyBorder="0" applyAlignment="0" applyProtection="0"/>
    <xf numFmtId="243" fontId="69"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243" fontId="69" fillId="0" borderId="0" applyFont="0" applyFill="0" applyBorder="0" applyAlignment="0" applyProtection="0"/>
    <xf numFmtId="244" fontId="90" fillId="0" borderId="0" applyFont="0" applyFill="0" applyBorder="0" applyAlignment="0" applyProtection="0"/>
    <xf numFmtId="175" fontId="41" fillId="0" borderId="0" applyFont="0" applyFill="0" applyBorder="0" applyAlignment="0" applyProtection="0"/>
    <xf numFmtId="243" fontId="69"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41" fillId="0" borderId="0" applyFont="0" applyFill="0" applyBorder="0" applyAlignment="0" applyProtection="0"/>
    <xf numFmtId="175" fontId="3" fillId="0" borderId="0" applyFont="0" applyFill="0" applyBorder="0" applyAlignment="0" applyProtection="0"/>
    <xf numFmtId="175" fontId="41" fillId="0" borderId="0" applyFont="0" applyFill="0" applyBorder="0" applyAlignment="0" applyProtection="0"/>
    <xf numFmtId="175" fontId="136" fillId="0" borderId="0" applyFont="0" applyFill="0" applyBorder="0" applyAlignment="0" applyProtection="0"/>
    <xf numFmtId="175" fontId="41" fillId="0" borderId="0" applyFont="0" applyFill="0" applyBorder="0" applyAlignment="0" applyProtection="0"/>
    <xf numFmtId="244" fontId="90" fillId="0" borderId="0" applyFont="0" applyFill="0" applyBorder="0" applyAlignment="0" applyProtection="0"/>
    <xf numFmtId="245" fontId="69" fillId="0" borderId="0" applyProtection="0"/>
    <xf numFmtId="244" fontId="90" fillId="0" borderId="0" applyFont="0" applyFill="0" applyBorder="0" applyAlignment="0" applyProtection="0"/>
    <xf numFmtId="43" fontId="69" fillId="0" borderId="0" applyFont="0" applyFill="0" applyBorder="0" applyAlignment="0" applyProtection="0"/>
    <xf numFmtId="43" fontId="41"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246" fontId="3" fillId="0" borderId="0" applyFont="0" applyFill="0" applyBorder="0" applyAlignment="0" applyProtection="0"/>
    <xf numFmtId="0" fontId="3" fillId="0" borderId="0" applyFont="0" applyFill="0" applyBorder="0" applyAlignment="0" applyProtection="0"/>
    <xf numFmtId="175" fontId="3" fillId="0" borderId="0" applyFont="0" applyFill="0" applyBorder="0" applyAlignment="0" applyProtection="0"/>
    <xf numFmtId="168" fontId="109" fillId="0" borderId="0" applyFont="0" applyFill="0" applyBorder="0" applyAlignment="0" applyProtection="0"/>
    <xf numFmtId="247" fontId="69" fillId="0" borderId="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247" fontId="69" fillId="0" borderId="0" applyProtection="0"/>
    <xf numFmtId="175" fontId="41" fillId="0" borderId="0" applyFont="0" applyFill="0" applyBorder="0" applyAlignment="0" applyProtection="0"/>
    <xf numFmtId="175" fontId="41" fillId="0" borderId="0" applyFont="0" applyFill="0" applyBorder="0" applyAlignment="0" applyProtection="0"/>
    <xf numFmtId="175" fontId="3" fillId="0" borderId="0" applyFont="0" applyFill="0" applyBorder="0" applyAlignment="0" applyProtection="0"/>
    <xf numFmtId="175" fontId="41" fillId="0" borderId="0" applyFont="0" applyFill="0" applyBorder="0" applyAlignment="0" applyProtection="0"/>
    <xf numFmtId="175" fontId="41" fillId="0" borderId="0" applyFont="0" applyFill="0" applyBorder="0" applyAlignment="0" applyProtection="0"/>
    <xf numFmtId="247" fontId="69" fillId="0" borderId="0" applyProtection="0"/>
    <xf numFmtId="175" fontId="134"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68" fontId="69" fillId="0" borderId="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75" fontId="41" fillId="0" borderId="0" applyFont="0" applyFill="0" applyBorder="0" applyAlignment="0" applyProtection="0"/>
    <xf numFmtId="175"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0" fontId="86"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134" fillId="0" borderId="0" applyFont="0" applyFill="0" applyBorder="0" applyAlignment="0" applyProtection="0"/>
    <xf numFmtId="175" fontId="3" fillId="0" borderId="0" applyFont="0" applyFill="0" applyBorder="0" applyAlignment="0" applyProtection="0"/>
    <xf numFmtId="175" fontId="41" fillId="0" borderId="0" applyFont="0" applyFill="0" applyBorder="0" applyAlignment="0" applyProtection="0"/>
    <xf numFmtId="175" fontId="41" fillId="0" borderId="0" applyFont="0" applyFill="0" applyBorder="0" applyAlignment="0" applyProtection="0"/>
    <xf numFmtId="248" fontId="37" fillId="0" borderId="0" applyFont="0" applyFill="0" applyBorder="0" applyAlignment="0" applyProtection="0"/>
    <xf numFmtId="175" fontId="3" fillId="0" borderId="0" applyFont="0" applyFill="0" applyBorder="0" applyAlignment="0" applyProtection="0"/>
    <xf numFmtId="249" fontId="37" fillId="0" borderId="0" applyFont="0" applyFill="0" applyBorder="0" applyAlignment="0" applyProtection="0"/>
    <xf numFmtId="175" fontId="3" fillId="0" borderId="0" applyFont="0" applyFill="0" applyBorder="0" applyAlignment="0" applyProtection="0"/>
    <xf numFmtId="175" fontId="41" fillId="0" borderId="0" applyFont="0" applyFill="0" applyBorder="0" applyAlignment="0" applyProtection="0"/>
    <xf numFmtId="175" fontId="41" fillId="0" borderId="0" applyFont="0" applyFill="0" applyBorder="0" applyAlignment="0" applyProtection="0"/>
    <xf numFmtId="168" fontId="41" fillId="0" borderId="0" applyFont="0" applyFill="0" applyBorder="0" applyAlignment="0" applyProtection="0"/>
    <xf numFmtId="247" fontId="69" fillId="0" borderId="0" applyProtection="0"/>
    <xf numFmtId="247" fontId="69" fillId="0" borderId="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7"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68"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0" fontId="3" fillId="0" borderId="0" applyFont="0" applyFill="0" applyBorder="0" applyAlignment="0" applyProtection="0"/>
    <xf numFmtId="175" fontId="41" fillId="0" borderId="0" applyFont="0" applyFill="0" applyBorder="0" applyAlignment="0" applyProtection="0"/>
    <xf numFmtId="175" fontId="41" fillId="0" borderId="0" applyFont="0" applyFill="0" applyBorder="0" applyAlignment="0" applyProtection="0"/>
    <xf numFmtId="175" fontId="134" fillId="0" borderId="0" applyFont="0" applyFill="0" applyBorder="0" applyAlignment="0" applyProtection="0"/>
    <xf numFmtId="175" fontId="3" fillId="0" borderId="0" applyFont="0" applyFill="0" applyBorder="0" applyAlignment="0" applyProtection="0"/>
    <xf numFmtId="175" fontId="41" fillId="0" borderId="0" applyFont="0" applyFill="0" applyBorder="0" applyAlignment="0" applyProtection="0"/>
    <xf numFmtId="175" fontId="41" fillId="0" borderId="0" applyFont="0" applyFill="0" applyBorder="0" applyAlignment="0" applyProtection="0"/>
    <xf numFmtId="175" fontId="41" fillId="0" borderId="0" applyFont="0" applyFill="0" applyBorder="0" applyAlignment="0" applyProtection="0"/>
    <xf numFmtId="175" fontId="41" fillId="0" borderId="0" applyFont="0" applyFill="0" applyBorder="0" applyAlignment="0" applyProtection="0"/>
    <xf numFmtId="175" fontId="3" fillId="0" borderId="0" applyFont="0" applyFill="0" applyBorder="0" applyAlignment="0" applyProtection="0"/>
    <xf numFmtId="175" fontId="41" fillId="0" borderId="0" applyFont="0" applyFill="0" applyBorder="0" applyAlignment="0" applyProtection="0"/>
    <xf numFmtId="175" fontId="3" fillId="0" borderId="0" applyFont="0" applyFill="0" applyBorder="0" applyAlignment="0" applyProtection="0"/>
    <xf numFmtId="168" fontId="3" fillId="0" borderId="0" applyFont="0" applyFill="0" applyBorder="0" applyAlignment="0" applyProtection="0"/>
    <xf numFmtId="168" fontId="69" fillId="0" borderId="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41"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131" fillId="0" borderId="0" applyFont="0" applyFill="0" applyBorder="0" applyAlignment="0" applyProtection="0"/>
    <xf numFmtId="168" fontId="69" fillId="0" borderId="0" applyFont="0" applyFill="0" applyBorder="0" applyAlignment="0" applyProtection="0"/>
    <xf numFmtId="175" fontId="134" fillId="0" borderId="0" applyFont="0" applyFill="0" applyBorder="0" applyAlignment="0" applyProtection="0"/>
    <xf numFmtId="175" fontId="31" fillId="0" borderId="0" applyFont="0" applyFill="0" applyBorder="0" applyAlignment="0" applyProtection="0"/>
    <xf numFmtId="175" fontId="3" fillId="0" borderId="0" applyFont="0" applyFill="0" applyBorder="0" applyAlignment="0" applyProtection="0"/>
    <xf numFmtId="175" fontId="47"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47" fillId="0" borderId="0" applyFont="0" applyFill="0" applyBorder="0" applyAlignment="0" applyProtection="0"/>
    <xf numFmtId="175" fontId="41" fillId="0" borderId="0" applyFont="0" applyFill="0" applyBorder="0" applyAlignment="0" applyProtection="0"/>
    <xf numFmtId="175" fontId="47" fillId="0" borderId="0" applyFont="0" applyFill="0" applyBorder="0" applyAlignment="0" applyProtection="0"/>
    <xf numFmtId="175" fontId="134"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68" fontId="41" fillId="0" borderId="0" applyFont="0" applyFill="0" applyBorder="0" applyAlignment="0" applyProtection="0"/>
    <xf numFmtId="222" fontId="41" fillId="0" borderId="0" applyFont="0" applyFill="0" applyBorder="0" applyAlignment="0" applyProtection="0"/>
    <xf numFmtId="222" fontId="41" fillId="0" borderId="0" applyFont="0" applyFill="0" applyBorder="0" applyAlignment="0" applyProtection="0"/>
    <xf numFmtId="175" fontId="134" fillId="0" borderId="0" applyFont="0" applyFill="0" applyBorder="0" applyAlignment="0" applyProtection="0"/>
    <xf numFmtId="179" fontId="41" fillId="0" borderId="0" applyFont="0" applyFill="0" applyBorder="0" applyAlignment="0" applyProtection="0"/>
    <xf numFmtId="175" fontId="41" fillId="0" borderId="0" applyFont="0" applyFill="0" applyBorder="0" applyAlignment="0" applyProtection="0"/>
    <xf numFmtId="168" fontId="41" fillId="0" borderId="0" applyFont="0" applyFill="0" applyBorder="0" applyAlignment="0" applyProtection="0"/>
    <xf numFmtId="175" fontId="41" fillId="0" borderId="0" applyFont="0" applyFill="0" applyBorder="0" applyAlignment="0" applyProtection="0"/>
    <xf numFmtId="250" fontId="31" fillId="0" borderId="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69" fillId="0" borderId="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4" fillId="0" borderId="0" applyNumberFormat="0" applyFill="0" applyBorder="0" applyAlignment="0" applyProtection="0"/>
    <xf numFmtId="0" fontId="137" fillId="0" borderId="0">
      <alignment horizontal="center"/>
    </xf>
    <xf numFmtId="0" fontId="138" fillId="0" borderId="0" applyNumberFormat="0" applyAlignment="0">
      <alignment horizontal="left"/>
    </xf>
    <xf numFmtId="190" fontId="139" fillId="0" borderId="0" applyFont="0" applyFill="0" applyBorder="0" applyAlignment="0" applyProtection="0"/>
    <xf numFmtId="251" fontId="140" fillId="0" borderId="0" applyFill="0" applyBorder="0" applyProtection="0"/>
    <xf numFmtId="252" fontId="132" fillId="0" borderId="0" applyFont="0" applyFill="0" applyBorder="0" applyAlignment="0" applyProtection="0"/>
    <xf numFmtId="253" fontId="31" fillId="0" borderId="0" applyFill="0" applyBorder="0" applyProtection="0"/>
    <xf numFmtId="253" fontId="31" fillId="0" borderId="11" applyFill="0" applyProtection="0"/>
    <xf numFmtId="253" fontId="31" fillId="0" borderId="22" applyFill="0" applyProtection="0"/>
    <xf numFmtId="254" fontId="119" fillId="0" borderId="0" applyFont="0" applyFill="0" applyBorder="0" applyAlignment="0" applyProtection="0"/>
    <xf numFmtId="255" fontId="141" fillId="0" borderId="0" applyFont="0" applyFill="0" applyBorder="0" applyAlignment="0" applyProtection="0"/>
    <xf numFmtId="256" fontId="3" fillId="0" borderId="0" applyFont="0" applyFill="0" applyBorder="0" applyAlignment="0" applyProtection="0"/>
    <xf numFmtId="256" fontId="3" fillId="0" borderId="0" applyFont="0" applyFill="0" applyBorder="0" applyAlignment="0" applyProtection="0"/>
    <xf numFmtId="256" fontId="3" fillId="0" borderId="0" applyFont="0" applyFill="0" applyBorder="0" applyAlignment="0" applyProtection="0"/>
    <xf numFmtId="256" fontId="3" fillId="0" borderId="0" applyFont="0" applyFill="0" applyBorder="0" applyAlignment="0" applyProtection="0"/>
    <xf numFmtId="256" fontId="3" fillId="0" borderId="0" applyFont="0" applyFill="0" applyBorder="0" applyAlignment="0" applyProtection="0"/>
    <xf numFmtId="256" fontId="3" fillId="0" borderId="0" applyFont="0" applyFill="0" applyBorder="0" applyAlignment="0" applyProtection="0"/>
    <xf numFmtId="256" fontId="3" fillId="0" borderId="0" applyFont="0" applyFill="0" applyBorder="0" applyAlignment="0" applyProtection="0"/>
    <xf numFmtId="256" fontId="3" fillId="0" borderId="0" applyFont="0" applyFill="0" applyBorder="0" applyAlignment="0" applyProtection="0"/>
    <xf numFmtId="256" fontId="3" fillId="0" borderId="0" applyFont="0" applyFill="0" applyBorder="0" applyAlignment="0" applyProtection="0"/>
    <xf numFmtId="256" fontId="3" fillId="0" borderId="0" applyFont="0" applyFill="0" applyBorder="0" applyAlignment="0" applyProtection="0"/>
    <xf numFmtId="256" fontId="3" fillId="0" borderId="0" applyFont="0" applyFill="0" applyBorder="0" applyAlignment="0" applyProtection="0"/>
    <xf numFmtId="256" fontId="3" fillId="0" borderId="0" applyFont="0" applyFill="0" applyBorder="0" applyAlignment="0" applyProtection="0"/>
    <xf numFmtId="256" fontId="3" fillId="0" borderId="0" applyFont="0" applyFill="0" applyBorder="0" applyAlignment="0" applyProtection="0"/>
    <xf numFmtId="256" fontId="3" fillId="0" borderId="0" applyFont="0" applyFill="0" applyBorder="0" applyAlignment="0" applyProtection="0"/>
    <xf numFmtId="256" fontId="3" fillId="0" borderId="0" applyFont="0" applyFill="0" applyBorder="0" applyAlignment="0" applyProtection="0"/>
    <xf numFmtId="256" fontId="3" fillId="0" borderId="0" applyFont="0" applyFill="0" applyBorder="0" applyAlignment="0" applyProtection="0"/>
    <xf numFmtId="257" fontId="141" fillId="0" borderId="0" applyFont="0" applyFill="0" applyBorder="0" applyAlignment="0" applyProtection="0"/>
    <xf numFmtId="214" fontId="124" fillId="0" borderId="0" applyFont="0" applyFill="0" applyBorder="0" applyAlignment="0" applyProtection="0"/>
    <xf numFmtId="215" fontId="3" fillId="0" borderId="0" applyFont="0" applyFill="0" applyBorder="0" applyAlignment="0" applyProtection="0"/>
    <xf numFmtId="215" fontId="3" fillId="0" borderId="0" applyFont="0" applyFill="0" applyBorder="0" applyAlignment="0" applyProtection="0"/>
    <xf numFmtId="215" fontId="3" fillId="0" borderId="0" applyFont="0" applyFill="0" applyBorder="0" applyAlignment="0" applyProtection="0"/>
    <xf numFmtId="215" fontId="3" fillId="0" borderId="0" applyFont="0" applyFill="0" applyBorder="0" applyAlignment="0" applyProtection="0"/>
    <xf numFmtId="215" fontId="3" fillId="0" borderId="0" applyFont="0" applyFill="0" applyBorder="0" applyAlignment="0" applyProtection="0"/>
    <xf numFmtId="215" fontId="3" fillId="0" borderId="0" applyFont="0" applyFill="0" applyBorder="0" applyAlignment="0" applyProtection="0"/>
    <xf numFmtId="215" fontId="3" fillId="0" borderId="0" applyFont="0" applyFill="0" applyBorder="0" applyAlignment="0" applyProtection="0"/>
    <xf numFmtId="215" fontId="3" fillId="0" borderId="0" applyFont="0" applyFill="0" applyBorder="0" applyAlignment="0" applyProtection="0"/>
    <xf numFmtId="215" fontId="3" fillId="0" borderId="0" applyFont="0" applyFill="0" applyBorder="0" applyAlignment="0" applyProtection="0"/>
    <xf numFmtId="215" fontId="3" fillId="0" borderId="0" applyFont="0" applyFill="0" applyBorder="0" applyAlignment="0" applyProtection="0"/>
    <xf numFmtId="215" fontId="3" fillId="0" borderId="0" applyFont="0" applyFill="0" applyBorder="0" applyAlignment="0" applyProtection="0"/>
    <xf numFmtId="215" fontId="3" fillId="0" borderId="0" applyFont="0" applyFill="0" applyBorder="0" applyAlignment="0" applyProtection="0"/>
    <xf numFmtId="215" fontId="3" fillId="0" borderId="0" applyFont="0" applyFill="0" applyBorder="0" applyAlignment="0" applyProtection="0"/>
    <xf numFmtId="215" fontId="3" fillId="0" borderId="0" applyFont="0" applyFill="0" applyBorder="0" applyAlignment="0" applyProtection="0"/>
    <xf numFmtId="215" fontId="3" fillId="0" borderId="0" applyFont="0" applyFill="0" applyBorder="0" applyAlignment="0" applyProtection="0"/>
    <xf numFmtId="258" fontId="133" fillId="0" borderId="0" applyFont="0" applyFill="0" applyBorder="0" applyAlignment="0" applyProtection="0"/>
    <xf numFmtId="259" fontId="69" fillId="0" borderId="0" applyFont="0" applyFill="0" applyBorder="0" applyAlignment="0" applyProtection="0"/>
    <xf numFmtId="258" fontId="133" fillId="0" borderId="0" applyFont="0" applyFill="0" applyBorder="0" applyAlignment="0" applyProtection="0"/>
    <xf numFmtId="260" fontId="133" fillId="0" borderId="0" applyFont="0" applyFill="0" applyBorder="0" applyAlignment="0" applyProtection="0"/>
    <xf numFmtId="261" fontId="69" fillId="0" borderId="0" applyFont="0" applyFill="0" applyBorder="0" applyAlignment="0" applyProtection="0"/>
    <xf numFmtId="260" fontId="133" fillId="0" borderId="0" applyFont="0" applyFill="0" applyBorder="0" applyAlignment="0" applyProtection="0"/>
    <xf numFmtId="262" fontId="133" fillId="0" borderId="0" applyFont="0" applyFill="0" applyBorder="0" applyAlignment="0" applyProtection="0"/>
    <xf numFmtId="263" fontId="69" fillId="0" borderId="0" applyFont="0" applyFill="0" applyBorder="0" applyAlignment="0" applyProtection="0"/>
    <xf numFmtId="262" fontId="133" fillId="0" borderId="0" applyFont="0" applyFill="0" applyBorder="0" applyAlignment="0" applyProtection="0"/>
    <xf numFmtId="174" fontId="41"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264" fontId="3" fillId="0" borderId="0" applyFont="0" applyFill="0" applyBorder="0" applyAlignment="0" applyProtection="0"/>
    <xf numFmtId="265" fontId="3" fillId="0" borderId="0" applyFont="0" applyFill="0" applyBorder="0" applyAlignment="0" applyProtection="0"/>
    <xf numFmtId="265" fontId="3" fillId="0" borderId="0" applyFont="0" applyFill="0" applyBorder="0" applyAlignment="0" applyProtection="0"/>
    <xf numFmtId="265" fontId="3" fillId="0" borderId="0" applyFont="0" applyFill="0" applyBorder="0" applyAlignment="0" applyProtection="0"/>
    <xf numFmtId="265" fontId="3" fillId="0" borderId="0" applyFont="0" applyFill="0" applyBorder="0" applyAlignment="0" applyProtection="0"/>
    <xf numFmtId="265" fontId="3" fillId="0" borderId="0" applyFont="0" applyFill="0" applyBorder="0" applyAlignment="0" applyProtection="0"/>
    <xf numFmtId="265" fontId="3" fillId="0" borderId="0" applyFont="0" applyFill="0" applyBorder="0" applyAlignment="0" applyProtection="0"/>
    <xf numFmtId="265" fontId="3" fillId="0" borderId="0" applyFont="0" applyFill="0" applyBorder="0" applyAlignment="0" applyProtection="0"/>
    <xf numFmtId="265" fontId="3" fillId="0" borderId="0" applyFont="0" applyFill="0" applyBorder="0" applyAlignment="0" applyProtection="0"/>
    <xf numFmtId="265" fontId="3" fillId="0" borderId="0" applyFont="0" applyFill="0" applyBorder="0" applyAlignment="0" applyProtection="0"/>
    <xf numFmtId="266" fontId="69" fillId="0" borderId="0" applyProtection="0"/>
    <xf numFmtId="265" fontId="3" fillId="0" borderId="0" applyFont="0" applyFill="0" applyBorder="0" applyAlignment="0" applyProtection="0"/>
    <xf numFmtId="265" fontId="3" fillId="0" borderId="0" applyFont="0" applyFill="0" applyBorder="0" applyAlignment="0" applyProtection="0"/>
    <xf numFmtId="265" fontId="3" fillId="0" borderId="0" applyFont="0" applyFill="0" applyBorder="0" applyAlignment="0" applyProtection="0"/>
    <xf numFmtId="265" fontId="3" fillId="0" borderId="0" applyFont="0" applyFill="0" applyBorder="0" applyAlignment="0" applyProtection="0"/>
    <xf numFmtId="265" fontId="3" fillId="0" borderId="0" applyFont="0" applyFill="0" applyBorder="0" applyAlignment="0" applyProtection="0"/>
    <xf numFmtId="265" fontId="3" fillId="0" borderId="0" applyFont="0" applyFill="0" applyBorder="0" applyAlignment="0" applyProtection="0"/>
    <xf numFmtId="265" fontId="3" fillId="0" borderId="0" applyFont="0" applyFill="0" applyBorder="0" applyAlignment="0" applyProtection="0"/>
    <xf numFmtId="267" fontId="3" fillId="0" borderId="0"/>
    <xf numFmtId="267" fontId="3" fillId="0" borderId="0"/>
    <xf numFmtId="267" fontId="3" fillId="0" borderId="0"/>
    <xf numFmtId="267" fontId="3" fillId="0" borderId="0"/>
    <xf numFmtId="267" fontId="3" fillId="0" borderId="0"/>
    <xf numFmtId="267" fontId="3" fillId="0" borderId="0"/>
    <xf numFmtId="267" fontId="3" fillId="0" borderId="0"/>
    <xf numFmtId="267" fontId="3" fillId="0" borderId="0"/>
    <xf numFmtId="267" fontId="3" fillId="0" borderId="0"/>
    <xf numFmtId="267" fontId="3" fillId="0" borderId="0" applyProtection="0"/>
    <xf numFmtId="267" fontId="3" fillId="0" borderId="0"/>
    <xf numFmtId="267" fontId="3" fillId="0" borderId="0"/>
    <xf numFmtId="267" fontId="3" fillId="0" borderId="0"/>
    <xf numFmtId="267" fontId="3" fillId="0" borderId="0"/>
    <xf numFmtId="267" fontId="3" fillId="0" borderId="0"/>
    <xf numFmtId="267" fontId="3" fillId="0" borderId="0"/>
    <xf numFmtId="267" fontId="3" fillId="0" borderId="0"/>
    <xf numFmtId="0" fontId="142" fillId="24" borderId="23" applyNumberFormat="0" applyAlignment="0" applyProtection="0"/>
    <xf numFmtId="179" fontId="93" fillId="0" borderId="0" applyFont="0" applyFill="0" applyBorder="0" applyAlignment="0" applyProtection="0"/>
    <xf numFmtId="1" fontId="143" fillId="0" borderId="7" applyBorder="0"/>
    <xf numFmtId="268" fontId="47" fillId="0" borderId="24"/>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69" fillId="0" borderId="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4" fontId="85" fillId="0" borderId="0" applyFill="0" applyBorder="0" applyAlignment="0"/>
    <xf numFmtId="14" fontId="84" fillId="0" borderId="0" applyFill="0" applyBorder="0" applyAlignment="0"/>
    <xf numFmtId="0" fontId="90" fillId="0" borderId="0" applyProtection="0"/>
    <xf numFmtId="3" fontId="144" fillId="0" borderId="8">
      <alignment horizontal="left" vertical="top" wrapText="1"/>
    </xf>
    <xf numFmtId="175" fontId="134" fillId="0" borderId="0" applyFont="0" applyFill="0" applyBorder="0" applyAlignment="0" applyProtection="0"/>
    <xf numFmtId="269" fontId="31" fillId="0" borderId="0" applyFill="0" applyBorder="0" applyProtection="0"/>
    <xf numFmtId="269" fontId="31" fillId="0" borderId="11" applyFill="0" applyProtection="0"/>
    <xf numFmtId="269" fontId="31" fillId="0" borderId="22" applyFill="0" applyProtection="0"/>
    <xf numFmtId="270" fontId="3" fillId="0" borderId="25">
      <alignment vertical="center"/>
    </xf>
    <xf numFmtId="270" fontId="3" fillId="0" borderId="25">
      <alignment vertical="center"/>
    </xf>
    <xf numFmtId="270" fontId="3" fillId="0" borderId="25">
      <alignment vertical="center"/>
    </xf>
    <xf numFmtId="270" fontId="3" fillId="0" borderId="25">
      <alignment vertical="center"/>
    </xf>
    <xf numFmtId="270" fontId="3" fillId="0" borderId="25">
      <alignment vertical="center"/>
    </xf>
    <xf numFmtId="270" fontId="3" fillId="0" borderId="25">
      <alignment vertical="center"/>
    </xf>
    <xf numFmtId="270" fontId="3" fillId="0" borderId="25">
      <alignment vertical="center"/>
    </xf>
    <xf numFmtId="270" fontId="3" fillId="0" borderId="25">
      <alignment vertical="center"/>
    </xf>
    <xf numFmtId="270" fontId="3" fillId="0" borderId="25">
      <alignment vertical="center"/>
    </xf>
    <xf numFmtId="270" fontId="3" fillId="0" borderId="25">
      <alignment vertical="center"/>
    </xf>
    <xf numFmtId="270" fontId="3" fillId="0" borderId="25">
      <alignment vertical="center"/>
    </xf>
    <xf numFmtId="270" fontId="3" fillId="0" borderId="25">
      <alignment vertical="center"/>
    </xf>
    <xf numFmtId="270" fontId="3" fillId="0" borderId="25">
      <alignment vertical="center"/>
    </xf>
    <xf numFmtId="270" fontId="3" fillId="0" borderId="25">
      <alignment vertical="center"/>
    </xf>
    <xf numFmtId="270" fontId="3" fillId="0" borderId="25">
      <alignment vertical="center"/>
    </xf>
    <xf numFmtId="0" fontId="3" fillId="0" borderId="0" applyFont="0" applyFill="0" applyBorder="0" applyAlignment="0" applyProtection="0"/>
    <xf numFmtId="0" fontId="3" fillId="0" borderId="0" applyFont="0" applyFill="0" applyBorder="0" applyAlignment="0" applyProtection="0"/>
    <xf numFmtId="271" fontId="47" fillId="0" borderId="0"/>
    <xf numFmtId="272" fontId="71" fillId="0" borderId="2"/>
    <xf numFmtId="272" fontId="71" fillId="0" borderId="2"/>
    <xf numFmtId="242" fontId="3" fillId="0" borderId="0"/>
    <xf numFmtId="242" fontId="3" fillId="0" borderId="0"/>
    <xf numFmtId="242" fontId="3" fillId="0" borderId="0"/>
    <xf numFmtId="242" fontId="3" fillId="0" borderId="0"/>
    <xf numFmtId="242" fontId="3" fillId="0" borderId="0"/>
    <xf numFmtId="242" fontId="3" fillId="0" borderId="0"/>
    <xf numFmtId="242" fontId="3" fillId="0" borderId="0"/>
    <xf numFmtId="242" fontId="3" fillId="0" borderId="0"/>
    <xf numFmtId="242" fontId="3" fillId="0" borderId="0"/>
    <xf numFmtId="242" fontId="3" fillId="0" borderId="0" applyProtection="0"/>
    <xf numFmtId="242" fontId="3" fillId="0" borderId="0"/>
    <xf numFmtId="242" fontId="3" fillId="0" borderId="0"/>
    <xf numFmtId="242" fontId="3" fillId="0" borderId="0"/>
    <xf numFmtId="242" fontId="3" fillId="0" borderId="0"/>
    <xf numFmtId="242" fontId="3" fillId="0" borderId="0"/>
    <xf numFmtId="242" fontId="3" fillId="0" borderId="0"/>
    <xf numFmtId="242" fontId="3" fillId="0" borderId="0"/>
    <xf numFmtId="273" fontId="71" fillId="0" borderId="0"/>
    <xf numFmtId="167" fontId="145" fillId="0" borderId="0" applyFont="0" applyFill="0" applyBorder="0" applyAlignment="0" applyProtection="0"/>
    <xf numFmtId="168" fontId="145" fillId="0" borderId="0" applyFont="0" applyFill="0" applyBorder="0" applyAlignment="0" applyProtection="0"/>
    <xf numFmtId="167" fontId="145" fillId="0" borderId="0" applyFont="0" applyFill="0" applyBorder="0" applyAlignment="0" applyProtection="0"/>
    <xf numFmtId="173" fontId="145" fillId="0" borderId="0" applyFont="0" applyFill="0" applyBorder="0" applyAlignment="0" applyProtection="0"/>
    <xf numFmtId="173" fontId="145" fillId="0" borderId="0" applyFont="0" applyFill="0" applyBorder="0" applyAlignment="0" applyProtection="0"/>
    <xf numFmtId="173" fontId="145" fillId="0" borderId="0" applyFont="0" applyFill="0" applyBorder="0" applyAlignment="0" applyProtection="0"/>
    <xf numFmtId="173" fontId="145" fillId="0" borderId="0" applyFont="0" applyFill="0" applyBorder="0" applyAlignment="0" applyProtection="0"/>
    <xf numFmtId="173" fontId="145" fillId="0" borderId="0" applyFont="0" applyFill="0" applyBorder="0" applyAlignment="0" applyProtection="0"/>
    <xf numFmtId="173" fontId="145" fillId="0" borderId="0" applyFont="0" applyFill="0" applyBorder="0" applyAlignment="0" applyProtection="0"/>
    <xf numFmtId="173" fontId="145" fillId="0" borderId="0" applyFont="0" applyFill="0" applyBorder="0" applyAlignment="0" applyProtection="0"/>
    <xf numFmtId="173" fontId="145" fillId="0" borderId="0" applyFont="0" applyFill="0" applyBorder="0" applyAlignment="0" applyProtection="0"/>
    <xf numFmtId="173" fontId="145" fillId="0" borderId="0" applyFont="0" applyFill="0" applyBorder="0" applyAlignment="0" applyProtection="0"/>
    <xf numFmtId="173" fontId="145" fillId="0" borderId="0" applyFont="0" applyFill="0" applyBorder="0" applyAlignment="0" applyProtection="0"/>
    <xf numFmtId="173" fontId="145" fillId="0" borderId="0" applyFont="0" applyFill="0" applyBorder="0" applyAlignment="0" applyProtection="0"/>
    <xf numFmtId="173" fontId="145" fillId="0" borderId="0" applyFont="0" applyFill="0" applyBorder="0" applyAlignment="0" applyProtection="0"/>
    <xf numFmtId="173" fontId="145" fillId="0" borderId="0" applyFont="0" applyFill="0" applyBorder="0" applyAlignment="0" applyProtection="0"/>
    <xf numFmtId="274" fontId="104" fillId="0" borderId="0" applyFont="0" applyFill="0" applyBorder="0" applyAlignment="0" applyProtection="0"/>
    <xf numFmtId="274" fontId="104" fillId="0" borderId="0" applyFont="0" applyFill="0" applyBorder="0" applyAlignment="0" applyProtection="0"/>
    <xf numFmtId="173" fontId="146" fillId="0" borderId="0" applyFont="0" applyFill="0" applyBorder="0" applyAlignment="0" applyProtection="0"/>
    <xf numFmtId="173" fontId="146" fillId="0" borderId="0" applyFont="0" applyFill="0" applyBorder="0" applyAlignment="0" applyProtection="0"/>
    <xf numFmtId="274" fontId="104" fillId="0" borderId="0" applyFont="0" applyFill="0" applyBorder="0" applyAlignment="0" applyProtection="0"/>
    <xf numFmtId="274" fontId="104" fillId="0" borderId="0" applyFont="0" applyFill="0" applyBorder="0" applyAlignment="0" applyProtection="0"/>
    <xf numFmtId="167" fontId="145" fillId="0" borderId="0" applyFont="0" applyFill="0" applyBorder="0" applyAlignment="0" applyProtection="0"/>
    <xf numFmtId="167" fontId="145" fillId="0" borderId="0" applyFont="0" applyFill="0" applyBorder="0" applyAlignment="0" applyProtection="0"/>
    <xf numFmtId="274" fontId="104" fillId="0" borderId="0" applyFont="0" applyFill="0" applyBorder="0" applyAlignment="0" applyProtection="0"/>
    <xf numFmtId="274" fontId="104" fillId="0" borderId="0" applyFont="0" applyFill="0" applyBorder="0" applyAlignment="0" applyProtection="0"/>
    <xf numFmtId="275" fontId="47" fillId="0" borderId="0" applyFont="0" applyFill="0" applyBorder="0" applyAlignment="0" applyProtection="0"/>
    <xf numFmtId="275" fontId="47" fillId="0" borderId="0" applyFont="0" applyFill="0" applyBorder="0" applyAlignment="0" applyProtection="0"/>
    <xf numFmtId="276" fontId="47" fillId="0" borderId="0" applyFont="0" applyFill="0" applyBorder="0" applyAlignment="0" applyProtection="0"/>
    <xf numFmtId="276" fontId="47" fillId="0" borderId="0" applyFont="0" applyFill="0" applyBorder="0" applyAlignment="0" applyProtection="0"/>
    <xf numFmtId="173" fontId="145" fillId="0" borderId="0" applyFont="0" applyFill="0" applyBorder="0" applyAlignment="0" applyProtection="0"/>
    <xf numFmtId="173" fontId="145" fillId="0" borderId="0" applyFont="0" applyFill="0" applyBorder="0" applyAlignment="0" applyProtection="0"/>
    <xf numFmtId="173" fontId="145" fillId="0" borderId="0" applyFont="0" applyFill="0" applyBorder="0" applyAlignment="0" applyProtection="0"/>
    <xf numFmtId="173" fontId="145" fillId="0" borderId="0" applyFont="0" applyFill="0" applyBorder="0" applyAlignment="0" applyProtection="0"/>
    <xf numFmtId="173" fontId="145" fillId="0" borderId="0" applyFont="0" applyFill="0" applyBorder="0" applyAlignment="0" applyProtection="0"/>
    <xf numFmtId="173" fontId="145" fillId="0" borderId="0" applyFont="0" applyFill="0" applyBorder="0" applyAlignment="0" applyProtection="0"/>
    <xf numFmtId="173" fontId="146" fillId="0" borderId="0" applyFont="0" applyFill="0" applyBorder="0" applyAlignment="0" applyProtection="0"/>
    <xf numFmtId="173" fontId="146" fillId="0" borderId="0" applyFont="0" applyFill="0" applyBorder="0" applyAlignment="0" applyProtection="0"/>
    <xf numFmtId="41" fontId="145" fillId="0" borderId="0" applyFont="0" applyFill="0" applyBorder="0" applyAlignment="0" applyProtection="0"/>
    <xf numFmtId="173" fontId="145" fillId="0" borderId="0" applyFont="0" applyFill="0" applyBorder="0" applyAlignment="0" applyProtection="0"/>
    <xf numFmtId="41" fontId="145" fillId="0" borderId="0" applyFont="0" applyFill="0" applyBorder="0" applyAlignment="0" applyProtection="0"/>
    <xf numFmtId="41" fontId="145" fillId="0" borderId="0" applyFont="0" applyFill="0" applyBorder="0" applyAlignment="0" applyProtection="0"/>
    <xf numFmtId="41" fontId="145" fillId="0" borderId="0" applyFont="0" applyFill="0" applyBorder="0" applyAlignment="0" applyProtection="0"/>
    <xf numFmtId="41" fontId="145" fillId="0" borderId="0" applyFont="0" applyFill="0" applyBorder="0" applyAlignment="0" applyProtection="0"/>
    <xf numFmtId="173" fontId="145" fillId="0" borderId="0" applyFont="0" applyFill="0" applyBorder="0" applyAlignment="0" applyProtection="0"/>
    <xf numFmtId="167" fontId="145" fillId="0" borderId="0" applyFont="0" applyFill="0" applyBorder="0" applyAlignment="0" applyProtection="0"/>
    <xf numFmtId="173" fontId="145" fillId="0" borderId="0" applyFont="0" applyFill="0" applyBorder="0" applyAlignment="0" applyProtection="0"/>
    <xf numFmtId="167" fontId="145" fillId="0" borderId="0" applyFont="0" applyFill="0" applyBorder="0" applyAlignment="0" applyProtection="0"/>
    <xf numFmtId="173" fontId="145" fillId="0" borderId="0" applyFont="0" applyFill="0" applyBorder="0" applyAlignment="0" applyProtection="0"/>
    <xf numFmtId="173" fontId="145" fillId="0" borderId="0" applyFont="0" applyFill="0" applyBorder="0" applyAlignment="0" applyProtection="0"/>
    <xf numFmtId="41" fontId="145" fillId="0" borderId="0" applyFont="0" applyFill="0" applyBorder="0" applyAlignment="0" applyProtection="0"/>
    <xf numFmtId="41" fontId="145" fillId="0" borderId="0" applyFont="0" applyFill="0" applyBorder="0" applyAlignment="0" applyProtection="0"/>
    <xf numFmtId="173" fontId="145" fillId="0" borderId="0" applyFont="0" applyFill="0" applyBorder="0" applyAlignment="0" applyProtection="0"/>
    <xf numFmtId="168" fontId="145" fillId="0" borderId="0" applyFont="0" applyFill="0" applyBorder="0" applyAlignment="0" applyProtection="0"/>
    <xf numFmtId="175" fontId="145" fillId="0" borderId="0" applyFont="0" applyFill="0" applyBorder="0" applyAlignment="0" applyProtection="0"/>
    <xf numFmtId="175" fontId="145" fillId="0" borderId="0" applyFont="0" applyFill="0" applyBorder="0" applyAlignment="0" applyProtection="0"/>
    <xf numFmtId="175" fontId="145" fillId="0" borderId="0" applyFont="0" applyFill="0" applyBorder="0" applyAlignment="0" applyProtection="0"/>
    <xf numFmtId="175" fontId="145" fillId="0" borderId="0" applyFont="0" applyFill="0" applyBorder="0" applyAlignment="0" applyProtection="0"/>
    <xf numFmtId="175" fontId="145" fillId="0" borderId="0" applyFont="0" applyFill="0" applyBorder="0" applyAlignment="0" applyProtection="0"/>
    <xf numFmtId="175" fontId="145" fillId="0" borderId="0" applyFont="0" applyFill="0" applyBorder="0" applyAlignment="0" applyProtection="0"/>
    <xf numFmtId="175" fontId="145" fillId="0" borderId="0" applyFont="0" applyFill="0" applyBorder="0" applyAlignment="0" applyProtection="0"/>
    <xf numFmtId="175" fontId="145" fillId="0" borderId="0" applyFont="0" applyFill="0" applyBorder="0" applyAlignment="0" applyProtection="0"/>
    <xf numFmtId="175" fontId="145" fillId="0" borderId="0" applyFont="0" applyFill="0" applyBorder="0" applyAlignment="0" applyProtection="0"/>
    <xf numFmtId="175" fontId="145" fillId="0" borderId="0" applyFont="0" applyFill="0" applyBorder="0" applyAlignment="0" applyProtection="0"/>
    <xf numFmtId="175" fontId="145" fillId="0" borderId="0" applyFont="0" applyFill="0" applyBorder="0" applyAlignment="0" applyProtection="0"/>
    <xf numFmtId="175" fontId="145" fillId="0" borderId="0" applyFont="0" applyFill="0" applyBorder="0" applyAlignment="0" applyProtection="0"/>
    <xf numFmtId="175" fontId="145"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75" fontId="146" fillId="0" borderId="0" applyFont="0" applyFill="0" applyBorder="0" applyAlignment="0" applyProtection="0"/>
    <xf numFmtId="175" fontId="146"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168" fontId="145" fillId="0" borderId="0" applyFont="0" applyFill="0" applyBorder="0" applyAlignment="0" applyProtection="0"/>
    <xf numFmtId="168" fontId="145" fillId="0" borderId="0" applyFon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245" fontId="47" fillId="0" borderId="0" applyFont="0" applyFill="0" applyBorder="0" applyAlignment="0" applyProtection="0"/>
    <xf numFmtId="245" fontId="47" fillId="0" borderId="0" applyFont="0" applyFill="0" applyBorder="0" applyAlignment="0" applyProtection="0"/>
    <xf numFmtId="277" fontId="47" fillId="0" borderId="0" applyFont="0" applyFill="0" applyBorder="0" applyAlignment="0" applyProtection="0"/>
    <xf numFmtId="277" fontId="47" fillId="0" borderId="0" applyFont="0" applyFill="0" applyBorder="0" applyAlignment="0" applyProtection="0"/>
    <xf numFmtId="175" fontId="145" fillId="0" borderId="0" applyFont="0" applyFill="0" applyBorder="0" applyAlignment="0" applyProtection="0"/>
    <xf numFmtId="175" fontId="145" fillId="0" borderId="0" applyFont="0" applyFill="0" applyBorder="0" applyAlignment="0" applyProtection="0"/>
    <xf numFmtId="175" fontId="145" fillId="0" borderId="0" applyFont="0" applyFill="0" applyBorder="0" applyAlignment="0" applyProtection="0"/>
    <xf numFmtId="175" fontId="145" fillId="0" borderId="0" applyFont="0" applyFill="0" applyBorder="0" applyAlignment="0" applyProtection="0"/>
    <xf numFmtId="175" fontId="145" fillId="0" borderId="0" applyFont="0" applyFill="0" applyBorder="0" applyAlignment="0" applyProtection="0"/>
    <xf numFmtId="175" fontId="145" fillId="0" borderId="0" applyFont="0" applyFill="0" applyBorder="0" applyAlignment="0" applyProtection="0"/>
    <xf numFmtId="175" fontId="146" fillId="0" borderId="0" applyFont="0" applyFill="0" applyBorder="0" applyAlignment="0" applyProtection="0"/>
    <xf numFmtId="175" fontId="146" fillId="0" borderId="0" applyFont="0" applyFill="0" applyBorder="0" applyAlignment="0" applyProtection="0"/>
    <xf numFmtId="43" fontId="145" fillId="0" borderId="0" applyFont="0" applyFill="0" applyBorder="0" applyAlignment="0" applyProtection="0"/>
    <xf numFmtId="175"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175" fontId="145" fillId="0" borderId="0" applyFont="0" applyFill="0" applyBorder="0" applyAlignment="0" applyProtection="0"/>
    <xf numFmtId="168" fontId="145" fillId="0" borderId="0" applyFont="0" applyFill="0" applyBorder="0" applyAlignment="0" applyProtection="0"/>
    <xf numFmtId="175" fontId="145" fillId="0" borderId="0" applyFont="0" applyFill="0" applyBorder="0" applyAlignment="0" applyProtection="0"/>
    <xf numFmtId="168" fontId="145" fillId="0" borderId="0" applyFont="0" applyFill="0" applyBorder="0" applyAlignment="0" applyProtection="0"/>
    <xf numFmtId="175" fontId="145" fillId="0" borderId="0" applyFont="0" applyFill="0" applyBorder="0" applyAlignment="0" applyProtection="0"/>
    <xf numFmtId="175" fontId="145"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175" fontId="145" fillId="0" borderId="0" applyFont="0" applyFill="0" applyBorder="0" applyAlignment="0" applyProtection="0"/>
    <xf numFmtId="3" fontId="47" fillId="0" borderId="0" applyFont="0" applyBorder="0" applyAlignment="0"/>
    <xf numFmtId="0" fontId="104"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14" fontId="124"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22" fontId="124"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4" fontId="124"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14" fontId="124"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0" fontId="147" fillId="0" borderId="0" applyNumberFormat="0" applyAlignment="0">
      <alignment horizontal="left"/>
    </xf>
    <xf numFmtId="0" fontId="148" fillId="0" borderId="0"/>
    <xf numFmtId="278" fontId="3" fillId="0" borderId="0" applyFont="0" applyFill="0" applyBorder="0" applyAlignment="0" applyProtection="0"/>
    <xf numFmtId="278" fontId="3" fillId="0" borderId="0" applyFont="0" applyFill="0" applyBorder="0" applyAlignment="0" applyProtection="0"/>
    <xf numFmtId="278" fontId="3" fillId="0" borderId="0" applyFont="0" applyFill="0" applyBorder="0" applyAlignment="0" applyProtection="0"/>
    <xf numFmtId="278" fontId="3" fillId="0" borderId="0" applyFont="0" applyFill="0" applyBorder="0" applyAlignment="0" applyProtection="0"/>
    <xf numFmtId="278" fontId="3" fillId="0" borderId="0" applyFont="0" applyFill="0" applyBorder="0" applyAlignment="0" applyProtection="0"/>
    <xf numFmtId="278" fontId="3" fillId="0" borderId="0" applyFont="0" applyFill="0" applyBorder="0" applyAlignment="0" applyProtection="0"/>
    <xf numFmtId="278" fontId="3" fillId="0" borderId="0" applyFont="0" applyFill="0" applyBorder="0" applyAlignment="0" applyProtection="0"/>
    <xf numFmtId="278" fontId="3" fillId="0" borderId="0" applyFont="0" applyFill="0" applyBorder="0" applyAlignment="0" applyProtection="0"/>
    <xf numFmtId="278" fontId="3" fillId="0" borderId="0" applyFont="0" applyFill="0" applyBorder="0" applyAlignment="0" applyProtection="0"/>
    <xf numFmtId="278" fontId="3" fillId="0" borderId="0" applyFont="0" applyFill="0" applyBorder="0" applyAlignment="0" applyProtection="0"/>
    <xf numFmtId="278" fontId="3" fillId="0" borderId="0" applyFont="0" applyFill="0" applyBorder="0" applyAlignment="0" applyProtection="0"/>
    <xf numFmtId="278" fontId="3" fillId="0" borderId="0" applyFont="0" applyFill="0" applyBorder="0" applyAlignment="0" applyProtection="0"/>
    <xf numFmtId="278" fontId="3" fillId="0" borderId="0" applyFont="0" applyFill="0" applyBorder="0" applyAlignment="0" applyProtection="0"/>
    <xf numFmtId="278" fontId="3" fillId="0" borderId="0" applyFont="0" applyFill="0" applyBorder="0" applyAlignment="0" applyProtection="0"/>
    <xf numFmtId="278" fontId="3" fillId="0" borderId="0" applyFont="0" applyFill="0" applyBorder="0" applyAlignment="0" applyProtection="0"/>
    <xf numFmtId="0" fontId="149" fillId="0" borderId="0"/>
    <xf numFmtId="0" fontId="150" fillId="0" borderId="0" applyNumberFormat="0" applyFill="0" applyBorder="0" applyAlignment="0" applyProtection="0"/>
    <xf numFmtId="3" fontId="47" fillId="0" borderId="0" applyFont="0" applyBorder="0" applyAlignment="0"/>
    <xf numFmtId="0" fontId="3" fillId="0" borderId="0"/>
    <xf numFmtId="0" fontId="3" fillId="0" borderId="0"/>
    <xf numFmtId="0" fontId="3" fillId="0" borderId="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69" fillId="0" borderId="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0" fontId="151" fillId="0" borderId="0" applyNumberFormat="0" applyFill="0" applyBorder="0" applyAlignment="0" applyProtection="0"/>
    <xf numFmtId="0" fontId="152" fillId="0" borderId="0" applyNumberFormat="0" applyFill="0" applyBorder="0" applyProtection="0">
      <alignment vertical="center"/>
    </xf>
    <xf numFmtId="0" fontId="153" fillId="0" borderId="0" applyNumberFormat="0" applyFill="0" applyBorder="0" applyAlignment="0" applyProtection="0"/>
    <xf numFmtId="0" fontId="154" fillId="0" borderId="0" applyNumberFormat="0" applyFill="0" applyBorder="0" applyProtection="0">
      <alignment vertical="center"/>
    </xf>
    <xf numFmtId="0" fontId="155" fillId="0" borderId="0" applyNumberFormat="0" applyFill="0" applyBorder="0" applyAlignment="0" applyProtection="0"/>
    <xf numFmtId="0" fontId="156" fillId="0" borderId="0" applyNumberFormat="0" applyFill="0" applyBorder="0" applyAlignment="0" applyProtection="0"/>
    <xf numFmtId="279" fontId="157" fillId="0" borderId="26" applyNumberFormat="0" applyFill="0" applyBorder="0" applyAlignment="0" applyProtection="0"/>
    <xf numFmtId="0" fontId="158" fillId="0" borderId="0" applyNumberFormat="0" applyFill="0" applyBorder="0" applyAlignment="0" applyProtection="0"/>
    <xf numFmtId="0" fontId="159" fillId="7" borderId="0" applyNumberFormat="0" applyBorder="0" applyAlignment="0" applyProtection="0"/>
    <xf numFmtId="38" fontId="160" fillId="3" borderId="0" applyNumberFormat="0" applyBorder="0" applyAlignment="0" applyProtection="0"/>
    <xf numFmtId="38" fontId="160" fillId="2" borderId="0" applyNumberFormat="0" applyBorder="0" applyAlignment="0" applyProtection="0"/>
    <xf numFmtId="38" fontId="160" fillId="2" borderId="0" applyNumberFormat="0" applyBorder="0" applyAlignment="0" applyProtection="0"/>
    <xf numFmtId="38" fontId="160" fillId="2" borderId="0" applyNumberFormat="0" applyBorder="0" applyAlignment="0" applyProtection="0"/>
    <xf numFmtId="38" fontId="160" fillId="2" borderId="0" applyNumberFormat="0" applyBorder="0" applyAlignment="0" applyProtection="0"/>
    <xf numFmtId="38" fontId="160" fillId="2" borderId="0" applyNumberFormat="0" applyBorder="0" applyAlignment="0" applyProtection="0"/>
    <xf numFmtId="38" fontId="160" fillId="2" borderId="0" applyNumberFormat="0" applyBorder="0" applyAlignment="0" applyProtection="0"/>
    <xf numFmtId="38" fontId="160" fillId="3" borderId="0" applyNumberFormat="0" applyBorder="0" applyAlignment="0" applyProtection="0"/>
    <xf numFmtId="38" fontId="160" fillId="2" borderId="0" applyNumberFormat="0" applyBorder="0" applyAlignment="0" applyProtection="0"/>
    <xf numFmtId="38" fontId="160" fillId="2" borderId="0" applyNumberFormat="0" applyBorder="0" applyAlignment="0" applyProtection="0"/>
    <xf numFmtId="38" fontId="160" fillId="2" borderId="0" applyNumberFormat="0" applyBorder="0" applyAlignment="0" applyProtection="0"/>
    <xf numFmtId="38" fontId="160" fillId="2" borderId="0" applyNumberFormat="0" applyBorder="0" applyAlignment="0" applyProtection="0"/>
    <xf numFmtId="38" fontId="160" fillId="2" borderId="0" applyNumberFormat="0" applyBorder="0" applyAlignment="0" applyProtection="0"/>
    <xf numFmtId="38" fontId="160" fillId="2" borderId="0" applyNumberFormat="0" applyBorder="0" applyAlignment="0" applyProtection="0"/>
    <xf numFmtId="38" fontId="160" fillId="2" borderId="0" applyNumberFormat="0" applyBorder="0" applyAlignment="0" applyProtection="0"/>
    <xf numFmtId="38" fontId="160" fillId="2" borderId="0" applyNumberFormat="0" applyBorder="0" applyAlignment="0" applyProtection="0"/>
    <xf numFmtId="38" fontId="160" fillId="2" borderId="0" applyNumberFormat="0" applyBorder="0" applyAlignment="0" applyProtection="0"/>
    <xf numFmtId="280" fontId="161" fillId="3" borderId="0" applyBorder="0" applyProtection="0"/>
    <xf numFmtId="0" fontId="162" fillId="0" borderId="0">
      <alignment vertical="top" wrapText="1"/>
    </xf>
    <xf numFmtId="0" fontId="163" fillId="0" borderId="17" applyNumberFormat="0" applyFill="0" applyBorder="0" applyAlignment="0" applyProtection="0">
      <alignment horizontal="center" vertical="center"/>
    </xf>
    <xf numFmtId="0" fontId="164" fillId="0" borderId="0" applyNumberFormat="0" applyFont="0" applyBorder="0" applyAlignment="0">
      <alignment horizontal="left" vertical="center"/>
    </xf>
    <xf numFmtId="281" fontId="119" fillId="0" borderId="0" applyFont="0" applyFill="0" applyBorder="0" applyAlignment="0" applyProtection="0"/>
    <xf numFmtId="0" fontId="165" fillId="25" borderId="0"/>
    <xf numFmtId="0" fontId="166" fillId="0" borderId="0">
      <alignment horizontal="left"/>
    </xf>
    <xf numFmtId="0" fontId="167" fillId="0" borderId="0">
      <alignment horizontal="left"/>
    </xf>
    <xf numFmtId="0" fontId="82" fillId="0" borderId="27" applyNumberFormat="0" applyAlignment="0" applyProtection="0">
      <alignment horizontal="left" vertical="center"/>
    </xf>
    <xf numFmtId="0" fontId="82" fillId="0" borderId="27" applyNumberFormat="0" applyAlignment="0" applyProtection="0">
      <alignment horizontal="left" vertical="center"/>
    </xf>
    <xf numFmtId="0" fontId="82" fillId="0" borderId="4">
      <alignment horizontal="left" vertical="center"/>
    </xf>
    <xf numFmtId="0" fontId="82" fillId="0" borderId="4">
      <alignment horizontal="left" vertical="center"/>
    </xf>
    <xf numFmtId="14" fontId="168" fillId="26" borderId="28">
      <alignment horizontal="center" vertical="center" wrapText="1"/>
    </xf>
    <xf numFmtId="0" fontId="169" fillId="0" borderId="29" applyNumberFormat="0" applyFill="0" applyAlignment="0" applyProtection="0"/>
    <xf numFmtId="0" fontId="170" fillId="0" borderId="30" applyNumberFormat="0" applyFill="0" applyAlignment="0" applyProtection="0"/>
    <xf numFmtId="0" fontId="171" fillId="0" borderId="31" applyNumberFormat="0" applyFill="0" applyAlignment="0" applyProtection="0"/>
    <xf numFmtId="0" fontId="171" fillId="0" borderId="0" applyNumberFormat="0" applyFill="0" applyBorder="0" applyAlignment="0" applyProtection="0"/>
    <xf numFmtId="0" fontId="128" fillId="0" borderId="0" applyFill="0" applyAlignment="0" applyProtection="0">
      <protection locked="0"/>
    </xf>
    <xf numFmtId="0" fontId="128" fillId="0" borderId="1" applyFill="0" applyAlignment="0" applyProtection="0">
      <protection locked="0"/>
    </xf>
    <xf numFmtId="0" fontId="172" fillId="0" borderId="0" applyProtection="0"/>
    <xf numFmtId="0" fontId="82" fillId="0" borderId="0" applyProtection="0"/>
    <xf numFmtId="0" fontId="173" fillId="0" borderId="28">
      <alignment horizontal="center"/>
    </xf>
    <xf numFmtId="0" fontId="173" fillId="0" borderId="0">
      <alignment horizontal="center"/>
    </xf>
    <xf numFmtId="170" fontId="174" fillId="27" borderId="2" applyNumberFormat="0" applyAlignment="0">
      <alignment horizontal="left" vertical="top"/>
    </xf>
    <xf numFmtId="170" fontId="174" fillId="27" borderId="2" applyNumberFormat="0" applyAlignment="0">
      <alignment horizontal="left" vertical="top"/>
    </xf>
    <xf numFmtId="245" fontId="174" fillId="27" borderId="2" applyNumberFormat="0" applyAlignment="0">
      <alignment horizontal="left" vertical="top"/>
    </xf>
    <xf numFmtId="49" fontId="175" fillId="0" borderId="2">
      <alignment vertical="center"/>
    </xf>
    <xf numFmtId="49" fontId="175" fillId="0" borderId="2">
      <alignment vertical="center"/>
    </xf>
    <xf numFmtId="0" fontId="31" fillId="0" borderId="0"/>
    <xf numFmtId="167" fontId="47" fillId="0" borderId="0" applyFont="0" applyFill="0" applyBorder="0" applyAlignment="0" applyProtection="0"/>
    <xf numFmtId="38" fontId="86" fillId="0" borderId="0" applyFont="0" applyFill="0" applyBorder="0" applyAlignment="0" applyProtection="0"/>
    <xf numFmtId="173" fontId="72" fillId="0" borderId="0" applyFont="0" applyFill="0" applyBorder="0" applyAlignment="0" applyProtection="0"/>
    <xf numFmtId="204" fontId="72" fillId="0" borderId="0" applyFont="0" applyFill="0" applyBorder="0" applyAlignment="0" applyProtection="0"/>
    <xf numFmtId="282" fontId="176" fillId="0" borderId="0" applyFont="0" applyFill="0" applyBorder="0" applyAlignment="0" applyProtection="0"/>
    <xf numFmtId="10" fontId="160" fillId="28" borderId="2" applyNumberFormat="0" applyBorder="0" applyAlignment="0" applyProtection="0"/>
    <xf numFmtId="10" fontId="160" fillId="2" borderId="2" applyNumberFormat="0" applyBorder="0" applyAlignment="0" applyProtection="0"/>
    <xf numFmtId="10" fontId="160" fillId="2" borderId="2" applyNumberFormat="0" applyBorder="0" applyAlignment="0" applyProtection="0"/>
    <xf numFmtId="10" fontId="160" fillId="2" borderId="2" applyNumberFormat="0" applyBorder="0" applyAlignment="0" applyProtection="0"/>
    <xf numFmtId="10" fontId="160" fillId="2" borderId="2" applyNumberFormat="0" applyBorder="0" applyAlignment="0" applyProtection="0"/>
    <xf numFmtId="10" fontId="160" fillId="2" borderId="2" applyNumberFormat="0" applyBorder="0" applyAlignment="0" applyProtection="0"/>
    <xf numFmtId="10" fontId="160" fillId="2" borderId="2" applyNumberFormat="0" applyBorder="0" applyAlignment="0" applyProtection="0"/>
    <xf numFmtId="10" fontId="160" fillId="28" borderId="2" applyNumberFormat="0" applyBorder="0" applyAlignment="0" applyProtection="0"/>
    <xf numFmtId="10" fontId="160" fillId="28" borderId="2" applyNumberFormat="0" applyBorder="0" applyAlignment="0" applyProtection="0"/>
    <xf numFmtId="10" fontId="160" fillId="2" borderId="2" applyNumberFormat="0" applyBorder="0" applyAlignment="0" applyProtection="0"/>
    <xf numFmtId="10" fontId="160" fillId="2" borderId="2" applyNumberFormat="0" applyBorder="0" applyAlignment="0" applyProtection="0"/>
    <xf numFmtId="10" fontId="160" fillId="2" borderId="2" applyNumberFormat="0" applyBorder="0" applyAlignment="0" applyProtection="0"/>
    <xf numFmtId="10" fontId="160" fillId="2" borderId="2" applyNumberFormat="0" applyBorder="0" applyAlignment="0" applyProtection="0"/>
    <xf numFmtId="10" fontId="160" fillId="2" borderId="2" applyNumberFormat="0" applyBorder="0" applyAlignment="0" applyProtection="0"/>
    <xf numFmtId="10" fontId="160" fillId="2" borderId="2" applyNumberFormat="0" applyBorder="0" applyAlignment="0" applyProtection="0"/>
    <xf numFmtId="10" fontId="160" fillId="2" borderId="2" applyNumberFormat="0" applyBorder="0" applyAlignment="0" applyProtection="0"/>
    <xf numFmtId="10" fontId="160" fillId="2" borderId="2" applyNumberFormat="0" applyBorder="0" applyAlignment="0" applyProtection="0"/>
    <xf numFmtId="10" fontId="160" fillId="2" borderId="2" applyNumberFormat="0" applyBorder="0" applyAlignment="0" applyProtection="0"/>
    <xf numFmtId="0" fontId="177" fillId="10" borderId="21" applyNumberFormat="0" applyAlignment="0" applyProtection="0"/>
    <xf numFmtId="0" fontId="177" fillId="10" borderId="21" applyNumberFormat="0" applyAlignment="0" applyProtection="0"/>
    <xf numFmtId="0" fontId="177" fillId="10" borderId="21" applyNumberFormat="0" applyAlignment="0" applyProtection="0"/>
    <xf numFmtId="0" fontId="177" fillId="10" borderId="21" applyNumberFormat="0" applyAlignment="0" applyProtection="0"/>
    <xf numFmtId="0" fontId="177" fillId="10" borderId="21" applyNumberFormat="0" applyAlignment="0" applyProtection="0"/>
    <xf numFmtId="0" fontId="177" fillId="10" borderId="21" applyNumberFormat="0" applyAlignment="0" applyProtection="0"/>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167" fontId="47" fillId="0" borderId="0" applyFont="0" applyFill="0" applyBorder="0" applyAlignment="0" applyProtection="0"/>
    <xf numFmtId="0" fontId="47" fillId="0" borderId="0"/>
    <xf numFmtId="0" fontId="113" fillId="0" borderId="32">
      <alignment horizontal="centerContinuous"/>
    </xf>
    <xf numFmtId="0" fontId="86" fillId="0" borderId="0"/>
    <xf numFmtId="0" fontId="31" fillId="0" borderId="0" applyNumberFormat="0" applyFont="0" applyFill="0" applyBorder="0" applyProtection="0">
      <alignment horizontal="left" vertical="center"/>
    </xf>
    <xf numFmtId="0" fontId="86" fillId="0" borderId="0"/>
    <xf numFmtId="0" fontId="104"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14" fontId="124"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22" fontId="124"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4" fontId="124"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14" fontId="124"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0" fontId="181" fillId="0" borderId="33" applyNumberFormat="0" applyFill="0" applyAlignment="0" applyProtection="0"/>
    <xf numFmtId="3" fontId="182" fillId="0" borderId="8" applyNumberFormat="0" applyAlignment="0">
      <alignment horizontal="center" vertical="center"/>
    </xf>
    <xf numFmtId="3" fontId="98" fillId="0" borderId="8" applyNumberFormat="0" applyAlignment="0">
      <alignment horizontal="center" vertical="center"/>
    </xf>
    <xf numFmtId="3" fontId="174" fillId="0" borderId="8" applyNumberFormat="0" applyAlignment="0">
      <alignment horizontal="center" vertical="center"/>
    </xf>
    <xf numFmtId="268" fontId="183" fillId="0" borderId="34" applyNumberFormat="0" applyFont="0" applyFill="0" applyBorder="0">
      <alignment horizontal="center"/>
    </xf>
    <xf numFmtId="268" fontId="183" fillId="0" borderId="34" applyNumberFormat="0" applyFont="0" applyFill="0" applyBorder="0">
      <alignment horizontal="center"/>
    </xf>
    <xf numFmtId="38" fontId="86" fillId="0" borderId="0" applyFont="0" applyFill="0" applyBorder="0" applyAlignment="0" applyProtection="0"/>
    <xf numFmtId="40" fontId="86" fillId="0" borderId="0" applyFont="0" applyFill="0" applyBorder="0" applyAlignment="0" applyProtection="0"/>
    <xf numFmtId="167" fontId="104" fillId="0" borderId="0" applyFont="0" applyFill="0" applyBorder="0" applyAlignment="0" applyProtection="0"/>
    <xf numFmtId="168" fontId="104" fillId="0" borderId="0" applyFont="0" applyFill="0" applyBorder="0" applyAlignment="0" applyProtection="0"/>
    <xf numFmtId="0" fontId="184" fillId="0" borderId="28"/>
    <xf numFmtId="0" fontId="185" fillId="0" borderId="28"/>
    <xf numFmtId="166" fontId="104" fillId="0" borderId="34"/>
    <xf numFmtId="166" fontId="104" fillId="0" borderId="34"/>
    <xf numFmtId="283" fontId="186" fillId="0" borderId="34"/>
    <xf numFmtId="284" fontId="109" fillId="0" borderId="0" applyFont="0" applyFill="0" applyBorder="0" applyAlignment="0" applyProtection="0"/>
    <xf numFmtId="285" fontId="109" fillId="0" borderId="0" applyFont="0" applyFill="0" applyBorder="0" applyAlignment="0" applyProtection="0"/>
    <xf numFmtId="286" fontId="104" fillId="0" borderId="0" applyFont="0" applyFill="0" applyBorder="0" applyAlignment="0" applyProtection="0"/>
    <xf numFmtId="287" fontId="104" fillId="0" borderId="0" applyFont="0" applyFill="0" applyBorder="0" applyAlignment="0" applyProtection="0"/>
    <xf numFmtId="0" fontId="90" fillId="0" borderId="0" applyNumberFormat="0" applyFont="0" applyFill="0" applyAlignment="0"/>
    <xf numFmtId="0" fontId="187" fillId="29" borderId="0" applyNumberFormat="0" applyBorder="0" applyAlignment="0" applyProtection="0"/>
    <xf numFmtId="0" fontId="119" fillId="0" borderId="2"/>
    <xf numFmtId="0" fontId="31" fillId="0" borderId="0"/>
    <xf numFmtId="37" fontId="188" fillId="0" borderId="0"/>
    <xf numFmtId="37" fontId="188" fillId="0" borderId="0"/>
    <xf numFmtId="37" fontId="188" fillId="0" borderId="0"/>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288" fontId="190" fillId="0" borderId="0"/>
    <xf numFmtId="0" fontId="191" fillId="0" borderId="0"/>
    <xf numFmtId="0" fontId="3" fillId="0" borderId="0"/>
    <xf numFmtId="0" fontId="192" fillId="0" borderId="0"/>
    <xf numFmtId="0" fontId="193" fillId="0" borderId="0"/>
    <xf numFmtId="0" fontId="41" fillId="0" borderId="0"/>
    <xf numFmtId="0" fontId="194" fillId="0" borderId="0"/>
    <xf numFmtId="0" fontId="3" fillId="0" borderId="0"/>
    <xf numFmtId="0" fontId="195" fillId="0" borderId="0"/>
    <xf numFmtId="0" fontId="3" fillId="0" borderId="0"/>
    <xf numFmtId="0" fontId="104" fillId="0" borderId="0"/>
    <xf numFmtId="0" fontId="3" fillId="0" borderId="0"/>
    <xf numFmtId="0" fontId="3" fillId="0" borderId="0"/>
    <xf numFmtId="0" fontId="37" fillId="0" borderId="0"/>
    <xf numFmtId="0" fontId="5" fillId="0" borderId="0"/>
    <xf numFmtId="0" fontId="5" fillId="0" borderId="0"/>
    <xf numFmtId="0" fontId="5" fillId="0" borderId="0"/>
    <xf numFmtId="0" fontId="93" fillId="0" borderId="0"/>
    <xf numFmtId="0" fontId="41" fillId="0" borderId="0"/>
    <xf numFmtId="0" fontId="194" fillId="0" borderId="0"/>
    <xf numFmtId="0" fontId="3" fillId="0" borderId="0"/>
    <xf numFmtId="0" fontId="41" fillId="0" borderId="0"/>
    <xf numFmtId="0" fontId="196" fillId="0" borderId="0"/>
    <xf numFmtId="0" fontId="104" fillId="0" borderId="0"/>
    <xf numFmtId="0" fontId="41" fillId="0" borderId="0"/>
    <xf numFmtId="0" fontId="3" fillId="0" borderId="0"/>
    <xf numFmtId="0" fontId="37" fillId="0" borderId="0"/>
    <xf numFmtId="0" fontId="90" fillId="0" borderId="0"/>
    <xf numFmtId="0" fontId="69" fillId="0" borderId="0"/>
    <xf numFmtId="0" fontId="3" fillId="0" borderId="0"/>
    <xf numFmtId="0" fontId="5" fillId="0" borderId="0"/>
    <xf numFmtId="0" fontId="5" fillId="0" borderId="0"/>
    <xf numFmtId="0" fontId="5" fillId="0" borderId="0"/>
    <xf numFmtId="0" fontId="5" fillId="0" borderId="0"/>
    <xf numFmtId="0" fontId="69" fillId="0" borderId="0" applyProtection="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69" fillId="0" borderId="0"/>
    <xf numFmtId="0" fontId="69" fillId="0" borderId="0"/>
    <xf numFmtId="0" fontId="3" fillId="0" borderId="0"/>
    <xf numFmtId="0" fontId="3" fillId="0" borderId="0"/>
    <xf numFmtId="0" fontId="41" fillId="0" borderId="0"/>
    <xf numFmtId="0" fontId="197" fillId="0" borderId="0"/>
    <xf numFmtId="0" fontId="3" fillId="0" borderId="0"/>
    <xf numFmtId="0" fontId="3" fillId="0" borderId="0"/>
    <xf numFmtId="0" fontId="37" fillId="0" borderId="0"/>
    <xf numFmtId="0" fontId="41" fillId="0" borderId="0"/>
    <xf numFmtId="0" fontId="37" fillId="0" borderId="0"/>
    <xf numFmtId="0" fontId="41" fillId="0" borderId="0"/>
    <xf numFmtId="0" fontId="37" fillId="0" borderId="0"/>
    <xf numFmtId="0" fontId="71" fillId="0" borderId="0"/>
    <xf numFmtId="0" fontId="37" fillId="0" borderId="0"/>
    <xf numFmtId="0" fontId="41" fillId="0" borderId="0"/>
    <xf numFmtId="0" fontId="41" fillId="0" borderId="0"/>
    <xf numFmtId="0" fontId="41" fillId="0" borderId="0"/>
    <xf numFmtId="0" fontId="41" fillId="0" borderId="0"/>
    <xf numFmtId="0" fontId="37" fillId="0" borderId="0"/>
    <xf numFmtId="0" fontId="37" fillId="0" borderId="0"/>
    <xf numFmtId="0" fontId="37" fillId="0" borderId="0"/>
    <xf numFmtId="0" fontId="37"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1" fillId="0" borderId="0"/>
    <xf numFmtId="0" fontId="41" fillId="0" borderId="0"/>
    <xf numFmtId="0" fontId="3" fillId="0" borderId="0"/>
    <xf numFmtId="0" fontId="3" fillId="0" borderId="0"/>
    <xf numFmtId="0" fontId="3" fillId="0" borderId="0"/>
    <xf numFmtId="0" fontId="3" fillId="0" borderId="0"/>
    <xf numFmtId="0" fontId="3" fillId="0" borderId="0"/>
    <xf numFmtId="0" fontId="3" fillId="0" borderId="0"/>
    <xf numFmtId="0" fontId="41" fillId="0" borderId="0"/>
    <xf numFmtId="0" fontId="37" fillId="0" borderId="0"/>
    <xf numFmtId="0" fontId="37" fillId="0" borderId="0"/>
    <xf numFmtId="0" fontId="41" fillId="0" borderId="0"/>
    <xf numFmtId="0" fontId="197" fillId="0" borderId="0"/>
    <xf numFmtId="0" fontId="197" fillId="0" borderId="0"/>
    <xf numFmtId="0" fontId="197" fillId="0" borderId="0"/>
    <xf numFmtId="0" fontId="195" fillId="0" borderId="0"/>
    <xf numFmtId="0" fontId="69" fillId="0" borderId="0" applyProtection="0"/>
    <xf numFmtId="0" fontId="5" fillId="0" borderId="0"/>
    <xf numFmtId="0" fontId="31" fillId="0" borderId="0"/>
    <xf numFmtId="0" fontId="41" fillId="0" borderId="0"/>
    <xf numFmtId="0" fontId="41" fillId="0" borderId="0"/>
    <xf numFmtId="0" fontId="198" fillId="0" borderId="0"/>
    <xf numFmtId="0" fontId="41" fillId="0" borderId="0"/>
    <xf numFmtId="0" fontId="41" fillId="0" borderId="0"/>
    <xf numFmtId="0" fontId="47" fillId="0" borderId="0"/>
    <xf numFmtId="0" fontId="37" fillId="0" borderId="0"/>
    <xf numFmtId="0" fontId="41" fillId="0" borderId="0"/>
    <xf numFmtId="0" fontId="37" fillId="0" borderId="0"/>
    <xf numFmtId="0" fontId="136" fillId="0" borderId="0"/>
    <xf numFmtId="0" fontId="37" fillId="0" borderId="0"/>
    <xf numFmtId="0" fontId="136" fillId="0" borderId="0"/>
    <xf numFmtId="0" fontId="37" fillId="0" borderId="0"/>
    <xf numFmtId="0" fontId="136" fillId="0" borderId="0"/>
    <xf numFmtId="0" fontId="37" fillId="0" borderId="0"/>
    <xf numFmtId="0" fontId="136" fillId="0" borderId="0"/>
    <xf numFmtId="0" fontId="37" fillId="0" borderId="0"/>
    <xf numFmtId="0" fontId="71" fillId="0" borderId="0"/>
    <xf numFmtId="0" fontId="41" fillId="0" borderId="0"/>
    <xf numFmtId="0" fontId="197" fillId="0" borderId="0"/>
    <xf numFmtId="0" fontId="3" fillId="0" borderId="0"/>
    <xf numFmtId="0" fontId="197" fillId="0" borderId="0"/>
    <xf numFmtId="0" fontId="3" fillId="0" borderId="0"/>
    <xf numFmtId="0" fontId="69" fillId="0" borderId="0"/>
    <xf numFmtId="0" fontId="69" fillId="0" borderId="0" applyProtection="0"/>
    <xf numFmtId="0" fontId="69" fillId="0" borderId="0"/>
    <xf numFmtId="0" fontId="69" fillId="0" borderId="0" applyProtection="0"/>
    <xf numFmtId="0" fontId="3" fillId="0" borderId="0"/>
    <xf numFmtId="0" fontId="69" fillId="0" borderId="0" applyProtection="0"/>
    <xf numFmtId="0" fontId="90" fillId="0" borderId="0"/>
    <xf numFmtId="0" fontId="3" fillId="0" borderId="0"/>
    <xf numFmtId="0" fontId="69" fillId="0" borderId="0" applyProtection="0"/>
    <xf numFmtId="0" fontId="69" fillId="0" borderId="0"/>
    <xf numFmtId="0" fontId="90" fillId="0" borderId="0"/>
    <xf numFmtId="0" fontId="69" fillId="0" borderId="0" applyProtection="0"/>
    <xf numFmtId="0" fontId="90" fillId="0" borderId="0"/>
    <xf numFmtId="0" fontId="69" fillId="0" borderId="0" applyProtection="0"/>
    <xf numFmtId="0" fontId="41" fillId="0" borderId="0"/>
    <xf numFmtId="0" fontId="69" fillId="0" borderId="0" applyProtection="0"/>
    <xf numFmtId="0" fontId="3" fillId="0" borderId="0"/>
    <xf numFmtId="0" fontId="199" fillId="0" borderId="0"/>
    <xf numFmtId="0" fontId="41" fillId="0" borderId="0"/>
    <xf numFmtId="0" fontId="3" fillId="0" borderId="0"/>
    <xf numFmtId="0" fontId="194" fillId="0" borderId="0"/>
    <xf numFmtId="0" fontId="3" fillId="0" borderId="0"/>
    <xf numFmtId="0" fontId="3" fillId="0" borderId="0"/>
    <xf numFmtId="0" fontId="3" fillId="0" borderId="0"/>
    <xf numFmtId="0" fontId="3" fillId="0" borderId="0"/>
    <xf numFmtId="0" fontId="3" fillId="0" borderId="0"/>
    <xf numFmtId="0" fontId="41" fillId="0" borderId="0"/>
    <xf numFmtId="0" fontId="3" fillId="0" borderId="0"/>
    <xf numFmtId="0" fontId="5" fillId="0" borderId="0"/>
    <xf numFmtId="0" fontId="197" fillId="0" borderId="0"/>
    <xf numFmtId="0" fontId="3" fillId="0" borderId="0"/>
    <xf numFmtId="0" fontId="109" fillId="0" borderId="0"/>
    <xf numFmtId="0" fontId="109" fillId="0" borderId="0" applyProtection="0"/>
    <xf numFmtId="0" fontId="41" fillId="0" borderId="0" applyProtection="0"/>
    <xf numFmtId="0" fontId="5" fillId="0" borderId="0"/>
    <xf numFmtId="0" fontId="5" fillId="0" borderId="0"/>
    <xf numFmtId="0" fontId="5" fillId="0" borderId="0"/>
    <xf numFmtId="0" fontId="5" fillId="0" borderId="0"/>
    <xf numFmtId="0" fontId="5" fillId="0" borderId="0"/>
    <xf numFmtId="0" fontId="104" fillId="0" borderId="0"/>
    <xf numFmtId="0" fontId="3" fillId="0" borderId="0"/>
    <xf numFmtId="0" fontId="109" fillId="0" borderId="0" applyProtection="0"/>
    <xf numFmtId="0" fontId="3" fillId="0" borderId="0"/>
    <xf numFmtId="0" fontId="3" fillId="0" borderId="0"/>
    <xf numFmtId="0" fontId="3" fillId="0" borderId="0"/>
    <xf numFmtId="0" fontId="3" fillId="0" borderId="0"/>
    <xf numFmtId="0" fontId="3" fillId="0" borderId="0"/>
    <xf numFmtId="0" fontId="3" fillId="0" borderId="0"/>
    <xf numFmtId="0" fontId="7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9" fillId="0" borderId="0"/>
    <xf numFmtId="0" fontId="5" fillId="0" borderId="0"/>
    <xf numFmtId="0" fontId="5" fillId="0" borderId="0"/>
    <xf numFmtId="0" fontId="69" fillId="0" borderId="0"/>
    <xf numFmtId="0" fontId="200" fillId="0" borderId="0"/>
    <xf numFmtId="0" fontId="69" fillId="0" borderId="0"/>
    <xf numFmtId="0" fontId="69" fillId="0" borderId="0"/>
    <xf numFmtId="0" fontId="69" fillId="0" borderId="0"/>
    <xf numFmtId="0" fontId="2" fillId="0" borderId="0"/>
    <xf numFmtId="0" fontId="2" fillId="0" borderId="0"/>
    <xf numFmtId="0" fontId="41" fillId="0" borderId="0" applyProtection="0"/>
    <xf numFmtId="0" fontId="2" fillId="0" borderId="0"/>
    <xf numFmtId="0" fontId="2" fillId="0" borderId="0"/>
    <xf numFmtId="0" fontId="2" fillId="0" borderId="0"/>
    <xf numFmtId="0" fontId="2" fillId="0" borderId="0"/>
    <xf numFmtId="0" fontId="69" fillId="0" borderId="0"/>
    <xf numFmtId="0" fontId="2" fillId="0" borderId="0"/>
    <xf numFmtId="0" fontId="2" fillId="0" borderId="0"/>
    <xf numFmtId="0" fontId="69" fillId="0" borderId="0"/>
    <xf numFmtId="0" fontId="5" fillId="0" borderId="0"/>
    <xf numFmtId="0" fontId="5" fillId="0" borderId="0"/>
    <xf numFmtId="0" fontId="5" fillId="0" borderId="0"/>
    <xf numFmtId="0" fontId="5" fillId="0" borderId="0"/>
    <xf numFmtId="0" fontId="37" fillId="0" borderId="0"/>
    <xf numFmtId="0" fontId="75" fillId="0" borderId="0"/>
    <xf numFmtId="0" fontId="37" fillId="0" borderId="0"/>
    <xf numFmtId="0" fontId="37" fillId="0" borderId="0"/>
    <xf numFmtId="0" fontId="37" fillId="0" borderId="0"/>
    <xf numFmtId="0" fontId="37" fillId="0" borderId="0"/>
    <xf numFmtId="0" fontId="37" fillId="0" borderId="0"/>
    <xf numFmtId="0" fontId="4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69"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131" fillId="0" borderId="0"/>
    <xf numFmtId="0" fontId="3" fillId="0" borderId="0"/>
    <xf numFmtId="0" fontId="69" fillId="0" borderId="0"/>
    <xf numFmtId="0" fontId="3" fillId="0" borderId="0"/>
    <xf numFmtId="0" fontId="3" fillId="0" borderId="0" applyProtection="0"/>
    <xf numFmtId="0" fontId="69" fillId="0" borderId="0"/>
    <xf numFmtId="0" fontId="69" fillId="0" borderId="0"/>
    <xf numFmtId="0" fontId="5" fillId="0" borderId="0"/>
    <xf numFmtId="0" fontId="5" fillId="0" borderId="0"/>
    <xf numFmtId="0" fontId="6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47" fillId="0" borderId="0"/>
    <xf numFmtId="0" fontId="41" fillId="0" borderId="0"/>
    <xf numFmtId="0" fontId="31" fillId="0" borderId="0"/>
    <xf numFmtId="0" fontId="31" fillId="0" borderId="0"/>
    <xf numFmtId="0" fontId="47" fillId="0" borderId="0"/>
    <xf numFmtId="0" fontId="41" fillId="0" borderId="0"/>
    <xf numFmtId="0" fontId="41" fillId="0" borderId="0"/>
    <xf numFmtId="0" fontId="3" fillId="0" borderId="0"/>
    <xf numFmtId="0" fontId="3" fillId="0" borderId="0"/>
    <xf numFmtId="0" fontId="41" fillId="0" borderId="0"/>
    <xf numFmtId="0" fontId="41"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47" fillId="0" borderId="0"/>
    <xf numFmtId="0" fontId="92" fillId="0" borderId="0" applyFont="0"/>
    <xf numFmtId="0" fontId="145" fillId="0" borderId="0"/>
    <xf numFmtId="0" fontId="41" fillId="29" borderId="35" applyNumberFormat="0" applyFont="0" applyAlignment="0" applyProtection="0"/>
    <xf numFmtId="0" fontId="41" fillId="29" borderId="35" applyNumberFormat="0" applyFont="0" applyAlignment="0" applyProtection="0"/>
    <xf numFmtId="0" fontId="41" fillId="29" borderId="35" applyNumberFormat="0" applyFont="0" applyAlignment="0" applyProtection="0"/>
    <xf numFmtId="0" fontId="41" fillId="29" borderId="35" applyNumberFormat="0" applyFont="0" applyAlignment="0" applyProtection="0"/>
    <xf numFmtId="0" fontId="41" fillId="29" borderId="35" applyNumberFormat="0" applyFont="0" applyAlignment="0" applyProtection="0"/>
    <xf numFmtId="0" fontId="41" fillId="29" borderId="35" applyNumberFormat="0" applyFont="0" applyAlignment="0" applyProtection="0"/>
    <xf numFmtId="0" fontId="104" fillId="30" borderId="35" applyNumberFormat="0" applyFont="0" applyAlignment="0" applyProtection="0"/>
    <xf numFmtId="289" fontId="201" fillId="0" borderId="0" applyFont="0" applyFill="0" applyBorder="0" applyProtection="0">
      <alignment vertical="top" wrapText="1"/>
    </xf>
    <xf numFmtId="0" fontId="71" fillId="0" borderId="16" applyNumberFormat="0" applyAlignment="0">
      <alignment horizontal="center"/>
    </xf>
    <xf numFmtId="0" fontId="71" fillId="0" borderId="0"/>
    <xf numFmtId="0" fontId="71" fillId="0" borderId="0"/>
    <xf numFmtId="0" fontId="71" fillId="0" borderId="0" applyProtection="0"/>
    <xf numFmtId="0" fontId="71" fillId="0" borderId="0" applyProtection="0"/>
    <xf numFmtId="3" fontId="202" fillId="0" borderId="0" applyFont="0" applyFill="0" applyBorder="0" applyAlignment="0" applyProtection="0"/>
    <xf numFmtId="167" fontId="91" fillId="0" borderId="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19" fillId="0" borderId="0" applyNumberFormat="0" applyFill="0" applyBorder="0" applyAlignment="0" applyProtection="0"/>
    <xf numFmtId="0" fontId="47" fillId="0" borderId="0" applyNumberFormat="0" applyFill="0" applyBorder="0" applyAlignment="0" applyProtection="0"/>
    <xf numFmtId="0" fontId="128" fillId="0" borderId="0" applyNumberFormat="0" applyFill="0" applyBorder="0" applyAlignment="0" applyProtection="0"/>
    <xf numFmtId="0" fontId="203" fillId="0" borderId="0" applyNumberFormat="0" applyFill="0" applyBorder="0" applyAlignment="0" applyProtection="0"/>
    <xf numFmtId="0" fontId="119" fillId="0" borderId="0" applyNumberFormat="0" applyFill="0" applyBorder="0" applyAlignment="0" applyProtection="0"/>
    <xf numFmtId="0" fontId="47" fillId="0" borderId="0" applyNumberFormat="0" applyFill="0" applyBorder="0" applyAlignment="0" applyProtection="0"/>
    <xf numFmtId="0" fontId="128" fillId="0" borderId="0" applyProtection="0"/>
    <xf numFmtId="0" fontId="3" fillId="0" borderId="0" applyFont="0" applyFill="0" applyBorder="0" applyAlignment="0" applyProtection="0"/>
    <xf numFmtId="0" fontId="31" fillId="0" borderId="0"/>
    <xf numFmtId="0" fontId="204" fillId="23" borderId="36" applyNumberFormat="0" applyAlignment="0" applyProtection="0"/>
    <xf numFmtId="179" fontId="205" fillId="0" borderId="16" applyFont="0" applyBorder="0" applyAlignment="0"/>
    <xf numFmtId="0" fontId="206" fillId="2" borderId="0"/>
    <xf numFmtId="0" fontId="136" fillId="2" borderId="0"/>
    <xf numFmtId="0" fontId="136" fillId="2" borderId="0"/>
    <xf numFmtId="173" fontId="104"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277" fontId="3" fillId="0" borderId="0" applyFont="0" applyFill="0" applyBorder="0" applyAlignment="0" applyProtection="0"/>
    <xf numFmtId="14" fontId="113" fillId="0" borderId="0">
      <alignment horizontal="center" wrapText="1"/>
      <protection locked="0"/>
    </xf>
    <xf numFmtId="14" fontId="39" fillId="0" borderId="0">
      <alignment horizontal="center" wrapText="1"/>
      <protection locked="0"/>
    </xf>
    <xf numFmtId="290" fontId="128" fillId="0" borderId="0" applyFont="0" applyFill="0" applyBorder="0" applyAlignment="0" applyProtection="0"/>
    <xf numFmtId="291" fontId="132" fillId="0" borderId="0" applyFont="0" applyFill="0" applyBorder="0" applyAlignment="0" applyProtection="0"/>
    <xf numFmtId="292" fontId="133" fillId="0" borderId="0" applyFont="0" applyFill="0" applyBorder="0" applyAlignment="0" applyProtection="0"/>
    <xf numFmtId="293" fontId="3" fillId="0" borderId="0" applyFont="0" applyFill="0" applyBorder="0" applyAlignment="0" applyProtection="0"/>
    <xf numFmtId="293" fontId="3" fillId="0" borderId="0" applyFont="0" applyFill="0" applyBorder="0" applyAlignment="0" applyProtection="0"/>
    <xf numFmtId="293" fontId="3" fillId="0" borderId="0" applyFont="0" applyFill="0" applyBorder="0" applyAlignment="0" applyProtection="0"/>
    <xf numFmtId="293" fontId="3" fillId="0" borderId="0" applyFont="0" applyFill="0" applyBorder="0" applyAlignment="0" applyProtection="0"/>
    <xf numFmtId="293" fontId="3" fillId="0" borderId="0" applyFont="0" applyFill="0" applyBorder="0" applyAlignment="0" applyProtection="0"/>
    <xf numFmtId="293" fontId="3" fillId="0" borderId="0" applyFont="0" applyFill="0" applyBorder="0" applyAlignment="0" applyProtection="0"/>
    <xf numFmtId="293" fontId="3" fillId="0" borderId="0" applyFont="0" applyFill="0" applyBorder="0" applyAlignment="0" applyProtection="0"/>
    <xf numFmtId="293" fontId="3" fillId="0" borderId="0" applyFont="0" applyFill="0" applyBorder="0" applyAlignment="0" applyProtection="0"/>
    <xf numFmtId="293" fontId="3" fillId="0" borderId="0" applyFont="0" applyFill="0" applyBorder="0" applyAlignment="0" applyProtection="0"/>
    <xf numFmtId="293" fontId="3" fillId="0" borderId="0" applyFont="0" applyFill="0" applyBorder="0" applyAlignment="0" applyProtection="0"/>
    <xf numFmtId="293" fontId="3" fillId="0" borderId="0" applyFont="0" applyFill="0" applyBorder="0" applyAlignment="0" applyProtection="0"/>
    <xf numFmtId="293" fontId="3" fillId="0" borderId="0" applyFont="0" applyFill="0" applyBorder="0" applyAlignment="0" applyProtection="0"/>
    <xf numFmtId="293" fontId="3" fillId="0" borderId="0" applyFont="0" applyFill="0" applyBorder="0" applyAlignment="0" applyProtection="0"/>
    <xf numFmtId="293" fontId="3" fillId="0" borderId="0" applyFont="0" applyFill="0" applyBorder="0" applyAlignment="0" applyProtection="0"/>
    <xf numFmtId="293" fontId="3" fillId="0" borderId="0" applyFont="0" applyFill="0" applyBorder="0" applyAlignment="0" applyProtection="0"/>
    <xf numFmtId="220" fontId="104"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94" fontId="104" fillId="0" borderId="0" applyFont="0" applyFill="0" applyBorder="0" applyAlignment="0" applyProtection="0"/>
    <xf numFmtId="295" fontId="3" fillId="0" borderId="0" applyFont="0" applyFill="0" applyBorder="0" applyAlignment="0" applyProtection="0"/>
    <xf numFmtId="295" fontId="3" fillId="0" borderId="0" applyFont="0" applyFill="0" applyBorder="0" applyAlignment="0" applyProtection="0"/>
    <xf numFmtId="295" fontId="3" fillId="0" borderId="0" applyFont="0" applyFill="0" applyBorder="0" applyAlignment="0" applyProtection="0"/>
    <xf numFmtId="295" fontId="3" fillId="0" borderId="0" applyFont="0" applyFill="0" applyBorder="0" applyAlignment="0" applyProtection="0"/>
    <xf numFmtId="295" fontId="3" fillId="0" borderId="0" applyFont="0" applyFill="0" applyBorder="0" applyAlignment="0" applyProtection="0"/>
    <xf numFmtId="295" fontId="3" fillId="0" borderId="0" applyFont="0" applyFill="0" applyBorder="0" applyAlignment="0" applyProtection="0"/>
    <xf numFmtId="295" fontId="3" fillId="0" borderId="0" applyFont="0" applyFill="0" applyBorder="0" applyAlignment="0" applyProtection="0"/>
    <xf numFmtId="295" fontId="3" fillId="0" borderId="0" applyFont="0" applyFill="0" applyBorder="0" applyAlignment="0" applyProtection="0"/>
    <xf numFmtId="295" fontId="3" fillId="0" borderId="0" applyFont="0" applyFill="0" applyBorder="0" applyAlignment="0" applyProtection="0"/>
    <xf numFmtId="295" fontId="3" fillId="0" borderId="0" applyFont="0" applyFill="0" applyBorder="0" applyAlignment="0" applyProtection="0"/>
    <xf numFmtId="295" fontId="3" fillId="0" borderId="0" applyFont="0" applyFill="0" applyBorder="0" applyAlignment="0" applyProtection="0"/>
    <xf numFmtId="295" fontId="3" fillId="0" borderId="0" applyFont="0" applyFill="0" applyBorder="0" applyAlignment="0" applyProtection="0"/>
    <xf numFmtId="295" fontId="3" fillId="0" borderId="0" applyFont="0" applyFill="0" applyBorder="0" applyAlignment="0" applyProtection="0"/>
    <xf numFmtId="295" fontId="3" fillId="0" borderId="0" applyFont="0" applyFill="0" applyBorder="0" applyAlignment="0" applyProtection="0"/>
    <xf numFmtId="295"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69" fillId="0" borderId="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296" fontId="133" fillId="0" borderId="0" applyFont="0" applyFill="0" applyBorder="0" applyAlignment="0" applyProtection="0"/>
    <xf numFmtId="297" fontId="132" fillId="0" borderId="0" applyFont="0" applyFill="0" applyBorder="0" applyAlignment="0" applyProtection="0"/>
    <xf numFmtId="298" fontId="133" fillId="0" borderId="0" applyFont="0" applyFill="0" applyBorder="0" applyAlignment="0" applyProtection="0"/>
    <xf numFmtId="299" fontId="132" fillId="0" borderId="0" applyFont="0" applyFill="0" applyBorder="0" applyAlignment="0" applyProtection="0"/>
    <xf numFmtId="300" fontId="133" fillId="0" borderId="0" applyFont="0" applyFill="0" applyBorder="0" applyAlignment="0" applyProtection="0"/>
    <xf numFmtId="301" fontId="132"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31" fillId="0" borderId="0" applyFont="0" applyFill="0" applyBorder="0" applyAlignment="0" applyProtection="0"/>
    <xf numFmtId="9" fontId="4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 fillId="0" borderId="0" applyFont="0" applyFill="0" applyBorder="0" applyAlignment="0" applyProtection="0"/>
    <xf numFmtId="9" fontId="41" fillId="0" borderId="0" applyFont="0" applyFill="0" applyBorder="0" applyAlignment="0" applyProtection="0"/>
    <xf numFmtId="9" fontId="69"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86" fillId="0" borderId="37" applyNumberFormat="0" applyBorder="0"/>
    <xf numFmtId="9" fontId="86" fillId="0" borderId="37" applyNumberFormat="0" applyBorder="0"/>
    <xf numFmtId="0" fontId="104"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14" fontId="124"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22" fontId="124"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4" fontId="124"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14" fontId="124"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215" fontId="3" fillId="0" borderId="0" applyFill="0" applyBorder="0" applyAlignment="0"/>
    <xf numFmtId="0" fontId="207" fillId="0" borderId="0"/>
    <xf numFmtId="0" fontId="208" fillId="0" borderId="0"/>
    <xf numFmtId="0" fontId="86" fillId="0" borderId="0" applyNumberFormat="0" applyFont="0" applyFill="0" applyBorder="0" applyAlignment="0" applyProtection="0">
      <alignment horizontal="left"/>
    </xf>
    <xf numFmtId="0" fontId="209" fillId="0" borderId="28">
      <alignment horizontal="center"/>
    </xf>
    <xf numFmtId="1" fontId="104" fillId="0" borderId="8" applyNumberFormat="0" applyFill="0" applyAlignment="0" applyProtection="0">
      <alignment horizontal="center" vertical="center"/>
    </xf>
    <xf numFmtId="0" fontId="210" fillId="31" borderId="0" applyNumberFormat="0" applyFont="0" applyBorder="0" applyAlignment="0">
      <alignment horizontal="center"/>
    </xf>
    <xf numFmtId="0" fontId="210" fillId="31" borderId="0" applyNumberFormat="0" applyFont="0" applyBorder="0" applyAlignment="0">
      <alignment horizontal="center"/>
    </xf>
    <xf numFmtId="14" fontId="211" fillId="0" borderId="0" applyNumberFormat="0" applyFill="0" applyBorder="0" applyAlignment="0" applyProtection="0">
      <alignment horizontal="left"/>
    </xf>
    <xf numFmtId="0" fontId="179" fillId="0" borderId="0"/>
    <xf numFmtId="0" fontId="71" fillId="0" borderId="0"/>
    <xf numFmtId="173" fontId="72" fillId="0" borderId="0" applyFont="0" applyFill="0" applyBorder="0" applyAlignment="0" applyProtection="0"/>
    <xf numFmtId="204" fontId="72"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Protection="0"/>
    <xf numFmtId="201" fontId="72" fillId="0" borderId="0" applyFont="0" applyFill="0" applyBorder="0" applyAlignment="0" applyProtection="0"/>
    <xf numFmtId="173" fontId="69" fillId="0" borderId="0" applyProtection="0"/>
    <xf numFmtId="4" fontId="212" fillId="32" borderId="38" applyNumberFormat="0" applyProtection="0">
      <alignment vertical="center"/>
    </xf>
    <xf numFmtId="4" fontId="213" fillId="32" borderId="38" applyNumberFormat="0" applyProtection="0">
      <alignment vertical="center"/>
    </xf>
    <xf numFmtId="4" fontId="214" fillId="32" borderId="38" applyNumberFormat="0" applyProtection="0">
      <alignment vertical="center"/>
    </xf>
    <xf numFmtId="4" fontId="215" fillId="32" borderId="38" applyNumberFormat="0" applyProtection="0">
      <alignment vertical="center"/>
    </xf>
    <xf numFmtId="4" fontId="216" fillId="32" borderId="38" applyNumberFormat="0" applyProtection="0">
      <alignment horizontal="left" vertical="center" indent="1"/>
    </xf>
    <xf numFmtId="4" fontId="217" fillId="32" borderId="38" applyNumberFormat="0" applyProtection="0">
      <alignment horizontal="left" vertical="center" indent="1"/>
    </xf>
    <xf numFmtId="4" fontId="216" fillId="33" borderId="0" applyNumberFormat="0" applyProtection="0">
      <alignment horizontal="left" vertical="center" indent="1"/>
    </xf>
    <xf numFmtId="4" fontId="217" fillId="33" borderId="0" applyNumberFormat="0" applyProtection="0">
      <alignment horizontal="left" vertical="center" indent="1"/>
    </xf>
    <xf numFmtId="4" fontId="216" fillId="34" borderId="38" applyNumberFormat="0" applyProtection="0">
      <alignment horizontal="right" vertical="center"/>
    </xf>
    <xf numFmtId="4" fontId="217" fillId="34" borderId="38" applyNumberFormat="0" applyProtection="0">
      <alignment horizontal="right" vertical="center"/>
    </xf>
    <xf numFmtId="4" fontId="216" fillId="35" borderId="38" applyNumberFormat="0" applyProtection="0">
      <alignment horizontal="right" vertical="center"/>
    </xf>
    <xf numFmtId="4" fontId="217" fillId="35" borderId="38" applyNumberFormat="0" applyProtection="0">
      <alignment horizontal="right" vertical="center"/>
    </xf>
    <xf numFmtId="4" fontId="216" fillId="36" borderId="38" applyNumberFormat="0" applyProtection="0">
      <alignment horizontal="right" vertical="center"/>
    </xf>
    <xf numFmtId="4" fontId="217" fillId="36" borderId="38" applyNumberFormat="0" applyProtection="0">
      <alignment horizontal="right" vertical="center"/>
    </xf>
    <xf numFmtId="4" fontId="216" fillId="37" borderId="38" applyNumberFormat="0" applyProtection="0">
      <alignment horizontal="right" vertical="center"/>
    </xf>
    <xf numFmtId="4" fontId="217" fillId="37" borderId="38" applyNumberFormat="0" applyProtection="0">
      <alignment horizontal="right" vertical="center"/>
    </xf>
    <xf numFmtId="4" fontId="216" fillId="38" borderId="38" applyNumberFormat="0" applyProtection="0">
      <alignment horizontal="right" vertical="center"/>
    </xf>
    <xf numFmtId="4" fontId="217" fillId="38" borderId="38" applyNumberFormat="0" applyProtection="0">
      <alignment horizontal="right" vertical="center"/>
    </xf>
    <xf numFmtId="4" fontId="216" fillId="39" borderId="38" applyNumberFormat="0" applyProtection="0">
      <alignment horizontal="right" vertical="center"/>
    </xf>
    <xf numFmtId="4" fontId="217" fillId="39" borderId="38" applyNumberFormat="0" applyProtection="0">
      <alignment horizontal="right" vertical="center"/>
    </xf>
    <xf numFmtId="4" fontId="216" fillId="40" borderId="38" applyNumberFormat="0" applyProtection="0">
      <alignment horizontal="right" vertical="center"/>
    </xf>
    <xf numFmtId="4" fontId="217" fillId="40" borderId="38" applyNumberFormat="0" applyProtection="0">
      <alignment horizontal="right" vertical="center"/>
    </xf>
    <xf numFmtId="4" fontId="216" fillId="41" borderId="38" applyNumberFormat="0" applyProtection="0">
      <alignment horizontal="right" vertical="center"/>
    </xf>
    <xf numFmtId="4" fontId="217" fillId="41" borderId="38" applyNumberFormat="0" applyProtection="0">
      <alignment horizontal="right" vertical="center"/>
    </xf>
    <xf numFmtId="4" fontId="216" fillId="42" borderId="38" applyNumberFormat="0" applyProtection="0">
      <alignment horizontal="right" vertical="center"/>
    </xf>
    <xf numFmtId="4" fontId="217" fillId="42" borderId="38" applyNumberFormat="0" applyProtection="0">
      <alignment horizontal="right" vertical="center"/>
    </xf>
    <xf numFmtId="4" fontId="212" fillId="43" borderId="39" applyNumberFormat="0" applyProtection="0">
      <alignment horizontal="left" vertical="center" indent="1"/>
    </xf>
    <xf numFmtId="4" fontId="213" fillId="43" borderId="39" applyNumberFormat="0" applyProtection="0">
      <alignment horizontal="left" vertical="center" indent="1"/>
    </xf>
    <xf numFmtId="4" fontId="212" fillId="44" borderId="0" applyNumberFormat="0" applyProtection="0">
      <alignment horizontal="left" vertical="center" indent="1"/>
    </xf>
    <xf numFmtId="4" fontId="213" fillId="44" borderId="0" applyNumberFormat="0" applyProtection="0">
      <alignment horizontal="left" vertical="center" indent="1"/>
    </xf>
    <xf numFmtId="4" fontId="212" fillId="33" borderId="0" applyNumberFormat="0" applyProtection="0">
      <alignment horizontal="left" vertical="center" indent="1"/>
    </xf>
    <xf numFmtId="4" fontId="213" fillId="33" borderId="0" applyNumberFormat="0" applyProtection="0">
      <alignment horizontal="left" vertical="center" indent="1"/>
    </xf>
    <xf numFmtId="4" fontId="216" fillId="44" borderId="38" applyNumberFormat="0" applyProtection="0">
      <alignment horizontal="right" vertical="center"/>
    </xf>
    <xf numFmtId="4" fontId="217" fillId="44" borderId="38" applyNumberFormat="0" applyProtection="0">
      <alignment horizontal="right" vertical="center"/>
    </xf>
    <xf numFmtId="4" fontId="85" fillId="44" borderId="0" applyNumberFormat="0" applyProtection="0">
      <alignment horizontal="left" vertical="center" indent="1"/>
    </xf>
    <xf numFmtId="4" fontId="84" fillId="44" borderId="0" applyNumberFormat="0" applyProtection="0">
      <alignment horizontal="left" vertical="center" indent="1"/>
    </xf>
    <xf numFmtId="4" fontId="85" fillId="33" borderId="0" applyNumberFormat="0" applyProtection="0">
      <alignment horizontal="left" vertical="center" indent="1"/>
    </xf>
    <xf numFmtId="4" fontId="84" fillId="33" borderId="0" applyNumberFormat="0" applyProtection="0">
      <alignment horizontal="left" vertical="center" indent="1"/>
    </xf>
    <xf numFmtId="4" fontId="216" fillId="45" borderId="38" applyNumberFormat="0" applyProtection="0">
      <alignment vertical="center"/>
    </xf>
    <xf numFmtId="4" fontId="217" fillId="45" borderId="38" applyNumberFormat="0" applyProtection="0">
      <alignment vertical="center"/>
    </xf>
    <xf numFmtId="4" fontId="218" fillId="45" borderId="38" applyNumberFormat="0" applyProtection="0">
      <alignment vertical="center"/>
    </xf>
    <xf numFmtId="4" fontId="219" fillId="45" borderId="38" applyNumberFormat="0" applyProtection="0">
      <alignment vertical="center"/>
    </xf>
    <xf numFmtId="4" fontId="212" fillId="44" borderId="40" applyNumberFormat="0" applyProtection="0">
      <alignment horizontal="left" vertical="center" indent="1"/>
    </xf>
    <xf numFmtId="4" fontId="213" fillId="44" borderId="40" applyNumberFormat="0" applyProtection="0">
      <alignment horizontal="left" vertical="center" indent="1"/>
    </xf>
    <xf numFmtId="4" fontId="216" fillId="45" borderId="38" applyNumberFormat="0" applyProtection="0">
      <alignment horizontal="right" vertical="center"/>
    </xf>
    <xf numFmtId="4" fontId="217" fillId="45" borderId="38" applyNumberFormat="0" applyProtection="0">
      <alignment horizontal="right" vertical="center"/>
    </xf>
    <xf numFmtId="4" fontId="218" fillId="45" borderId="38" applyNumberFormat="0" applyProtection="0">
      <alignment horizontal="right" vertical="center"/>
    </xf>
    <xf numFmtId="4" fontId="219" fillId="45" borderId="38" applyNumberFormat="0" applyProtection="0">
      <alignment horizontal="right" vertical="center"/>
    </xf>
    <xf numFmtId="4" fontId="212" fillId="44" borderId="38" applyNumberFormat="0" applyProtection="0">
      <alignment horizontal="left" vertical="center" indent="1"/>
    </xf>
    <xf numFmtId="4" fontId="213" fillId="44" borderId="38" applyNumberFormat="0" applyProtection="0">
      <alignment horizontal="left" vertical="center" indent="1"/>
    </xf>
    <xf numFmtId="4" fontId="220" fillId="27" borderId="40" applyNumberFormat="0" applyProtection="0">
      <alignment horizontal="left" vertical="center" indent="1"/>
    </xf>
    <xf numFmtId="4" fontId="221" fillId="27" borderId="40" applyNumberFormat="0" applyProtection="0">
      <alignment horizontal="left" vertical="center" indent="1"/>
    </xf>
    <xf numFmtId="4" fontId="222" fillId="45" borderId="38" applyNumberFormat="0" applyProtection="0">
      <alignment horizontal="right" vertical="center"/>
    </xf>
    <xf numFmtId="4" fontId="223" fillId="45" borderId="38" applyNumberFormat="0" applyProtection="0">
      <alignment horizontal="right" vertical="center"/>
    </xf>
    <xf numFmtId="302" fontId="224" fillId="0" borderId="0" applyFont="0" applyFill="0" applyBorder="0" applyAlignment="0" applyProtection="0"/>
    <xf numFmtId="0" fontId="210" fillId="1" borderId="4" applyNumberFormat="0" applyFont="0" applyAlignment="0">
      <alignment horizontal="center"/>
    </xf>
    <xf numFmtId="0" fontId="210" fillId="1" borderId="4" applyNumberFormat="0" applyFont="0" applyAlignment="0">
      <alignment horizontal="center"/>
    </xf>
    <xf numFmtId="3" fontId="65" fillId="0" borderId="0"/>
    <xf numFmtId="0" fontId="225" fillId="0" borderId="0" applyNumberFormat="0" applyFill="0" applyBorder="0" applyAlignment="0">
      <alignment horizontal="center"/>
    </xf>
    <xf numFmtId="0" fontId="104" fillId="0" borderId="0"/>
    <xf numFmtId="179" fontId="226" fillId="0" borderId="0" applyNumberFormat="0" applyBorder="0" applyAlignment="0">
      <alignment horizontal="centerContinuous"/>
    </xf>
    <xf numFmtId="0" fontId="83" fillId="0" borderId="0"/>
    <xf numFmtId="0" fontId="83" fillId="0" borderId="0"/>
    <xf numFmtId="0" fontId="71" fillId="0" borderId="0" applyNumberFormat="0" applyFill="0" applyBorder="0" applyAlignment="0" applyProtection="0"/>
    <xf numFmtId="179" fontId="93" fillId="0" borderId="0" applyFont="0" applyFill="0" applyBorder="0" applyAlignment="0" applyProtection="0"/>
    <xf numFmtId="203" fontId="72" fillId="0" borderId="0" applyFont="0" applyFill="0" applyBorder="0" applyAlignment="0" applyProtection="0"/>
    <xf numFmtId="167" fontId="72" fillId="0" borderId="0" applyFont="0" applyFill="0" applyBorder="0" applyAlignment="0" applyProtection="0"/>
    <xf numFmtId="202" fontId="72" fillId="0" borderId="0" applyFont="0" applyFill="0" applyBorder="0" applyAlignment="0" applyProtection="0"/>
    <xf numFmtId="173" fontId="72" fillId="0" borderId="0" applyFont="0" applyFill="0" applyBorder="0" applyAlignment="0" applyProtection="0"/>
    <xf numFmtId="204" fontId="72" fillId="0" borderId="0" applyFont="0" applyFill="0" applyBorder="0" applyAlignment="0" applyProtection="0"/>
    <xf numFmtId="205" fontId="72" fillId="0" borderId="0" applyFont="0" applyFill="0" applyBorder="0" applyAlignment="0" applyProtection="0"/>
    <xf numFmtId="202" fontId="72" fillId="0" borderId="0" applyFont="0" applyFill="0" applyBorder="0" applyAlignment="0" applyProtection="0"/>
    <xf numFmtId="202" fontId="72" fillId="0" borderId="0" applyFont="0" applyFill="0" applyBorder="0" applyAlignment="0" applyProtection="0"/>
    <xf numFmtId="188" fontId="72" fillId="0" borderId="0" applyFont="0" applyFill="0" applyBorder="0" applyAlignment="0" applyProtection="0"/>
    <xf numFmtId="173" fontId="72" fillId="0" borderId="0" applyFont="0" applyFill="0" applyBorder="0" applyAlignment="0" applyProtection="0"/>
    <xf numFmtId="173" fontId="72" fillId="0" borderId="0" applyFont="0" applyFill="0" applyBorder="0" applyAlignment="0" applyProtection="0"/>
    <xf numFmtId="167" fontId="47" fillId="0" borderId="0" applyFont="0" applyFill="0" applyBorder="0" applyAlignment="0" applyProtection="0"/>
    <xf numFmtId="188" fontId="72" fillId="0" borderId="0" applyFont="0" applyFill="0" applyBorder="0" applyAlignment="0" applyProtection="0"/>
    <xf numFmtId="186" fontId="72" fillId="0" borderId="0" applyFont="0" applyFill="0" applyBorder="0" applyAlignment="0" applyProtection="0"/>
    <xf numFmtId="186"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72" fontId="72" fillId="0" borderId="0" applyFont="0" applyFill="0" applyBorder="0" applyAlignment="0" applyProtection="0"/>
    <xf numFmtId="189" fontId="72" fillId="0" borderId="0" applyFont="0" applyFill="0" applyBorder="0" applyAlignment="0" applyProtection="0"/>
    <xf numFmtId="172" fontId="72" fillId="0" borderId="0" applyFont="0" applyFill="0" applyBorder="0" applyAlignment="0" applyProtection="0"/>
    <xf numFmtId="189" fontId="72" fillId="0" borderId="0" applyFont="0" applyFill="0" applyBorder="0" applyAlignment="0" applyProtection="0"/>
    <xf numFmtId="167" fontId="47" fillId="0" borderId="0" applyFont="0" applyFill="0" applyBorder="0" applyAlignment="0" applyProtection="0"/>
    <xf numFmtId="188" fontId="72" fillId="0" borderId="0" applyFont="0" applyFill="0" applyBorder="0" applyAlignment="0" applyProtection="0"/>
    <xf numFmtId="180" fontId="72" fillId="0" borderId="0" applyFont="0" applyFill="0" applyBorder="0" applyAlignment="0" applyProtection="0"/>
    <xf numFmtId="196" fontId="72" fillId="0" borderId="0" applyFont="0" applyFill="0" applyBorder="0" applyAlignment="0" applyProtection="0"/>
    <xf numFmtId="196" fontId="72" fillId="0" borderId="0" applyFont="0" applyFill="0" applyBorder="0" applyAlignment="0" applyProtection="0"/>
    <xf numFmtId="196" fontId="72" fillId="0" borderId="0" applyFont="0" applyFill="0" applyBorder="0" applyAlignment="0" applyProtection="0"/>
    <xf numFmtId="180" fontId="65" fillId="0" borderId="0" applyFont="0" applyFill="0" applyBorder="0" applyAlignment="0" applyProtection="0"/>
    <xf numFmtId="196" fontId="72" fillId="0" borderId="0" applyFont="0" applyFill="0" applyBorder="0" applyAlignment="0" applyProtection="0"/>
    <xf numFmtId="180" fontId="72" fillId="0" borderId="0" applyFont="0" applyFill="0" applyBorder="0" applyAlignment="0" applyProtection="0"/>
    <xf numFmtId="198"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67" fontId="47" fillId="0" borderId="0" applyFont="0" applyFill="0" applyBorder="0" applyAlignment="0" applyProtection="0"/>
    <xf numFmtId="188" fontId="72" fillId="0" borderId="0" applyFont="0" applyFill="0" applyBorder="0" applyAlignment="0" applyProtection="0"/>
    <xf numFmtId="172" fontId="72" fillId="0" borderId="0" applyFont="0" applyFill="0" applyBorder="0" applyAlignment="0" applyProtection="0"/>
    <xf numFmtId="0" fontId="71" fillId="0" borderId="0"/>
    <xf numFmtId="303" fontId="119" fillId="0" borderId="0" applyFont="0" applyFill="0" applyBorder="0" applyAlignment="0" applyProtection="0"/>
    <xf numFmtId="186" fontId="72" fillId="0" borderId="0" applyFont="0" applyFill="0" applyBorder="0" applyAlignment="0" applyProtection="0"/>
    <xf numFmtId="186"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72" fontId="72" fillId="0" borderId="0" applyFont="0" applyFill="0" applyBorder="0" applyAlignment="0" applyProtection="0"/>
    <xf numFmtId="179" fontId="93" fillId="0" borderId="0" applyFont="0" applyFill="0" applyBorder="0" applyAlignment="0" applyProtection="0"/>
    <xf numFmtId="200" fontId="72" fillId="0" borderId="0" applyFont="0" applyFill="0" applyBorder="0" applyAlignment="0" applyProtection="0"/>
    <xf numFmtId="189" fontId="72" fillId="0" borderId="0" applyFont="0" applyFill="0" applyBorder="0" applyAlignment="0" applyProtection="0"/>
    <xf numFmtId="172" fontId="72" fillId="0" borderId="0" applyFont="0" applyFill="0" applyBorder="0" applyAlignment="0" applyProtection="0"/>
    <xf numFmtId="189" fontId="72" fillId="0" borderId="0" applyFont="0" applyFill="0" applyBorder="0" applyAlignment="0" applyProtection="0"/>
    <xf numFmtId="180" fontId="72" fillId="0" borderId="0" applyFont="0" applyFill="0" applyBorder="0" applyAlignment="0" applyProtection="0"/>
    <xf numFmtId="196" fontId="72" fillId="0" borderId="0" applyFont="0" applyFill="0" applyBorder="0" applyAlignment="0" applyProtection="0"/>
    <xf numFmtId="196" fontId="72" fillId="0" borderId="0" applyFont="0" applyFill="0" applyBorder="0" applyAlignment="0" applyProtection="0"/>
    <xf numFmtId="196" fontId="72" fillId="0" borderId="0" applyFont="0" applyFill="0" applyBorder="0" applyAlignment="0" applyProtection="0"/>
    <xf numFmtId="180" fontId="65" fillId="0" borderId="0" applyFont="0" applyFill="0" applyBorder="0" applyAlignment="0" applyProtection="0"/>
    <xf numFmtId="196" fontId="72" fillId="0" borderId="0" applyFont="0" applyFill="0" applyBorder="0" applyAlignment="0" applyProtection="0"/>
    <xf numFmtId="180" fontId="72" fillId="0" borderId="0" applyFont="0" applyFill="0" applyBorder="0" applyAlignment="0" applyProtection="0"/>
    <xf numFmtId="179" fontId="93" fillId="0" borderId="0" applyFont="0" applyFill="0" applyBorder="0" applyAlignment="0" applyProtection="0"/>
    <xf numFmtId="200" fontId="72" fillId="0" borderId="0" applyFont="0" applyFill="0" applyBorder="0" applyAlignment="0" applyProtection="0"/>
    <xf numFmtId="198"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72" fontId="72" fillId="0" borderId="0" applyFont="0" applyFill="0" applyBorder="0" applyAlignment="0" applyProtection="0"/>
    <xf numFmtId="0" fontId="71" fillId="0" borderId="0"/>
    <xf numFmtId="303" fontId="119" fillId="0" borderId="0" applyFont="0" applyFill="0" applyBorder="0" applyAlignment="0" applyProtection="0"/>
    <xf numFmtId="173" fontId="72" fillId="0" borderId="0" applyFont="0" applyFill="0" applyBorder="0" applyAlignment="0" applyProtection="0"/>
    <xf numFmtId="188" fontId="72" fillId="0" borderId="0" applyFont="0" applyFill="0" applyBorder="0" applyAlignment="0" applyProtection="0"/>
    <xf numFmtId="41" fontId="72" fillId="0" borderId="0" applyFont="0" applyFill="0" applyBorder="0" applyAlignment="0" applyProtection="0"/>
    <xf numFmtId="200" fontId="72" fillId="0" borderId="0" applyFont="0" applyFill="0" applyBorder="0" applyAlignment="0" applyProtection="0"/>
    <xf numFmtId="41" fontId="72" fillId="0" borderId="0" applyFont="0" applyFill="0" applyBorder="0" applyAlignment="0" applyProtection="0"/>
    <xf numFmtId="188" fontId="72" fillId="0" borderId="0" applyFont="0" applyFill="0" applyBorder="0" applyAlignment="0" applyProtection="0"/>
    <xf numFmtId="188" fontId="72" fillId="0" borderId="0" applyFont="0" applyFill="0" applyBorder="0" applyAlignment="0" applyProtection="0"/>
    <xf numFmtId="204" fontId="72" fillId="0" borderId="0" applyFont="0" applyFill="0" applyBorder="0" applyAlignment="0" applyProtection="0"/>
    <xf numFmtId="173" fontId="72" fillId="0" borderId="0" applyFont="0" applyFill="0" applyBorder="0" applyAlignment="0" applyProtection="0"/>
    <xf numFmtId="173" fontId="72" fillId="0" borderId="0" applyFont="0" applyFill="0" applyBorder="0" applyAlignment="0" applyProtection="0"/>
    <xf numFmtId="41" fontId="72" fillId="0" borderId="0" applyFont="0" applyFill="0" applyBorder="0" applyAlignment="0" applyProtection="0"/>
    <xf numFmtId="173" fontId="72" fillId="0" borderId="0" applyFont="0" applyFill="0" applyBorder="0" applyAlignment="0" applyProtection="0"/>
    <xf numFmtId="41" fontId="72" fillId="0" borderId="0" applyFont="0" applyFill="0" applyBorder="0" applyAlignment="0" applyProtection="0"/>
    <xf numFmtId="199" fontId="72" fillId="0" borderId="0" applyFont="0" applyFill="0" applyBorder="0" applyAlignment="0" applyProtection="0"/>
    <xf numFmtId="173" fontId="72" fillId="0" borderId="0" applyFont="0" applyFill="0" applyBorder="0" applyAlignment="0" applyProtection="0"/>
    <xf numFmtId="200" fontId="72" fillId="0" borderId="0" applyFont="0" applyFill="0" applyBorder="0" applyAlignment="0" applyProtection="0"/>
    <xf numFmtId="173" fontId="72" fillId="0" borderId="0" applyFont="0" applyFill="0" applyBorder="0" applyAlignment="0" applyProtection="0"/>
    <xf numFmtId="188" fontId="72" fillId="0" borderId="0" applyFont="0" applyFill="0" applyBorder="0" applyAlignment="0" applyProtection="0"/>
    <xf numFmtId="172" fontId="72" fillId="0" borderId="0" applyFont="0" applyFill="0" applyBorder="0" applyAlignment="0" applyProtection="0"/>
    <xf numFmtId="200" fontId="72" fillId="0" borderId="0" applyFont="0" applyFill="0" applyBorder="0" applyAlignment="0" applyProtection="0"/>
    <xf numFmtId="196" fontId="72" fillId="0" borderId="0" applyFont="0" applyFill="0" applyBorder="0" applyAlignment="0" applyProtection="0"/>
    <xf numFmtId="200" fontId="72" fillId="0" borderId="0" applyFont="0" applyFill="0" applyBorder="0" applyAlignment="0" applyProtection="0"/>
    <xf numFmtId="180" fontId="65" fillId="0" borderId="0" applyFont="0" applyFill="0" applyBorder="0" applyAlignment="0" applyProtection="0"/>
    <xf numFmtId="199" fontId="72" fillId="0" borderId="0" applyFont="0" applyFill="0" applyBorder="0" applyAlignment="0" applyProtection="0"/>
    <xf numFmtId="180" fontId="72" fillId="0" borderId="0" applyFont="0" applyFill="0" applyBorder="0" applyAlignment="0" applyProtection="0"/>
    <xf numFmtId="188" fontId="65" fillId="0" borderId="0" applyFont="0" applyFill="0" applyBorder="0" applyAlignment="0" applyProtection="0"/>
    <xf numFmtId="0" fontId="71" fillId="0" borderId="0"/>
    <xf numFmtId="203" fontId="72" fillId="0" borderId="0" applyFont="0" applyFill="0" applyBorder="0" applyAlignment="0" applyProtection="0"/>
    <xf numFmtId="303" fontId="119" fillId="0" borderId="0" applyFont="0" applyFill="0" applyBorder="0" applyAlignment="0" applyProtection="0"/>
    <xf numFmtId="188" fontId="72" fillId="0" borderId="0" applyFont="0" applyFill="0" applyBorder="0" applyAlignment="0" applyProtection="0"/>
    <xf numFmtId="41" fontId="72" fillId="0" borderId="0" applyFont="0" applyFill="0" applyBorder="0" applyAlignment="0" applyProtection="0"/>
    <xf numFmtId="199" fontId="72" fillId="0" borderId="0" applyFont="0" applyFill="0" applyBorder="0" applyAlignment="0" applyProtection="0"/>
    <xf numFmtId="179" fontId="93" fillId="0" borderId="0" applyFont="0" applyFill="0" applyBorder="0" applyAlignment="0" applyProtection="0"/>
    <xf numFmtId="188" fontId="72" fillId="0" borderId="0" applyFont="0" applyFill="0" applyBorder="0" applyAlignment="0" applyProtection="0"/>
    <xf numFmtId="167" fontId="47" fillId="0" borderId="0" applyFont="0" applyFill="0" applyBorder="0" applyAlignment="0" applyProtection="0"/>
    <xf numFmtId="188" fontId="72" fillId="0" borderId="0" applyFont="0" applyFill="0" applyBorder="0" applyAlignment="0" applyProtection="0"/>
    <xf numFmtId="167" fontId="47" fillId="0" borderId="0" applyFont="0" applyFill="0" applyBorder="0" applyAlignment="0" applyProtection="0"/>
    <xf numFmtId="200" fontId="72" fillId="0" borderId="0" applyFont="0" applyFill="0" applyBorder="0" applyAlignment="0" applyProtection="0"/>
    <xf numFmtId="167" fontId="47" fillId="0" borderId="0" applyFont="0" applyFill="0" applyBorder="0" applyAlignment="0" applyProtection="0"/>
    <xf numFmtId="200" fontId="72" fillId="0" borderId="0" applyFont="0" applyFill="0" applyBorder="0" applyAlignment="0" applyProtection="0"/>
    <xf numFmtId="179" fontId="93" fillId="0" borderId="0" applyFont="0" applyFill="0" applyBorder="0" applyAlignment="0" applyProtection="0"/>
    <xf numFmtId="188" fontId="72" fillId="0" borderId="0" applyFont="0" applyFill="0" applyBorder="0" applyAlignment="0" applyProtection="0"/>
    <xf numFmtId="179" fontId="93" fillId="0" borderId="0" applyFont="0" applyFill="0" applyBorder="0" applyAlignment="0" applyProtection="0"/>
    <xf numFmtId="200" fontId="72" fillId="0" borderId="0" applyFont="0" applyFill="0" applyBorder="0" applyAlignment="0" applyProtection="0"/>
    <xf numFmtId="188" fontId="72" fillId="0" borderId="0" applyFont="0" applyFill="0" applyBorder="0" applyAlignment="0" applyProtection="0"/>
    <xf numFmtId="167" fontId="72" fillId="0" borderId="0" applyFont="0" applyFill="0" applyBorder="0" applyAlignment="0" applyProtection="0"/>
    <xf numFmtId="204" fontId="72" fillId="0" borderId="0" applyFont="0" applyFill="0" applyBorder="0" applyAlignment="0" applyProtection="0"/>
    <xf numFmtId="41" fontId="72" fillId="0" borderId="0" applyFont="0" applyFill="0" applyBorder="0" applyAlignment="0" applyProtection="0"/>
    <xf numFmtId="172" fontId="72" fillId="0" borderId="0" applyFont="0" applyFill="0" applyBorder="0" applyAlignment="0" applyProtection="0"/>
    <xf numFmtId="41" fontId="72" fillId="0" borderId="0" applyFont="0" applyFill="0" applyBorder="0" applyAlignment="0" applyProtection="0"/>
    <xf numFmtId="180" fontId="65" fillId="0" borderId="0" applyFont="0" applyFill="0" applyBorder="0" applyAlignment="0" applyProtection="0"/>
    <xf numFmtId="41" fontId="72" fillId="0" borderId="0" applyFont="0" applyFill="0" applyBorder="0" applyAlignment="0" applyProtection="0"/>
    <xf numFmtId="200" fontId="72" fillId="0" borderId="0" applyFont="0" applyFill="0" applyBorder="0" applyAlignment="0" applyProtection="0"/>
    <xf numFmtId="173" fontId="72" fillId="0" borderId="0" applyFont="0" applyFill="0" applyBorder="0" applyAlignment="0" applyProtection="0"/>
    <xf numFmtId="172" fontId="72" fillId="0" borderId="0" applyFont="0" applyFill="0" applyBorder="0" applyAlignment="0" applyProtection="0"/>
    <xf numFmtId="167" fontId="72" fillId="0" borderId="0" applyFont="0" applyFill="0" applyBorder="0" applyAlignment="0" applyProtection="0"/>
    <xf numFmtId="172" fontId="72" fillId="0" borderId="0" applyFont="0" applyFill="0" applyBorder="0" applyAlignment="0" applyProtection="0"/>
    <xf numFmtId="167" fontId="72" fillId="0" borderId="0" applyFont="0" applyFill="0" applyBorder="0" applyAlignment="0" applyProtection="0"/>
    <xf numFmtId="180" fontId="72" fillId="0" borderId="0" applyFont="0" applyFill="0" applyBorder="0" applyAlignment="0" applyProtection="0"/>
    <xf numFmtId="167" fontId="72" fillId="0" borderId="0" applyFont="0" applyFill="0" applyBorder="0" applyAlignment="0" applyProtection="0"/>
    <xf numFmtId="197" fontId="87" fillId="0" borderId="0" applyFont="0" applyFill="0" applyBorder="0" applyAlignment="0" applyProtection="0"/>
    <xf numFmtId="167" fontId="72" fillId="0" borderId="0" applyFont="0" applyFill="0" applyBorder="0" applyAlignment="0" applyProtection="0"/>
    <xf numFmtId="196" fontId="72" fillId="0" borderId="0" applyFont="0" applyFill="0" applyBorder="0" applyAlignment="0" applyProtection="0"/>
    <xf numFmtId="173" fontId="72" fillId="0" borderId="0" applyFont="0" applyFill="0" applyBorder="0" applyAlignment="0" applyProtection="0"/>
    <xf numFmtId="180" fontId="72" fillId="0" borderId="0" applyFont="0" applyFill="0" applyBorder="0" applyAlignment="0" applyProtection="0"/>
    <xf numFmtId="41" fontId="72" fillId="0" borderId="0" applyFont="0" applyFill="0" applyBorder="0" applyAlignment="0" applyProtection="0"/>
    <xf numFmtId="198" fontId="72" fillId="0" borderId="0" applyFont="0" applyFill="0" applyBorder="0" applyAlignment="0" applyProtection="0"/>
    <xf numFmtId="41" fontId="72" fillId="0" borderId="0" applyFont="0" applyFill="0" applyBorder="0" applyAlignment="0" applyProtection="0"/>
    <xf numFmtId="172" fontId="72" fillId="0" borderId="0" applyFont="0" applyFill="0" applyBorder="0" applyAlignment="0" applyProtection="0"/>
    <xf numFmtId="188" fontId="72" fillId="0" borderId="0" applyFont="0" applyFill="0" applyBorder="0" applyAlignment="0" applyProtection="0"/>
    <xf numFmtId="180" fontId="65" fillId="0" borderId="0" applyFont="0" applyFill="0" applyBorder="0" applyAlignment="0" applyProtection="0"/>
    <xf numFmtId="167" fontId="72" fillId="0" borderId="0" applyFont="0" applyFill="0" applyBorder="0" applyAlignment="0" applyProtection="0"/>
    <xf numFmtId="172" fontId="72" fillId="0" borderId="0" applyFont="0" applyFill="0" applyBorder="0" applyAlignment="0" applyProtection="0"/>
    <xf numFmtId="188" fontId="72" fillId="0" borderId="0" applyFont="0" applyFill="0" applyBorder="0" applyAlignment="0" applyProtection="0"/>
    <xf numFmtId="167" fontId="72" fillId="0" borderId="0" applyFont="0" applyFill="0" applyBorder="0" applyAlignment="0" applyProtection="0"/>
    <xf numFmtId="172" fontId="72" fillId="0" borderId="0" applyFont="0" applyFill="0" applyBorder="0" applyAlignment="0" applyProtection="0"/>
    <xf numFmtId="188" fontId="72" fillId="0" borderId="0" applyFont="0" applyFill="0" applyBorder="0" applyAlignment="0" applyProtection="0"/>
    <xf numFmtId="180" fontId="72" fillId="0" borderId="0" applyFont="0" applyFill="0" applyBorder="0" applyAlignment="0" applyProtection="0"/>
    <xf numFmtId="188" fontId="72" fillId="0" borderId="0" applyFont="0" applyFill="0" applyBorder="0" applyAlignment="0" applyProtection="0"/>
    <xf numFmtId="197" fontId="87" fillId="0" borderId="0" applyFont="0" applyFill="0" applyBorder="0" applyAlignment="0" applyProtection="0"/>
    <xf numFmtId="41" fontId="72" fillId="0" borderId="0" applyFont="0" applyFill="0" applyBorder="0" applyAlignment="0" applyProtection="0"/>
    <xf numFmtId="196" fontId="72" fillId="0" borderId="0" applyFont="0" applyFill="0" applyBorder="0" applyAlignment="0" applyProtection="0"/>
    <xf numFmtId="173" fontId="72" fillId="0" borderId="0" applyFont="0" applyFill="0" applyBorder="0" applyAlignment="0" applyProtection="0"/>
    <xf numFmtId="180" fontId="72" fillId="0" borderId="0" applyFont="0" applyFill="0" applyBorder="0" applyAlignment="0" applyProtection="0"/>
    <xf numFmtId="167" fontId="72" fillId="0" borderId="0" applyFont="0" applyFill="0" applyBorder="0" applyAlignment="0" applyProtection="0"/>
    <xf numFmtId="198" fontId="72" fillId="0" borderId="0" applyFont="0" applyFill="0" applyBorder="0" applyAlignment="0" applyProtection="0"/>
    <xf numFmtId="188" fontId="72" fillId="0" borderId="0" applyFont="0" applyFill="0" applyBorder="0" applyAlignment="0" applyProtection="0"/>
    <xf numFmtId="173" fontId="72" fillId="0" borderId="0" applyFont="0" applyFill="0" applyBorder="0" applyAlignment="0" applyProtection="0"/>
    <xf numFmtId="188" fontId="72" fillId="0" borderId="0" applyFont="0" applyFill="0" applyBorder="0" applyAlignment="0" applyProtection="0"/>
    <xf numFmtId="173" fontId="72" fillId="0" borderId="0" applyFont="0" applyFill="0" applyBorder="0" applyAlignment="0" applyProtection="0"/>
    <xf numFmtId="41" fontId="72" fillId="0" borderId="0" applyFont="0" applyFill="0" applyBorder="0" applyAlignment="0" applyProtection="0"/>
    <xf numFmtId="200" fontId="72" fillId="0" borderId="0" applyFont="0" applyFill="0" applyBorder="0" applyAlignment="0" applyProtection="0"/>
    <xf numFmtId="167" fontId="72" fillId="0" borderId="0" applyFont="0" applyFill="0" applyBorder="0" applyAlignment="0" applyProtection="0"/>
    <xf numFmtId="173" fontId="72" fillId="0" borderId="0" applyFont="0" applyFill="0" applyBorder="0" applyAlignment="0" applyProtection="0"/>
    <xf numFmtId="204" fontId="72" fillId="0" borderId="0" applyFont="0" applyFill="0" applyBorder="0" applyAlignment="0" applyProtection="0"/>
    <xf numFmtId="205" fontId="72" fillId="0" borderId="0" applyFont="0" applyFill="0" applyBorder="0" applyAlignment="0" applyProtection="0"/>
    <xf numFmtId="173"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80" fontId="72" fillId="0" borderId="0" applyFont="0" applyFill="0" applyBorder="0" applyAlignment="0" applyProtection="0"/>
    <xf numFmtId="196" fontId="72" fillId="0" borderId="0" applyFont="0" applyFill="0" applyBorder="0" applyAlignment="0" applyProtection="0"/>
    <xf numFmtId="180" fontId="65" fillId="0" borderId="0" applyFont="0" applyFill="0" applyBorder="0" applyAlignment="0" applyProtection="0"/>
    <xf numFmtId="41" fontId="72" fillId="0" borderId="0" applyFont="0" applyFill="0" applyBorder="0" applyAlignment="0" applyProtection="0"/>
    <xf numFmtId="200" fontId="72" fillId="0" borderId="0" applyFont="0" applyFill="0" applyBorder="0" applyAlignment="0" applyProtection="0"/>
    <xf numFmtId="196" fontId="72" fillId="0" borderId="0" applyFont="0" applyFill="0" applyBorder="0" applyAlignment="0" applyProtection="0"/>
    <xf numFmtId="180" fontId="72" fillId="0" borderId="0" applyFont="0" applyFill="0" applyBorder="0" applyAlignment="0" applyProtection="0"/>
    <xf numFmtId="198" fontId="72" fillId="0" borderId="0" applyFont="0" applyFill="0" applyBorder="0" applyAlignment="0" applyProtection="0"/>
    <xf numFmtId="0" fontId="71" fillId="0" borderId="0"/>
    <xf numFmtId="303" fontId="119" fillId="0" borderId="0" applyFont="0" applyFill="0" applyBorder="0" applyAlignment="0" applyProtection="0"/>
    <xf numFmtId="41" fontId="72" fillId="0" borderId="0" applyFont="0" applyFill="0" applyBorder="0" applyAlignment="0" applyProtection="0"/>
    <xf numFmtId="167" fontId="72" fillId="0" borderId="0" applyFont="0" applyFill="0" applyBorder="0" applyAlignment="0" applyProtection="0"/>
    <xf numFmtId="41" fontId="72" fillId="0" borderId="0" applyFont="0" applyFill="0" applyBorder="0" applyAlignment="0" applyProtection="0"/>
    <xf numFmtId="188" fontId="72" fillId="0" borderId="0" applyFont="0" applyFill="0" applyBorder="0" applyAlignment="0" applyProtection="0"/>
    <xf numFmtId="167" fontId="72" fillId="0" borderId="0" applyFont="0" applyFill="0" applyBorder="0" applyAlignment="0" applyProtection="0"/>
    <xf numFmtId="173" fontId="72" fillId="0" borderId="0" applyFont="0" applyFill="0" applyBorder="0" applyAlignment="0" applyProtection="0"/>
    <xf numFmtId="199" fontId="72" fillId="0" borderId="0" applyFont="0" applyFill="0" applyBorder="0" applyAlignment="0" applyProtection="0"/>
    <xf numFmtId="167" fontId="72" fillId="0" borderId="0" applyFont="0" applyFill="0" applyBorder="0" applyAlignment="0" applyProtection="0"/>
    <xf numFmtId="167" fontId="72" fillId="0" borderId="0" applyFont="0" applyFill="0" applyBorder="0" applyAlignment="0" applyProtection="0"/>
    <xf numFmtId="188" fontId="72" fillId="0" borderId="0" applyFont="0" applyFill="0" applyBorder="0" applyAlignment="0" applyProtection="0"/>
    <xf numFmtId="188" fontId="72" fillId="0" borderId="0" applyFont="0" applyFill="0" applyBorder="0" applyAlignment="0" applyProtection="0"/>
    <xf numFmtId="188" fontId="72" fillId="0" borderId="0" applyFont="0" applyFill="0" applyBorder="0" applyAlignment="0" applyProtection="0"/>
    <xf numFmtId="188" fontId="72" fillId="0" borderId="0" applyFont="0" applyFill="0" applyBorder="0" applyAlignment="0" applyProtection="0"/>
    <xf numFmtId="202" fontId="72" fillId="0" borderId="0" applyFont="0" applyFill="0" applyBorder="0" applyAlignment="0" applyProtection="0"/>
    <xf numFmtId="41" fontId="72" fillId="0" borderId="0" applyFont="0" applyFill="0" applyBorder="0" applyAlignment="0" applyProtection="0"/>
    <xf numFmtId="173" fontId="72" fillId="0" borderId="0" applyFont="0" applyFill="0" applyBorder="0" applyAlignment="0" applyProtection="0"/>
    <xf numFmtId="167" fontId="72" fillId="0" borderId="0" applyFont="0" applyFill="0" applyBorder="0" applyAlignment="0" applyProtection="0"/>
    <xf numFmtId="173" fontId="72" fillId="0" borderId="0" applyFont="0" applyFill="0" applyBorder="0" applyAlignment="0" applyProtection="0"/>
    <xf numFmtId="188" fontId="65" fillId="0" borderId="0" applyFont="0" applyFill="0" applyBorder="0" applyAlignment="0" applyProtection="0"/>
    <xf numFmtId="167" fontId="72" fillId="0" borderId="0" applyFont="0" applyFill="0" applyBorder="0" applyAlignment="0" applyProtection="0"/>
    <xf numFmtId="188" fontId="72" fillId="0" borderId="0" applyFont="0" applyFill="0" applyBorder="0" applyAlignment="0" applyProtection="0"/>
    <xf numFmtId="167" fontId="72" fillId="0" borderId="0" applyFont="0" applyFill="0" applyBorder="0" applyAlignment="0" applyProtection="0"/>
    <xf numFmtId="173" fontId="72" fillId="0" borderId="0" applyFont="0" applyFill="0" applyBorder="0" applyAlignment="0" applyProtection="0"/>
    <xf numFmtId="167" fontId="72" fillId="0" borderId="0" applyFont="0" applyFill="0" applyBorder="0" applyAlignment="0" applyProtection="0"/>
    <xf numFmtId="202" fontId="72" fillId="0" borderId="0" applyFont="0" applyFill="0" applyBorder="0" applyAlignment="0" applyProtection="0"/>
    <xf numFmtId="41" fontId="72" fillId="0" borderId="0" applyFont="0" applyFill="0" applyBorder="0" applyAlignment="0" applyProtection="0"/>
    <xf numFmtId="202" fontId="72" fillId="0" borderId="0" applyFont="0" applyFill="0" applyBorder="0" applyAlignment="0" applyProtection="0"/>
    <xf numFmtId="188" fontId="72" fillId="0" borderId="0" applyFont="0" applyFill="0" applyBorder="0" applyAlignment="0" applyProtection="0"/>
    <xf numFmtId="173" fontId="72" fillId="0" borderId="0" applyFont="0" applyFill="0" applyBorder="0" applyAlignment="0" applyProtection="0"/>
    <xf numFmtId="14" fontId="227" fillId="0" borderId="0"/>
    <xf numFmtId="0" fontId="228" fillId="0" borderId="0"/>
    <xf numFmtId="0" fontId="184" fillId="0" borderId="0"/>
    <xf numFmtId="0" fontId="185" fillId="0" borderId="0"/>
    <xf numFmtId="40" fontId="229" fillId="0" borderId="0" applyBorder="0">
      <alignment horizontal="right"/>
    </xf>
    <xf numFmtId="0" fontId="230" fillId="0" borderId="0"/>
    <xf numFmtId="304" fontId="119" fillId="0" borderId="3">
      <alignment horizontal="right" vertical="center"/>
    </xf>
    <xf numFmtId="304" fontId="119" fillId="0" borderId="3">
      <alignment horizontal="right" vertical="center"/>
    </xf>
    <xf numFmtId="304" fontId="119" fillId="0" borderId="3">
      <alignment horizontal="right" vertical="center"/>
    </xf>
    <xf numFmtId="166" fontId="231" fillId="0" borderId="3">
      <alignment horizontal="right" vertical="center"/>
    </xf>
    <xf numFmtId="166" fontId="231" fillId="0" borderId="3">
      <alignment horizontal="right" vertical="center"/>
    </xf>
    <xf numFmtId="304" fontId="11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6" fontId="231" fillId="0" borderId="3">
      <alignment horizontal="right" vertical="center"/>
    </xf>
    <xf numFmtId="166" fontId="231" fillId="0" borderId="3">
      <alignment horizontal="right" vertical="center"/>
    </xf>
    <xf numFmtId="166" fontId="231" fillId="0" borderId="3">
      <alignment horizontal="right" vertical="center"/>
    </xf>
    <xf numFmtId="166" fontId="231" fillId="0" borderId="3">
      <alignment horizontal="right" vertical="center"/>
    </xf>
    <xf numFmtId="166" fontId="231" fillId="0" borderId="3">
      <alignment horizontal="right" vertical="center"/>
    </xf>
    <xf numFmtId="166" fontId="231" fillId="0" borderId="3">
      <alignment horizontal="right" vertical="center"/>
    </xf>
    <xf numFmtId="166" fontId="231" fillId="0" borderId="3">
      <alignment horizontal="right" vertical="center"/>
    </xf>
    <xf numFmtId="166" fontId="231" fillId="0" borderId="3">
      <alignment horizontal="right" vertical="center"/>
    </xf>
    <xf numFmtId="166" fontId="231" fillId="0" borderId="3">
      <alignment horizontal="right" vertical="center"/>
    </xf>
    <xf numFmtId="166" fontId="231"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5" fontId="72" fillId="0" borderId="3">
      <alignment horizontal="right" vertical="center"/>
    </xf>
    <xf numFmtId="305" fontId="72"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6" fontId="93" fillId="0" borderId="3">
      <alignment horizontal="right" vertical="center"/>
    </xf>
    <xf numFmtId="306" fontId="93" fillId="0" borderId="3">
      <alignment horizontal="right" vertical="center"/>
    </xf>
    <xf numFmtId="307" fontId="109" fillId="0" borderId="3">
      <alignment horizontal="right" vertical="center"/>
    </xf>
    <xf numFmtId="308" fontId="104" fillId="0" borderId="3">
      <alignment horizontal="right" vertical="center"/>
    </xf>
    <xf numFmtId="308" fontId="104" fillId="0" borderId="3">
      <alignment horizontal="right" vertical="center"/>
    </xf>
    <xf numFmtId="305" fontId="72" fillId="0" borderId="3">
      <alignment horizontal="right" vertical="center"/>
    </xf>
    <xf numFmtId="305" fontId="72"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308" fontId="3" fillId="0" borderId="3">
      <alignment horizontal="right" vertical="center"/>
    </xf>
    <xf numFmtId="308" fontId="3" fillId="0" borderId="3">
      <alignment horizontal="right" vertical="center"/>
    </xf>
    <xf numFmtId="308" fontId="104" fillId="0" borderId="3">
      <alignment horizontal="right" vertical="center"/>
    </xf>
    <xf numFmtId="308" fontId="104" fillId="0" borderId="3">
      <alignment horizontal="right" vertical="center"/>
    </xf>
    <xf numFmtId="308" fontId="104" fillId="0" borderId="3">
      <alignment horizontal="right" vertical="center"/>
    </xf>
    <xf numFmtId="308" fontId="104" fillId="0" borderId="3">
      <alignment horizontal="right" vertical="center"/>
    </xf>
    <xf numFmtId="309" fontId="47" fillId="0" borderId="3">
      <alignment horizontal="right" vertical="center"/>
    </xf>
    <xf numFmtId="309" fontId="47" fillId="0" borderId="3">
      <alignment horizontal="right" vertical="center"/>
    </xf>
    <xf numFmtId="309" fontId="47" fillId="0" borderId="3">
      <alignment horizontal="right" vertical="center"/>
    </xf>
    <xf numFmtId="309" fontId="47" fillId="0" borderId="3">
      <alignment horizontal="right" vertical="center"/>
    </xf>
    <xf numFmtId="309" fontId="47" fillId="0" borderId="3">
      <alignment horizontal="right" vertical="center"/>
    </xf>
    <xf numFmtId="309" fontId="47" fillId="0" borderId="3">
      <alignment horizontal="right" vertical="center"/>
    </xf>
    <xf numFmtId="309" fontId="47" fillId="0" borderId="3">
      <alignment horizontal="right" vertical="center"/>
    </xf>
    <xf numFmtId="309" fontId="47" fillId="0" borderId="3">
      <alignment horizontal="right" vertical="center"/>
    </xf>
    <xf numFmtId="309" fontId="47" fillId="0" borderId="3">
      <alignment horizontal="right" vertical="center"/>
    </xf>
    <xf numFmtId="309" fontId="47" fillId="0" borderId="3">
      <alignment horizontal="right" vertical="center"/>
    </xf>
    <xf numFmtId="309" fontId="47" fillId="0" borderId="3">
      <alignment horizontal="right" vertical="center"/>
    </xf>
    <xf numFmtId="309" fontId="47" fillId="0" borderId="3">
      <alignment horizontal="right" vertical="center"/>
    </xf>
    <xf numFmtId="305" fontId="72" fillId="0" borderId="3">
      <alignment horizontal="right" vertical="center"/>
    </xf>
    <xf numFmtId="305" fontId="72" fillId="0" borderId="3">
      <alignment horizontal="right" vertical="center"/>
    </xf>
    <xf numFmtId="308" fontId="3" fillId="0" borderId="3">
      <alignment horizontal="right" vertical="center"/>
    </xf>
    <xf numFmtId="308" fontId="3" fillId="0" borderId="3">
      <alignment horizontal="right" vertical="center"/>
    </xf>
    <xf numFmtId="308" fontId="104" fillId="0" borderId="3">
      <alignment horizontal="right" vertical="center"/>
    </xf>
    <xf numFmtId="308" fontId="104" fillId="0" borderId="3">
      <alignment horizontal="right" vertical="center"/>
    </xf>
    <xf numFmtId="308" fontId="104" fillId="0" borderId="3">
      <alignment horizontal="right" vertical="center"/>
    </xf>
    <xf numFmtId="308" fontId="104" fillId="0" borderId="3">
      <alignment horizontal="right" vertical="center"/>
    </xf>
    <xf numFmtId="308" fontId="104" fillId="0" borderId="3">
      <alignment horizontal="right" vertical="center"/>
    </xf>
    <xf numFmtId="308" fontId="104" fillId="0" borderId="3">
      <alignment horizontal="right" vertical="center"/>
    </xf>
    <xf numFmtId="309" fontId="47" fillId="0" borderId="3">
      <alignment horizontal="right" vertical="center"/>
    </xf>
    <xf numFmtId="309" fontId="47" fillId="0" borderId="3">
      <alignment horizontal="right" vertical="center"/>
    </xf>
    <xf numFmtId="309" fontId="47" fillId="0" borderId="3">
      <alignment horizontal="right" vertical="center"/>
    </xf>
    <xf numFmtId="309" fontId="47" fillId="0" borderId="3">
      <alignment horizontal="right" vertical="center"/>
    </xf>
    <xf numFmtId="309" fontId="47" fillId="0" borderId="3">
      <alignment horizontal="right" vertical="center"/>
    </xf>
    <xf numFmtId="309" fontId="47" fillId="0" borderId="3">
      <alignment horizontal="right" vertical="center"/>
    </xf>
    <xf numFmtId="309" fontId="47" fillId="0" borderId="3">
      <alignment horizontal="right" vertical="center"/>
    </xf>
    <xf numFmtId="309" fontId="47" fillId="0" borderId="3">
      <alignment horizontal="right" vertical="center"/>
    </xf>
    <xf numFmtId="309" fontId="47" fillId="0" borderId="3">
      <alignment horizontal="right" vertical="center"/>
    </xf>
    <xf numFmtId="309" fontId="47" fillId="0" borderId="3">
      <alignment horizontal="right" vertical="center"/>
    </xf>
    <xf numFmtId="309" fontId="47" fillId="0" borderId="3">
      <alignment horizontal="right" vertical="center"/>
    </xf>
    <xf numFmtId="309" fontId="47"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5" fontId="72" fillId="0" borderId="3">
      <alignment horizontal="right" vertical="center"/>
    </xf>
    <xf numFmtId="305" fontId="72" fillId="0" borderId="3">
      <alignment horizontal="right" vertical="center"/>
    </xf>
    <xf numFmtId="305" fontId="72" fillId="0" borderId="3">
      <alignment horizontal="right" vertical="center"/>
    </xf>
    <xf numFmtId="305" fontId="72"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5" fontId="72" fillId="0" borderId="3">
      <alignment horizontal="right" vertical="center"/>
    </xf>
    <xf numFmtId="305" fontId="72" fillId="0" borderId="3">
      <alignment horizontal="right" vertical="center"/>
    </xf>
    <xf numFmtId="310" fontId="3" fillId="0" borderId="3">
      <alignment horizontal="right" vertical="center"/>
    </xf>
    <xf numFmtId="310" fontId="3" fillId="0" borderId="3">
      <alignment horizontal="right" vertical="center"/>
    </xf>
    <xf numFmtId="310" fontId="104" fillId="0" borderId="3">
      <alignment horizontal="right" vertical="center"/>
    </xf>
    <xf numFmtId="310" fontId="104" fillId="0" borderId="3">
      <alignment horizontal="right" vertical="center"/>
    </xf>
    <xf numFmtId="310" fontId="104" fillId="0" borderId="3">
      <alignment horizontal="right" vertical="center"/>
    </xf>
    <xf numFmtId="310" fontId="104"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6" fontId="93" fillId="0" borderId="3">
      <alignment horizontal="right" vertical="center"/>
    </xf>
    <xf numFmtId="306" fontId="93" fillId="0" borderId="3">
      <alignment horizontal="right" vertical="center"/>
    </xf>
    <xf numFmtId="306" fontId="93" fillId="0" borderId="3">
      <alignment horizontal="right" vertical="center"/>
    </xf>
    <xf numFmtId="306" fontId="93" fillId="0" borderId="3">
      <alignment horizontal="right" vertical="center"/>
    </xf>
    <xf numFmtId="310" fontId="3" fillId="0" borderId="3">
      <alignment horizontal="right" vertical="center"/>
    </xf>
    <xf numFmtId="310" fontId="3" fillId="0" borderId="3">
      <alignment horizontal="right" vertical="center"/>
    </xf>
    <xf numFmtId="310" fontId="104" fillId="0" borderId="3">
      <alignment horizontal="right" vertical="center"/>
    </xf>
    <xf numFmtId="310" fontId="104" fillId="0" borderId="3">
      <alignment horizontal="right" vertical="center"/>
    </xf>
    <xf numFmtId="310" fontId="104" fillId="0" borderId="3">
      <alignment horizontal="right" vertical="center"/>
    </xf>
    <xf numFmtId="310" fontId="104" fillId="0" borderId="3">
      <alignment horizontal="right" vertical="center"/>
    </xf>
    <xf numFmtId="306" fontId="93" fillId="0" borderId="3">
      <alignment horizontal="right" vertical="center"/>
    </xf>
    <xf numFmtId="306" fontId="93" fillId="0" borderId="3">
      <alignment horizontal="right" vertical="center"/>
    </xf>
    <xf numFmtId="306" fontId="93" fillId="0" borderId="3">
      <alignment horizontal="right" vertical="center"/>
    </xf>
    <xf numFmtId="306" fontId="93" fillId="0" borderId="3">
      <alignment horizontal="right" vertical="center"/>
    </xf>
    <xf numFmtId="306" fontId="93" fillId="0" borderId="3">
      <alignment horizontal="right" vertical="center"/>
    </xf>
    <xf numFmtId="306" fontId="93" fillId="0" borderId="3">
      <alignment horizontal="right" vertical="center"/>
    </xf>
    <xf numFmtId="306" fontId="93" fillId="0" borderId="3">
      <alignment horizontal="right" vertical="center"/>
    </xf>
    <xf numFmtId="306" fontId="93" fillId="0" borderId="3">
      <alignment horizontal="right" vertical="center"/>
    </xf>
    <xf numFmtId="305" fontId="72" fillId="0" borderId="3">
      <alignment horizontal="right" vertical="center"/>
    </xf>
    <xf numFmtId="305" fontId="72" fillId="0" borderId="3">
      <alignment horizontal="right" vertical="center"/>
    </xf>
    <xf numFmtId="310" fontId="104" fillId="0" borderId="3">
      <alignment horizontal="right" vertical="center"/>
    </xf>
    <xf numFmtId="310" fontId="104" fillId="0" borderId="3">
      <alignment horizontal="right" vertical="center"/>
    </xf>
    <xf numFmtId="310" fontId="104" fillId="0" borderId="3">
      <alignment horizontal="right" vertical="center"/>
    </xf>
    <xf numFmtId="310" fontId="104" fillId="0" borderId="3">
      <alignment horizontal="right" vertical="center"/>
    </xf>
    <xf numFmtId="310" fontId="3" fillId="0" borderId="3">
      <alignment horizontal="right" vertical="center"/>
    </xf>
    <xf numFmtId="310" fontId="3" fillId="0" borderId="3">
      <alignment horizontal="right" vertical="center"/>
    </xf>
    <xf numFmtId="310" fontId="104" fillId="0" borderId="3">
      <alignment horizontal="right" vertical="center"/>
    </xf>
    <xf numFmtId="310" fontId="104" fillId="0" borderId="3">
      <alignment horizontal="right" vertical="center"/>
    </xf>
    <xf numFmtId="305" fontId="72" fillId="0" borderId="3">
      <alignment horizontal="right" vertical="center"/>
    </xf>
    <xf numFmtId="305" fontId="72" fillId="0" borderId="3">
      <alignment horizontal="right" vertical="center"/>
    </xf>
    <xf numFmtId="305" fontId="72" fillId="0" borderId="3">
      <alignment horizontal="right" vertical="center"/>
    </xf>
    <xf numFmtId="305" fontId="72" fillId="0" borderId="3">
      <alignment horizontal="right" vertical="center"/>
    </xf>
    <xf numFmtId="305" fontId="72" fillId="0" borderId="3">
      <alignment horizontal="right" vertical="center"/>
    </xf>
    <xf numFmtId="305" fontId="72"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5" fontId="72" fillId="0" borderId="3">
      <alignment horizontal="right" vertical="center"/>
    </xf>
    <xf numFmtId="305" fontId="72" fillId="0" borderId="3">
      <alignment horizontal="right" vertical="center"/>
    </xf>
    <xf numFmtId="311" fontId="232" fillId="3" borderId="41" applyFont="0" applyFill="0" applyBorder="0"/>
    <xf numFmtId="311" fontId="232" fillId="3" borderId="41" applyFont="0" applyFill="0" applyBorder="0"/>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8" fontId="104" fillId="0" borderId="3">
      <alignment horizontal="right" vertical="center"/>
    </xf>
    <xf numFmtId="308" fontId="104" fillId="0" borderId="3">
      <alignment horizontal="right" vertical="center"/>
    </xf>
    <xf numFmtId="305" fontId="72" fillId="0" borderId="3">
      <alignment horizontal="right" vertical="center"/>
    </xf>
    <xf numFmtId="305" fontId="72"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11" fontId="232" fillId="3" borderId="41" applyFont="0" applyFill="0" applyBorder="0"/>
    <xf numFmtId="311" fontId="232" fillId="3" borderId="41" applyFont="0" applyFill="0" applyBorder="0"/>
    <xf numFmtId="310" fontId="104" fillId="0" borderId="3">
      <alignment horizontal="right" vertical="center"/>
    </xf>
    <xf numFmtId="310" fontId="104" fillId="0" borderId="3">
      <alignment horizontal="right" vertical="center"/>
    </xf>
    <xf numFmtId="310" fontId="104" fillId="0" borderId="3">
      <alignment horizontal="right" vertical="center"/>
    </xf>
    <xf numFmtId="310" fontId="104" fillId="0" borderId="3">
      <alignment horizontal="right" vertical="center"/>
    </xf>
    <xf numFmtId="310" fontId="104" fillId="0" borderId="3">
      <alignment horizontal="right" vertical="center"/>
    </xf>
    <xf numFmtId="310" fontId="104" fillId="0" borderId="3">
      <alignment horizontal="right" vertical="center"/>
    </xf>
    <xf numFmtId="309" fontId="47" fillId="0" borderId="3">
      <alignment horizontal="right" vertical="center"/>
    </xf>
    <xf numFmtId="309" fontId="47" fillId="0" borderId="3">
      <alignment horizontal="right" vertical="center"/>
    </xf>
    <xf numFmtId="309" fontId="47" fillId="0" borderId="3">
      <alignment horizontal="right" vertical="center"/>
    </xf>
    <xf numFmtId="309" fontId="47" fillId="0" borderId="3">
      <alignment horizontal="right" vertical="center"/>
    </xf>
    <xf numFmtId="309" fontId="47" fillId="0" borderId="3">
      <alignment horizontal="right" vertical="center"/>
    </xf>
    <xf numFmtId="309" fontId="47" fillId="0" borderId="3">
      <alignment horizontal="right" vertical="center"/>
    </xf>
    <xf numFmtId="309" fontId="47" fillId="0" borderId="3">
      <alignment horizontal="right" vertical="center"/>
    </xf>
    <xf numFmtId="309" fontId="47" fillId="0" borderId="3">
      <alignment horizontal="right" vertical="center"/>
    </xf>
    <xf numFmtId="309" fontId="47" fillId="0" borderId="3">
      <alignment horizontal="right" vertical="center"/>
    </xf>
    <xf numFmtId="309" fontId="47" fillId="0" borderId="3">
      <alignment horizontal="right" vertical="center"/>
    </xf>
    <xf numFmtId="309" fontId="47" fillId="0" borderId="3">
      <alignment horizontal="right" vertical="center"/>
    </xf>
    <xf numFmtId="309" fontId="47" fillId="0" borderId="3">
      <alignment horizontal="right" vertical="center"/>
    </xf>
    <xf numFmtId="310" fontId="104" fillId="0" borderId="3">
      <alignment horizontal="right" vertical="center"/>
    </xf>
    <xf numFmtId="310" fontId="104" fillId="0" borderId="3">
      <alignment horizontal="right" vertical="center"/>
    </xf>
    <xf numFmtId="310" fontId="104" fillId="0" borderId="3">
      <alignment horizontal="right" vertical="center"/>
    </xf>
    <xf numFmtId="310" fontId="104" fillId="0" borderId="3">
      <alignment horizontal="right" vertical="center"/>
    </xf>
    <xf numFmtId="310" fontId="104" fillId="0" borderId="3">
      <alignment horizontal="right" vertical="center"/>
    </xf>
    <xf numFmtId="310" fontId="104" fillId="0" borderId="3">
      <alignment horizontal="right" vertical="center"/>
    </xf>
    <xf numFmtId="310" fontId="104" fillId="0" borderId="3">
      <alignment horizontal="right" vertical="center"/>
    </xf>
    <xf numFmtId="310" fontId="104" fillId="0" borderId="3">
      <alignment horizontal="right" vertical="center"/>
    </xf>
    <xf numFmtId="310" fontId="104" fillId="0" borderId="3">
      <alignment horizontal="right" vertical="center"/>
    </xf>
    <xf numFmtId="310" fontId="104" fillId="0" borderId="3">
      <alignment horizontal="right" vertical="center"/>
    </xf>
    <xf numFmtId="310" fontId="3" fillId="0" borderId="3">
      <alignment horizontal="right" vertical="center"/>
    </xf>
    <xf numFmtId="310" fontId="3" fillId="0" borderId="3">
      <alignment horizontal="right" vertical="center"/>
    </xf>
    <xf numFmtId="310" fontId="104" fillId="0" borderId="3">
      <alignment horizontal="right" vertical="center"/>
    </xf>
    <xf numFmtId="310" fontId="104" fillId="0" borderId="3">
      <alignment horizontal="right" vertical="center"/>
    </xf>
    <xf numFmtId="310" fontId="104" fillId="0" borderId="3">
      <alignment horizontal="right" vertical="center"/>
    </xf>
    <xf numFmtId="310" fontId="104" fillId="0" borderId="3">
      <alignment horizontal="right" vertical="center"/>
    </xf>
    <xf numFmtId="310" fontId="104" fillId="0" borderId="3">
      <alignment horizontal="right" vertical="center"/>
    </xf>
    <xf numFmtId="310" fontId="104" fillId="0" borderId="3">
      <alignment horizontal="right" vertical="center"/>
    </xf>
    <xf numFmtId="310" fontId="3" fillId="0" borderId="3">
      <alignment horizontal="right" vertical="center"/>
    </xf>
    <xf numFmtId="310" fontId="3" fillId="0" borderId="3">
      <alignment horizontal="right" vertical="center"/>
    </xf>
    <xf numFmtId="310" fontId="104" fillId="0" borderId="3">
      <alignment horizontal="right" vertical="center"/>
    </xf>
    <xf numFmtId="310" fontId="104" fillId="0" borderId="3">
      <alignment horizontal="right" vertical="center"/>
    </xf>
    <xf numFmtId="310" fontId="104" fillId="0" borderId="3">
      <alignment horizontal="right" vertical="center"/>
    </xf>
    <xf numFmtId="310" fontId="104" fillId="0" borderId="3">
      <alignment horizontal="right" vertical="center"/>
    </xf>
    <xf numFmtId="310" fontId="104" fillId="0" borderId="3">
      <alignment horizontal="right" vertical="center"/>
    </xf>
    <xf numFmtId="310" fontId="104" fillId="0" borderId="3">
      <alignment horizontal="right" vertical="center"/>
    </xf>
    <xf numFmtId="310" fontId="3" fillId="0" borderId="3">
      <alignment horizontal="right" vertical="center"/>
    </xf>
    <xf numFmtId="310" fontId="3" fillId="0" borderId="3">
      <alignment horizontal="right" vertical="center"/>
    </xf>
    <xf numFmtId="310" fontId="104" fillId="0" borderId="3">
      <alignment horizontal="right" vertical="center"/>
    </xf>
    <xf numFmtId="310" fontId="104" fillId="0" borderId="3">
      <alignment horizontal="right" vertical="center"/>
    </xf>
    <xf numFmtId="305" fontId="72" fillId="0" borderId="3">
      <alignment horizontal="right" vertical="center"/>
    </xf>
    <xf numFmtId="305" fontId="72" fillId="0" borderId="3">
      <alignment horizontal="right" vertical="center"/>
    </xf>
    <xf numFmtId="309" fontId="47" fillId="0" borderId="3">
      <alignment horizontal="right" vertical="center"/>
    </xf>
    <xf numFmtId="309" fontId="47" fillId="0" borderId="3">
      <alignment horizontal="right" vertical="center"/>
    </xf>
    <xf numFmtId="309" fontId="47" fillId="0" borderId="3">
      <alignment horizontal="right" vertical="center"/>
    </xf>
    <xf numFmtId="309" fontId="47" fillId="0" borderId="3">
      <alignment horizontal="right" vertical="center"/>
    </xf>
    <xf numFmtId="309" fontId="47" fillId="0" borderId="3">
      <alignment horizontal="right" vertical="center"/>
    </xf>
    <xf numFmtId="309" fontId="47" fillId="0" borderId="3">
      <alignment horizontal="right" vertical="center"/>
    </xf>
    <xf numFmtId="309" fontId="47" fillId="0" borderId="3">
      <alignment horizontal="right" vertical="center"/>
    </xf>
    <xf numFmtId="309" fontId="47" fillId="0" borderId="3">
      <alignment horizontal="right" vertical="center"/>
    </xf>
    <xf numFmtId="309" fontId="47" fillId="0" borderId="3">
      <alignment horizontal="right" vertical="center"/>
    </xf>
    <xf numFmtId="309" fontId="47" fillId="0" borderId="3">
      <alignment horizontal="right" vertical="center"/>
    </xf>
    <xf numFmtId="309" fontId="47" fillId="0" borderId="3">
      <alignment horizontal="right" vertical="center"/>
    </xf>
    <xf numFmtId="309" fontId="47" fillId="0" borderId="3">
      <alignment horizontal="right" vertical="center"/>
    </xf>
    <xf numFmtId="308" fontId="3" fillId="0" borderId="3">
      <alignment horizontal="right" vertical="center"/>
    </xf>
    <xf numFmtId="308" fontId="3"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236" fontId="47" fillId="0" borderId="3">
      <alignment horizontal="right" vertical="center"/>
    </xf>
    <xf numFmtId="236" fontId="47" fillId="0" borderId="3">
      <alignment horizontal="right" vertical="center"/>
    </xf>
    <xf numFmtId="236" fontId="47" fillId="0" borderId="3">
      <alignment horizontal="right" vertical="center"/>
    </xf>
    <xf numFmtId="236" fontId="47" fillId="0" borderId="3">
      <alignment horizontal="right" vertical="center"/>
    </xf>
    <xf numFmtId="236" fontId="47" fillId="0" borderId="3">
      <alignment horizontal="right" vertical="center"/>
    </xf>
    <xf numFmtId="236" fontId="47" fillId="0" borderId="3">
      <alignment horizontal="right" vertical="center"/>
    </xf>
    <xf numFmtId="236" fontId="47" fillId="0" borderId="3">
      <alignment horizontal="right" vertical="center"/>
    </xf>
    <xf numFmtId="236" fontId="47" fillId="0" borderId="3">
      <alignment horizontal="right" vertical="center"/>
    </xf>
    <xf numFmtId="236" fontId="47" fillId="0" borderId="3">
      <alignment horizontal="right" vertical="center"/>
    </xf>
    <xf numFmtId="236" fontId="47" fillId="0" borderId="3">
      <alignment horizontal="right" vertical="center"/>
    </xf>
    <xf numFmtId="236" fontId="47" fillId="0" borderId="3">
      <alignment horizontal="right" vertical="center"/>
    </xf>
    <xf numFmtId="236" fontId="47"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12" fontId="47" fillId="0" borderId="3">
      <alignment horizontal="right" vertical="center"/>
    </xf>
    <xf numFmtId="312" fontId="47" fillId="0" borderId="3">
      <alignment horizontal="right" vertical="center"/>
    </xf>
    <xf numFmtId="312" fontId="47" fillId="0" borderId="3">
      <alignment horizontal="right" vertical="center"/>
    </xf>
    <xf numFmtId="312" fontId="47" fillId="0" borderId="3">
      <alignment horizontal="right" vertical="center"/>
    </xf>
    <xf numFmtId="312" fontId="47" fillId="0" borderId="3">
      <alignment horizontal="right" vertical="center"/>
    </xf>
    <xf numFmtId="312" fontId="47"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305" fontId="72" fillId="0" borderId="3">
      <alignment horizontal="right" vertical="center"/>
    </xf>
    <xf numFmtId="305" fontId="72"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164" fontId="109" fillId="0" borderId="3">
      <alignment horizontal="right" vertical="center"/>
    </xf>
    <xf numFmtId="311" fontId="232" fillId="3" borderId="41" applyFont="0" applyFill="0" applyBorder="0"/>
    <xf numFmtId="311" fontId="232" fillId="3" borderId="41" applyFont="0" applyFill="0" applyBorder="0"/>
    <xf numFmtId="286" fontId="47" fillId="0" borderId="3">
      <alignment horizontal="right" vertical="center"/>
    </xf>
    <xf numFmtId="286" fontId="47" fillId="0" borderId="3">
      <alignment horizontal="right" vertical="center"/>
    </xf>
    <xf numFmtId="286" fontId="47" fillId="0" borderId="3">
      <alignment horizontal="right" vertical="center"/>
    </xf>
    <xf numFmtId="286" fontId="47" fillId="0" borderId="3">
      <alignment horizontal="right" vertical="center"/>
    </xf>
    <xf numFmtId="286" fontId="47" fillId="0" borderId="3">
      <alignment horizontal="right" vertical="center"/>
    </xf>
    <xf numFmtId="286" fontId="47" fillId="0" borderId="3">
      <alignment horizontal="right" vertical="center"/>
    </xf>
    <xf numFmtId="304" fontId="119" fillId="0" borderId="3">
      <alignment horizontal="right" vertical="center"/>
    </xf>
    <xf numFmtId="166" fontId="231" fillId="0" borderId="3">
      <alignment horizontal="right" vertical="center"/>
    </xf>
    <xf numFmtId="166" fontId="231" fillId="0" borderId="3">
      <alignment horizontal="right" vertical="center"/>
    </xf>
    <xf numFmtId="166" fontId="231" fillId="0" borderId="3">
      <alignment horizontal="right" vertical="center"/>
    </xf>
    <xf numFmtId="166" fontId="231" fillId="0" borderId="3">
      <alignment horizontal="right" vertical="center"/>
    </xf>
    <xf numFmtId="166" fontId="231" fillId="0" borderId="3">
      <alignment horizontal="right" vertical="center"/>
    </xf>
    <xf numFmtId="166" fontId="231" fillId="0" borderId="3">
      <alignment horizontal="right" vertical="center"/>
    </xf>
    <xf numFmtId="166" fontId="231" fillId="0" borderId="3">
      <alignment horizontal="right" vertical="center"/>
    </xf>
    <xf numFmtId="166" fontId="231" fillId="0" borderId="3">
      <alignment horizontal="right" vertical="center"/>
    </xf>
    <xf numFmtId="166" fontId="231" fillId="0" borderId="3">
      <alignment horizontal="right" vertical="center"/>
    </xf>
    <xf numFmtId="166" fontId="231" fillId="0" borderId="3">
      <alignment horizontal="right" vertical="center"/>
    </xf>
    <xf numFmtId="166" fontId="231" fillId="0" borderId="3">
      <alignment horizontal="right" vertical="center"/>
    </xf>
    <xf numFmtId="166" fontId="231" fillId="0" borderId="3">
      <alignment horizontal="right" vertical="center"/>
    </xf>
    <xf numFmtId="311" fontId="232" fillId="3" borderId="41" applyFont="0" applyFill="0" applyBorder="0"/>
    <xf numFmtId="311" fontId="232" fillId="3" borderId="41" applyFont="0" applyFill="0" applyBorder="0"/>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236" fontId="47" fillId="0" borderId="3">
      <alignment horizontal="right" vertical="center"/>
    </xf>
    <xf numFmtId="236" fontId="47" fillId="0" borderId="3">
      <alignment horizontal="right" vertical="center"/>
    </xf>
    <xf numFmtId="236" fontId="47" fillId="0" borderId="3">
      <alignment horizontal="right" vertical="center"/>
    </xf>
    <xf numFmtId="236" fontId="47" fillId="0" borderId="3">
      <alignment horizontal="right" vertical="center"/>
    </xf>
    <xf numFmtId="236" fontId="47" fillId="0" borderId="3">
      <alignment horizontal="right" vertical="center"/>
    </xf>
    <xf numFmtId="236" fontId="47" fillId="0" borderId="3">
      <alignment horizontal="right" vertical="center"/>
    </xf>
    <xf numFmtId="236" fontId="47" fillId="0" borderId="3">
      <alignment horizontal="right" vertical="center"/>
    </xf>
    <xf numFmtId="236" fontId="47" fillId="0" borderId="3">
      <alignment horizontal="right" vertical="center"/>
    </xf>
    <xf numFmtId="236" fontId="47" fillId="0" borderId="3">
      <alignment horizontal="right" vertical="center"/>
    </xf>
    <xf numFmtId="236" fontId="47" fillId="0" borderId="3">
      <alignment horizontal="right" vertical="center"/>
    </xf>
    <xf numFmtId="236" fontId="47" fillId="0" borderId="3">
      <alignment horizontal="right" vertical="center"/>
    </xf>
    <xf numFmtId="236" fontId="47"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7" fontId="10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04" fontId="119" fillId="0" borderId="3">
      <alignment horizontal="right" vertical="center"/>
    </xf>
    <xf numFmtId="313" fontId="233" fillId="0" borderId="3">
      <alignment horizontal="right" vertical="center"/>
    </xf>
    <xf numFmtId="313" fontId="233" fillId="0" borderId="3">
      <alignment horizontal="right" vertical="center"/>
    </xf>
    <xf numFmtId="304" fontId="119" fillId="0" borderId="3">
      <alignment horizontal="right" vertical="center"/>
    </xf>
    <xf numFmtId="304" fontId="119" fillId="0" borderId="3">
      <alignment horizontal="right" vertical="center"/>
    </xf>
    <xf numFmtId="313" fontId="233" fillId="0" borderId="3">
      <alignment horizontal="right" vertical="center"/>
    </xf>
    <xf numFmtId="313" fontId="233" fillId="0" borderId="3">
      <alignment horizontal="right" vertical="center"/>
    </xf>
    <xf numFmtId="313" fontId="233" fillId="0" borderId="3">
      <alignment horizontal="right" vertical="center"/>
    </xf>
    <xf numFmtId="313" fontId="233" fillId="0" borderId="3">
      <alignment horizontal="right" vertical="center"/>
    </xf>
    <xf numFmtId="313" fontId="233" fillId="0" borderId="3">
      <alignment horizontal="right" vertical="center"/>
    </xf>
    <xf numFmtId="313" fontId="233" fillId="0" borderId="3">
      <alignment horizontal="right" vertical="center"/>
    </xf>
    <xf numFmtId="313" fontId="233" fillId="0" borderId="3">
      <alignment horizontal="right" vertical="center"/>
    </xf>
    <xf numFmtId="313" fontId="233" fillId="0" borderId="3">
      <alignment horizontal="right" vertical="center"/>
    </xf>
    <xf numFmtId="313" fontId="233" fillId="0" borderId="3">
      <alignment horizontal="right" vertical="center"/>
    </xf>
    <xf numFmtId="313" fontId="233" fillId="0" borderId="3">
      <alignment horizontal="right" vertical="center"/>
    </xf>
    <xf numFmtId="313" fontId="233" fillId="0" borderId="3">
      <alignment horizontal="right" vertical="center"/>
    </xf>
    <xf numFmtId="313" fontId="233" fillId="0" borderId="3">
      <alignment horizontal="right" vertical="center"/>
    </xf>
    <xf numFmtId="313" fontId="233" fillId="0" borderId="3">
      <alignment horizontal="right" vertical="center"/>
    </xf>
    <xf numFmtId="313" fontId="233" fillId="0" borderId="3">
      <alignment horizontal="right" vertical="center"/>
    </xf>
    <xf numFmtId="313" fontId="233" fillId="0" borderId="3">
      <alignment horizontal="right" vertical="center"/>
    </xf>
    <xf numFmtId="313" fontId="233" fillId="0" borderId="3">
      <alignment horizontal="right" vertical="center"/>
    </xf>
    <xf numFmtId="313" fontId="233" fillId="0" borderId="3">
      <alignment horizontal="right" vertical="center"/>
    </xf>
    <xf numFmtId="313" fontId="233" fillId="0" borderId="3">
      <alignment horizontal="right" vertical="center"/>
    </xf>
    <xf numFmtId="304" fontId="119" fillId="0" borderId="3">
      <alignment horizontal="right" vertical="center"/>
    </xf>
    <xf numFmtId="304" fontId="119" fillId="0" borderId="3">
      <alignment horizontal="right" vertical="center"/>
    </xf>
    <xf numFmtId="305" fontId="72" fillId="0" borderId="3">
      <alignment horizontal="right" vertical="center"/>
    </xf>
    <xf numFmtId="305" fontId="72" fillId="0" borderId="3">
      <alignment horizontal="right" vertical="center"/>
    </xf>
    <xf numFmtId="49" fontId="84" fillId="0" borderId="0" applyFill="0" applyBorder="0" applyAlignment="0"/>
    <xf numFmtId="0" fontId="104" fillId="0" borderId="0" applyFill="0" applyBorder="0" applyAlignment="0"/>
    <xf numFmtId="314" fontId="3" fillId="0" borderId="0" applyFill="0" applyBorder="0" applyAlignment="0"/>
    <xf numFmtId="314" fontId="3" fillId="0" borderId="0" applyFill="0" applyBorder="0" applyAlignment="0"/>
    <xf numFmtId="314" fontId="3" fillId="0" borderId="0" applyFill="0" applyBorder="0" applyAlignment="0"/>
    <xf numFmtId="314" fontId="3" fillId="0" borderId="0" applyFill="0" applyBorder="0" applyAlignment="0"/>
    <xf numFmtId="314" fontId="3" fillId="0" borderId="0" applyFill="0" applyBorder="0" applyAlignment="0"/>
    <xf numFmtId="314" fontId="3" fillId="0" borderId="0" applyFill="0" applyBorder="0" applyAlignment="0"/>
    <xf numFmtId="314" fontId="3" fillId="0" borderId="0" applyFill="0" applyBorder="0" applyAlignment="0"/>
    <xf numFmtId="314" fontId="3" fillId="0" borderId="0" applyFill="0" applyBorder="0" applyAlignment="0"/>
    <xf numFmtId="314" fontId="3" fillId="0" borderId="0" applyFill="0" applyBorder="0" applyAlignment="0"/>
    <xf numFmtId="314" fontId="3" fillId="0" borderId="0" applyFill="0" applyBorder="0" applyAlignment="0"/>
    <xf numFmtId="314" fontId="3" fillId="0" borderId="0" applyFill="0" applyBorder="0" applyAlignment="0"/>
    <xf numFmtId="314" fontId="3" fillId="0" borderId="0" applyFill="0" applyBorder="0" applyAlignment="0"/>
    <xf numFmtId="314" fontId="3" fillId="0" borderId="0" applyFill="0" applyBorder="0" applyAlignment="0"/>
    <xf numFmtId="314" fontId="3" fillId="0" borderId="0" applyFill="0" applyBorder="0" applyAlignment="0"/>
    <xf numFmtId="314" fontId="3" fillId="0" borderId="0" applyFill="0" applyBorder="0" applyAlignment="0"/>
    <xf numFmtId="312" fontId="104" fillId="0" borderId="0" applyFill="0" applyBorder="0" applyAlignment="0"/>
    <xf numFmtId="315" fontId="3" fillId="0" borderId="0" applyFill="0" applyBorder="0" applyAlignment="0"/>
    <xf numFmtId="315" fontId="3" fillId="0" borderId="0" applyFill="0" applyBorder="0" applyAlignment="0"/>
    <xf numFmtId="315" fontId="3" fillId="0" borderId="0" applyFill="0" applyBorder="0" applyAlignment="0"/>
    <xf numFmtId="315" fontId="3" fillId="0" borderId="0" applyFill="0" applyBorder="0" applyAlignment="0"/>
    <xf numFmtId="315" fontId="3" fillId="0" borderId="0" applyFill="0" applyBorder="0" applyAlignment="0"/>
    <xf numFmtId="315" fontId="3" fillId="0" borderId="0" applyFill="0" applyBorder="0" applyAlignment="0"/>
    <xf numFmtId="315" fontId="3" fillId="0" borderId="0" applyFill="0" applyBorder="0" applyAlignment="0"/>
    <xf numFmtId="315" fontId="3" fillId="0" borderId="0" applyFill="0" applyBorder="0" applyAlignment="0"/>
    <xf numFmtId="315" fontId="3" fillId="0" borderId="0" applyFill="0" applyBorder="0" applyAlignment="0"/>
    <xf numFmtId="315" fontId="3" fillId="0" borderId="0" applyFill="0" applyBorder="0" applyAlignment="0"/>
    <xf numFmtId="315" fontId="3" fillId="0" borderId="0" applyFill="0" applyBorder="0" applyAlignment="0"/>
    <xf numFmtId="315" fontId="3" fillId="0" borderId="0" applyFill="0" applyBorder="0" applyAlignment="0"/>
    <xf numFmtId="315" fontId="3" fillId="0" borderId="0" applyFill="0" applyBorder="0" applyAlignment="0"/>
    <xf numFmtId="315" fontId="3" fillId="0" borderId="0" applyFill="0" applyBorder="0" applyAlignment="0"/>
    <xf numFmtId="315" fontId="3" fillId="0" borderId="0" applyFill="0" applyBorder="0" applyAlignment="0"/>
    <xf numFmtId="0" fontId="234" fillId="0" borderId="0" applyFill="0" applyBorder="0" applyProtection="0">
      <alignment horizontal="left" vertical="top"/>
    </xf>
    <xf numFmtId="0" fontId="235" fillId="0" borderId="16">
      <alignment horizontal="center" vertical="center" wrapText="1"/>
    </xf>
    <xf numFmtId="0" fontId="236" fillId="0" borderId="0">
      <alignment horizontal="center"/>
    </xf>
    <xf numFmtId="40" fontId="161" fillId="0" borderId="0"/>
    <xf numFmtId="3" fontId="237" fillId="0" borderId="0" applyNumberFormat="0" applyFill="0" applyBorder="0" applyAlignment="0" applyProtection="0">
      <alignment horizontal="center" wrapText="1"/>
    </xf>
    <xf numFmtId="0" fontId="238" fillId="0" borderId="6" applyBorder="0" applyAlignment="0">
      <alignment horizontal="center" vertical="center"/>
    </xf>
    <xf numFmtId="0" fontId="238" fillId="0" borderId="6" applyBorder="0" applyAlignment="0">
      <alignment horizontal="center" vertical="center"/>
    </xf>
    <xf numFmtId="0" fontId="239" fillId="0" borderId="0" applyNumberFormat="0" applyFill="0" applyBorder="0" applyAlignment="0" applyProtection="0">
      <alignment horizontal="centerContinuous"/>
    </xf>
    <xf numFmtId="0" fontId="163" fillId="0" borderId="42" applyNumberFormat="0" applyFill="0" applyBorder="0" applyAlignment="0" applyProtection="0">
      <alignment horizontal="center" vertical="center" wrapText="1"/>
    </xf>
    <xf numFmtId="0" fontId="240" fillId="0" borderId="0" applyNumberFormat="0" applyFill="0" applyBorder="0" applyAlignment="0" applyProtection="0"/>
    <xf numFmtId="3" fontId="241" fillId="0" borderId="8" applyNumberFormat="0" applyAlignment="0">
      <alignment horizontal="center" vertical="center"/>
    </xf>
    <xf numFmtId="3" fontId="242" fillId="0" borderId="16" applyNumberFormat="0" applyAlignment="0">
      <alignment horizontal="left" wrapText="1"/>
    </xf>
    <xf numFmtId="3" fontId="241" fillId="0" borderId="8" applyNumberFormat="0" applyAlignment="0">
      <alignment horizontal="center" vertical="center"/>
    </xf>
    <xf numFmtId="0" fontId="243" fillId="0" borderId="43" applyNumberFormat="0" applyBorder="0" applyAlignment="0">
      <alignment vertical="center"/>
    </xf>
    <xf numFmtId="0" fontId="244" fillId="0" borderId="44" applyNumberFormat="0" applyFill="0" applyAlignment="0" applyProtection="0"/>
    <xf numFmtId="0" fontId="245" fillId="0" borderId="45">
      <alignment horizontal="center"/>
    </xf>
    <xf numFmtId="167" fontId="104" fillId="0" borderId="0" applyFont="0" applyFill="0" applyBorder="0" applyAlignment="0" applyProtection="0"/>
    <xf numFmtId="316" fontId="104" fillId="0" borderId="0" applyFont="0" applyFill="0" applyBorder="0" applyAlignment="0" applyProtection="0"/>
    <xf numFmtId="180" fontId="119" fillId="0" borderId="3">
      <alignment horizontal="center"/>
    </xf>
    <xf numFmtId="180" fontId="119" fillId="0" borderId="3">
      <alignment horizontal="center"/>
    </xf>
    <xf numFmtId="0" fontId="246" fillId="0" borderId="46" applyProtection="0"/>
    <xf numFmtId="0" fontId="119" fillId="0" borderId="0" applyProtection="0"/>
    <xf numFmtId="0" fontId="3" fillId="0" borderId="0" applyProtection="0"/>
    <xf numFmtId="0" fontId="128" fillId="0" borderId="0" applyProtection="0"/>
    <xf numFmtId="0" fontId="246" fillId="0" borderId="46" applyProtection="0"/>
    <xf numFmtId="0" fontId="119" fillId="0" borderId="0" applyProtection="0"/>
    <xf numFmtId="0" fontId="3" fillId="0" borderId="0" applyProtection="0"/>
    <xf numFmtId="0" fontId="128" fillId="0" borderId="0" applyProtection="0"/>
    <xf numFmtId="317" fontId="247" fillId="0" borderId="0" applyNumberFormat="0" applyFont="0" applyFill="0" applyBorder="0" applyAlignment="0">
      <alignment horizontal="centerContinuous"/>
    </xf>
    <xf numFmtId="0" fontId="75" fillId="0" borderId="0">
      <alignment vertical="center" wrapText="1"/>
      <protection locked="0"/>
    </xf>
    <xf numFmtId="0" fontId="246" fillId="0" borderId="47"/>
    <xf numFmtId="0" fontId="246" fillId="0" borderId="47"/>
    <xf numFmtId="0" fontId="119" fillId="0" borderId="0" applyNumberFormat="0" applyFill="0" applyBorder="0" applyAlignment="0" applyProtection="0"/>
    <xf numFmtId="0" fontId="119" fillId="0" borderId="0" applyNumberFormat="0" applyFill="0" applyBorder="0" applyAlignment="0" applyProtection="0"/>
    <xf numFmtId="0" fontId="104"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93" fillId="0" borderId="16" applyNumberFormat="0" applyBorder="0" applyAlignment="0"/>
    <xf numFmtId="0" fontId="248" fillId="0" borderId="34" applyNumberFormat="0" applyBorder="0" applyAlignment="0">
      <alignment horizontal="center"/>
    </xf>
    <xf numFmtId="0" fontId="248" fillId="0" borderId="34" applyNumberFormat="0" applyBorder="0" applyAlignment="0">
      <alignment horizontal="center"/>
    </xf>
    <xf numFmtId="3" fontId="249" fillId="0" borderId="17" applyNumberFormat="0" applyBorder="0" applyAlignment="0"/>
    <xf numFmtId="0" fontId="186" fillId="0" borderId="48" applyNumberFormat="0" applyAlignment="0">
      <alignment horizontal="center"/>
    </xf>
    <xf numFmtId="245" fontId="176" fillId="0" borderId="0" applyFont="0" applyFill="0" applyBorder="0" applyAlignment="0" applyProtection="0"/>
    <xf numFmtId="187" fontId="104" fillId="0" borderId="0" applyFont="0" applyFill="0" applyBorder="0" applyAlignment="0" applyProtection="0"/>
    <xf numFmtId="318" fontId="104" fillId="0" borderId="0" applyFont="0" applyFill="0" applyBorder="0" applyAlignment="0" applyProtection="0"/>
    <xf numFmtId="0" fontId="82" fillId="0" borderId="49">
      <alignment horizontal="center"/>
    </xf>
    <xf numFmtId="0" fontId="82" fillId="0" borderId="49">
      <alignment horizontal="center"/>
    </xf>
    <xf numFmtId="312" fontId="119" fillId="0" borderId="0"/>
    <xf numFmtId="319" fontId="119" fillId="0" borderId="2"/>
    <xf numFmtId="319" fontId="119" fillId="0" borderId="2"/>
    <xf numFmtId="0" fontId="250" fillId="0" borderId="0"/>
    <xf numFmtId="0" fontId="250" fillId="0" borderId="0" applyProtection="0"/>
    <xf numFmtId="0" fontId="190" fillId="0" borderId="0"/>
    <xf numFmtId="0" fontId="251" fillId="0" borderId="0"/>
    <xf numFmtId="0" fontId="190" fillId="0" borderId="0"/>
    <xf numFmtId="3" fontId="119" fillId="0" borderId="0" applyNumberFormat="0" applyBorder="0" applyAlignment="0" applyProtection="0">
      <alignment horizontal="centerContinuous"/>
      <protection locked="0"/>
    </xf>
    <xf numFmtId="3" fontId="252" fillId="0" borderId="0">
      <protection locked="0"/>
    </xf>
    <xf numFmtId="3" fontId="92" fillId="0" borderId="0">
      <protection locked="0"/>
    </xf>
    <xf numFmtId="3" fontId="92" fillId="0" borderId="0">
      <protection locked="0"/>
    </xf>
    <xf numFmtId="0" fontId="250" fillId="0" borderId="0"/>
    <xf numFmtId="0" fontId="250" fillId="0" borderId="0" applyProtection="0"/>
    <xf numFmtId="0" fontId="190" fillId="0" borderId="0"/>
    <xf numFmtId="0" fontId="251" fillId="0" borderId="0"/>
    <xf numFmtId="0" fontId="190" fillId="0" borderId="0"/>
    <xf numFmtId="0" fontId="253" fillId="0" borderId="50" applyFill="0" applyBorder="0" applyAlignment="0">
      <alignment horizontal="center"/>
    </xf>
    <xf numFmtId="170" fontId="254" fillId="46" borderId="6">
      <alignment vertical="top"/>
    </xf>
    <xf numFmtId="170" fontId="254" fillId="46" borderId="6">
      <alignment vertical="top"/>
    </xf>
    <xf numFmtId="245" fontId="254" fillId="46" borderId="6">
      <alignment vertical="top"/>
    </xf>
    <xf numFmtId="170" fontId="71" fillId="0" borderId="8">
      <alignment horizontal="left" vertical="top"/>
    </xf>
    <xf numFmtId="245" fontId="71" fillId="0" borderId="8">
      <alignment horizontal="left" vertical="top"/>
    </xf>
    <xf numFmtId="245" fontId="71" fillId="0" borderId="8">
      <alignment horizontal="left" vertical="top"/>
    </xf>
    <xf numFmtId="245" fontId="71" fillId="0" borderId="8">
      <alignment horizontal="left" vertical="top"/>
    </xf>
    <xf numFmtId="245" fontId="71" fillId="0" borderId="8">
      <alignment horizontal="left" vertical="top"/>
    </xf>
    <xf numFmtId="245" fontId="71" fillId="0" borderId="8">
      <alignment horizontal="left" vertical="top"/>
    </xf>
    <xf numFmtId="245" fontId="71" fillId="0" borderId="8">
      <alignment horizontal="left" vertical="top"/>
    </xf>
    <xf numFmtId="245" fontId="255" fillId="0" borderId="8">
      <alignment horizontal="left" vertical="top"/>
    </xf>
    <xf numFmtId="245" fontId="71" fillId="0" borderId="8">
      <alignment horizontal="left" vertical="top"/>
    </xf>
    <xf numFmtId="245" fontId="71" fillId="0" borderId="8">
      <alignment horizontal="left" vertical="top"/>
    </xf>
    <xf numFmtId="245" fontId="71" fillId="0" borderId="8">
      <alignment horizontal="left" vertical="top"/>
    </xf>
    <xf numFmtId="245" fontId="71" fillId="0" borderId="8">
      <alignment horizontal="left" vertical="top"/>
    </xf>
    <xf numFmtId="245" fontId="71" fillId="0" borderId="8">
      <alignment horizontal="left" vertical="top"/>
    </xf>
    <xf numFmtId="245" fontId="71" fillId="0" borderId="8">
      <alignment horizontal="left" vertical="top"/>
    </xf>
    <xf numFmtId="245" fontId="71" fillId="0" borderId="8">
      <alignment horizontal="left" vertical="top"/>
    </xf>
    <xf numFmtId="245" fontId="71" fillId="0" borderId="8">
      <alignment horizontal="left" vertical="top"/>
    </xf>
    <xf numFmtId="245" fontId="71" fillId="0" borderId="8">
      <alignment horizontal="left" vertical="top"/>
    </xf>
    <xf numFmtId="0" fontId="256" fillId="0" borderId="8">
      <alignment horizontal="left" vertical="center"/>
    </xf>
    <xf numFmtId="0" fontId="257" fillId="47" borderId="2">
      <alignment horizontal="left" vertical="center"/>
    </xf>
    <xf numFmtId="0" fontId="257" fillId="47" borderId="2">
      <alignment horizontal="left" vertical="center"/>
    </xf>
    <xf numFmtId="171" fontId="258" fillId="48" borderId="6"/>
    <xf numFmtId="171" fontId="258" fillId="48" borderId="6"/>
    <xf numFmtId="236" fontId="258" fillId="48" borderId="6"/>
    <xf numFmtId="170" fontId="174" fillId="0" borderId="6">
      <alignment horizontal="left" vertical="top"/>
    </xf>
    <xf numFmtId="170" fontId="174" fillId="0" borderId="6">
      <alignment horizontal="left" vertical="top"/>
    </xf>
    <xf numFmtId="245" fontId="259" fillId="0" borderId="6">
      <alignment horizontal="left" vertical="top"/>
    </xf>
    <xf numFmtId="0" fontId="260" fillId="49" borderId="0">
      <alignment horizontal="left" vertical="center"/>
    </xf>
    <xf numFmtId="0" fontId="3" fillId="0" borderId="0" applyFont="0" applyFill="0" applyBorder="0" applyAlignment="0" applyProtection="0"/>
    <xf numFmtId="0" fontId="3" fillId="0" borderId="0" applyFont="0" applyFill="0" applyBorder="0" applyAlignment="0" applyProtection="0"/>
    <xf numFmtId="320" fontId="3" fillId="0" borderId="0" applyFont="0" applyFill="0" applyBorder="0" applyAlignment="0" applyProtection="0"/>
    <xf numFmtId="321" fontId="3" fillId="0" borderId="0" applyFont="0" applyFill="0" applyBorder="0" applyAlignment="0" applyProtection="0"/>
    <xf numFmtId="172" fontId="145" fillId="0" borderId="0" applyFont="0" applyFill="0" applyBorder="0" applyAlignment="0" applyProtection="0"/>
    <xf numFmtId="174" fontId="145" fillId="0" borderId="0" applyFont="0" applyFill="0" applyBorder="0" applyAlignment="0" applyProtection="0"/>
    <xf numFmtId="0" fontId="261" fillId="0" borderId="0" applyNumberFormat="0" applyFill="0" applyBorder="0" applyAlignment="0" applyProtection="0"/>
    <xf numFmtId="0" fontId="262" fillId="0" borderId="0" applyNumberFormat="0" applyFont="0" applyFill="0" applyBorder="0" applyProtection="0">
      <alignment horizontal="center" vertical="center" wrapText="1"/>
    </xf>
    <xf numFmtId="0" fontId="3" fillId="0" borderId="0" applyFont="0" applyFill="0" applyBorder="0" applyAlignment="0" applyProtection="0"/>
    <xf numFmtId="0" fontId="3" fillId="0" borderId="0" applyFont="0" applyFill="0" applyBorder="0" applyAlignment="0" applyProtection="0"/>
    <xf numFmtId="0" fontId="263" fillId="0" borderId="51" applyNumberFormat="0" applyFont="0" applyAlignment="0">
      <alignment horizontal="center"/>
    </xf>
    <xf numFmtId="0" fontId="264" fillId="0" borderId="0" applyNumberFormat="0" applyFill="0" applyBorder="0" applyAlignment="0" applyProtection="0"/>
    <xf numFmtId="0" fontId="109" fillId="0" borderId="52" applyFont="0" applyBorder="0" applyAlignment="0">
      <alignment horizontal="center"/>
    </xf>
    <xf numFmtId="0" fontId="109" fillId="0" borderId="52" applyFont="0" applyBorder="0" applyAlignment="0">
      <alignment horizontal="center"/>
    </xf>
    <xf numFmtId="167" fontId="47" fillId="0" borderId="0" applyFont="0" applyFill="0" applyBorder="0" applyAlignment="0" applyProtection="0"/>
    <xf numFmtId="172" fontId="265" fillId="0" borderId="0" applyFont="0" applyFill="0" applyBorder="0" applyAlignment="0" applyProtection="0"/>
    <xf numFmtId="174" fontId="265" fillId="0" borderId="0" applyFont="0" applyFill="0" applyBorder="0" applyAlignment="0" applyProtection="0"/>
    <xf numFmtId="0" fontId="265" fillId="0" borderId="0"/>
    <xf numFmtId="0" fontId="266" fillId="0" borderId="0" applyFont="0" applyFill="0" applyBorder="0" applyAlignment="0" applyProtection="0"/>
    <xf numFmtId="0" fontId="266" fillId="0" borderId="0" applyFont="0" applyFill="0" applyBorder="0" applyAlignment="0" applyProtection="0"/>
    <xf numFmtId="0" fontId="37" fillId="0" borderId="0">
      <alignment vertical="center"/>
    </xf>
    <xf numFmtId="40" fontId="267" fillId="0" borderId="0" applyFont="0" applyFill="0" applyBorder="0" applyAlignment="0" applyProtection="0"/>
    <xf numFmtId="38" fontId="267" fillId="0" borderId="0" applyFont="0" applyFill="0" applyBorder="0" applyAlignment="0" applyProtection="0"/>
    <xf numFmtId="0" fontId="267" fillId="0" borderId="0" applyFont="0" applyFill="0" applyBorder="0" applyAlignment="0" applyProtection="0"/>
    <xf numFmtId="0" fontId="267" fillId="0" borderId="0" applyFont="0" applyFill="0" applyBorder="0" applyAlignment="0" applyProtection="0"/>
    <xf numFmtId="9" fontId="268" fillId="0" borderId="0" applyBorder="0" applyAlignment="0" applyProtection="0"/>
    <xf numFmtId="0" fontId="269" fillId="0" borderId="0"/>
    <xf numFmtId="0" fontId="270" fillId="0" borderId="19"/>
    <xf numFmtId="191" fontId="67" fillId="0" borderId="0" applyFont="0" applyFill="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193" fillId="0" borderId="0" applyFont="0" applyFill="0" applyBorder="0" applyAlignment="0" applyProtection="0"/>
    <xf numFmtId="0" fontId="193" fillId="0" borderId="0" applyFont="0" applyFill="0" applyBorder="0" applyAlignment="0" applyProtection="0"/>
    <xf numFmtId="187" fontId="3" fillId="0" borderId="0" applyFont="0" applyFill="0" applyBorder="0" applyAlignment="0" applyProtection="0"/>
    <xf numFmtId="222" fontId="3" fillId="0" borderId="0" applyFont="0" applyFill="0" applyBorder="0" applyAlignment="0" applyProtection="0"/>
    <xf numFmtId="0" fontId="193" fillId="0" borderId="0"/>
    <xf numFmtId="0" fontId="193" fillId="0" borderId="0"/>
    <xf numFmtId="0" fontId="271" fillId="0" borderId="0"/>
    <xf numFmtId="0" fontId="90" fillId="0" borderId="0"/>
    <xf numFmtId="167" fontId="69" fillId="0" borderId="0" applyFont="0" applyFill="0" applyBorder="0" applyAlignment="0" applyProtection="0"/>
    <xf numFmtId="168" fontId="69" fillId="0" borderId="0" applyFont="0" applyFill="0" applyBorder="0" applyAlignment="0" applyProtection="0"/>
    <xf numFmtId="175" fontId="3" fillId="0" borderId="0" applyFont="0" applyFill="0" applyBorder="0" applyAlignment="0" applyProtection="0"/>
    <xf numFmtId="173" fontId="3" fillId="0" borderId="0" applyFont="0" applyFill="0" applyBorder="0" applyAlignment="0" applyProtection="0"/>
    <xf numFmtId="0" fontId="3" fillId="0" borderId="0"/>
    <xf numFmtId="187" fontId="69" fillId="0" borderId="0" applyFont="0" applyFill="0" applyBorder="0" applyAlignment="0" applyProtection="0"/>
    <xf numFmtId="171" fontId="78" fillId="0" borderId="0" applyFont="0" applyFill="0" applyBorder="0" applyAlignment="0" applyProtection="0"/>
    <xf numFmtId="222" fontId="69" fillId="0" borderId="0" applyFont="0" applyFill="0" applyBorder="0" applyAlignment="0" applyProtection="0"/>
    <xf numFmtId="174" fontId="3" fillId="0" borderId="0" applyFont="0" applyFill="0" applyBorder="0" applyAlignment="0" applyProtection="0"/>
    <xf numFmtId="172" fontId="3" fillId="0" borderId="0" applyFont="0" applyFill="0" applyBorder="0" applyAlignment="0" applyProtection="0"/>
    <xf numFmtId="0" fontId="1" fillId="0" borderId="0"/>
    <xf numFmtId="0" fontId="1" fillId="0" borderId="0"/>
    <xf numFmtId="0" fontId="68" fillId="0" borderId="0"/>
    <xf numFmtId="43" fontId="68" fillId="0" borderId="0" applyFont="0" applyFill="0" applyBorder="0" applyAlignment="0" applyProtection="0"/>
    <xf numFmtId="175" fontId="272" fillId="0" borderId="0" applyFont="0" applyFill="0" applyBorder="0" applyAlignment="0" applyProtection="0"/>
    <xf numFmtId="175" fontId="272" fillId="0" borderId="0" applyFont="0" applyFill="0" applyBorder="0" applyAlignment="0" applyProtection="0"/>
    <xf numFmtId="175" fontId="68" fillId="0" borderId="0" applyFont="0" applyFill="0" applyBorder="0" applyAlignment="0" applyProtection="0"/>
    <xf numFmtId="175" fontId="272" fillId="0" borderId="0" applyFont="0" applyFill="0" applyBorder="0" applyAlignment="0" applyProtection="0"/>
    <xf numFmtId="175" fontId="272" fillId="0" borderId="0" applyFont="0" applyFill="0" applyBorder="0" applyAlignment="0" applyProtection="0"/>
    <xf numFmtId="175" fontId="272" fillId="0" borderId="0" applyFont="0" applyFill="0" applyBorder="0" applyAlignment="0" applyProtection="0"/>
    <xf numFmtId="175" fontId="272" fillId="0" borderId="0" applyFont="0" applyFill="0" applyBorder="0" applyAlignment="0" applyProtection="0"/>
    <xf numFmtId="168" fontId="41" fillId="0" borderId="0" applyFont="0" applyFill="0" applyBorder="0" applyAlignment="0" applyProtection="0"/>
    <xf numFmtId="175" fontId="272" fillId="0" borderId="0" applyFont="0" applyFill="0" applyBorder="0" applyAlignment="0" applyProtection="0"/>
    <xf numFmtId="175" fontId="272" fillId="0" borderId="0" applyFont="0" applyFill="0" applyBorder="0" applyAlignment="0" applyProtection="0"/>
    <xf numFmtId="0" fontId="37" fillId="0" borderId="0"/>
    <xf numFmtId="175" fontId="272" fillId="0" borderId="0" applyFont="0" applyFill="0" applyBorder="0" applyAlignment="0" applyProtection="0"/>
    <xf numFmtId="175" fontId="272" fillId="0" borderId="0" applyFont="0" applyFill="0" applyBorder="0" applyAlignment="0" applyProtection="0"/>
    <xf numFmtId="0" fontId="1" fillId="0" borderId="0"/>
    <xf numFmtId="169" fontId="5" fillId="0" borderId="0" applyFont="0" applyFill="0" applyBorder="0" applyAlignment="0" applyProtection="0"/>
    <xf numFmtId="0" fontId="41" fillId="0" borderId="0"/>
    <xf numFmtId="43" fontId="5" fillId="0" borderId="0" applyFont="0" applyFill="0" applyBorder="0" applyAlignment="0" applyProtection="0"/>
    <xf numFmtId="9"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69" fontId="5" fillId="0" borderId="0" applyFont="0" applyFill="0" applyBorder="0" applyAlignment="0" applyProtection="0"/>
    <xf numFmtId="169" fontId="41" fillId="0" borderId="0" applyProtection="0"/>
    <xf numFmtId="169" fontId="68" fillId="0" borderId="0" applyFont="0" applyFill="0" applyBorder="0" applyAlignment="0" applyProtection="0"/>
    <xf numFmtId="0" fontId="41" fillId="0" borderId="0"/>
    <xf numFmtId="0" fontId="3" fillId="0" borderId="0"/>
    <xf numFmtId="169" fontId="5" fillId="0" borderId="0" applyFont="0" applyFill="0" applyBorder="0" applyAlignment="0" applyProtection="0"/>
    <xf numFmtId="0" fontId="68" fillId="0" borderId="0" applyProtection="0"/>
    <xf numFmtId="0" fontId="3" fillId="0" borderId="0" applyProtection="0"/>
    <xf numFmtId="0" fontId="3" fillId="0" borderId="0" applyProtection="0"/>
    <xf numFmtId="0" fontId="3" fillId="0" borderId="0" applyProtection="0"/>
    <xf numFmtId="0" fontId="68" fillId="0" borderId="0" applyProtection="0"/>
    <xf numFmtId="0" fontId="41" fillId="0" borderId="0"/>
    <xf numFmtId="0" fontId="41" fillId="0" borderId="0"/>
    <xf numFmtId="0" fontId="3" fillId="0" borderId="0"/>
    <xf numFmtId="0" fontId="3" fillId="0" borderId="0"/>
    <xf numFmtId="0" fontId="68" fillId="0" borderId="0"/>
    <xf numFmtId="0" fontId="136" fillId="0" borderId="0"/>
    <xf numFmtId="0" fontId="3" fillId="0" borderId="0"/>
    <xf numFmtId="0" fontId="3" fillId="0" borderId="0">
      <alignment vertical="center"/>
    </xf>
    <xf numFmtId="0" fontId="194" fillId="0" borderId="0"/>
    <xf numFmtId="0" fontId="3" fillId="0" borderId="0" applyFont="0" applyFill="0" applyBorder="0" applyAlignment="0" applyProtection="0">
      <alignment vertical="center"/>
    </xf>
    <xf numFmtId="0" fontId="109" fillId="0" borderId="0"/>
    <xf numFmtId="0" fontId="3" fillId="0" borderId="0"/>
    <xf numFmtId="169" fontId="41" fillId="0" borderId="0" applyFont="0" applyFill="0" applyBorder="0" applyAlignment="0" applyProtection="0">
      <alignment vertical="center"/>
    </xf>
    <xf numFmtId="0" fontId="41" fillId="0" borderId="0"/>
    <xf numFmtId="0" fontId="41" fillId="0" borderId="0"/>
    <xf numFmtId="0" fontId="3" fillId="0" borderId="0"/>
    <xf numFmtId="0" fontId="41" fillId="0" borderId="0"/>
  </cellStyleXfs>
  <cellXfs count="1839">
    <xf numFmtId="0" fontId="0" fillId="0" borderId="0" xfId="0"/>
    <xf numFmtId="0" fontId="6" fillId="0" borderId="0" xfId="0" applyFont="1" applyAlignment="1">
      <alignment vertical="center" wrapText="1"/>
    </xf>
    <xf numFmtId="0" fontId="7" fillId="0" borderId="0" xfId="0" applyFont="1" applyAlignment="1">
      <alignment vertical="center" wrapText="1" readingOrder="1"/>
    </xf>
    <xf numFmtId="1" fontId="8" fillId="0" borderId="0" xfId="1" applyNumberFormat="1" applyFont="1" applyFill="1" applyAlignment="1">
      <alignment horizontal="right" vertical="center"/>
    </xf>
    <xf numFmtId="0" fontId="9" fillId="0" borderId="0" xfId="0" applyFont="1" applyAlignment="1">
      <alignment vertical="center" wrapText="1" readingOrder="1"/>
    </xf>
    <xf numFmtId="0" fontId="10" fillId="0" borderId="0" xfId="0" applyFont="1" applyAlignment="1">
      <alignment vertical="center" wrapText="1"/>
    </xf>
    <xf numFmtId="0" fontId="6" fillId="0" borderId="0" xfId="0" applyFont="1" applyBorder="1" applyAlignment="1">
      <alignment vertical="center" wrapText="1"/>
    </xf>
    <xf numFmtId="0" fontId="6" fillId="0" borderId="0" xfId="0" applyFont="1" applyAlignment="1">
      <alignment horizontal="center" vertical="center" wrapText="1"/>
    </xf>
    <xf numFmtId="0" fontId="6"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6" fillId="0" borderId="2" xfId="0" applyFont="1" applyBorder="1" applyAlignment="1">
      <alignment vertical="center" wrapText="1"/>
    </xf>
    <xf numFmtId="0" fontId="10" fillId="0" borderId="2" xfId="0" applyFont="1" applyBorder="1" applyAlignment="1">
      <alignment horizontal="left" vertical="center" wrapText="1"/>
    </xf>
    <xf numFmtId="0" fontId="10" fillId="0" borderId="2" xfId="0" applyFont="1" applyBorder="1" applyAlignment="1">
      <alignment vertical="center" wrapText="1"/>
    </xf>
    <xf numFmtId="1" fontId="8" fillId="0" borderId="0" xfId="1" applyNumberFormat="1" applyFont="1" applyFill="1" applyAlignment="1">
      <alignment vertical="center"/>
    </xf>
    <xf numFmtId="1" fontId="15" fillId="0" borderId="0" xfId="1" applyNumberFormat="1" applyFont="1" applyFill="1" applyAlignment="1">
      <alignment vertical="center"/>
    </xf>
    <xf numFmtId="1" fontId="18" fillId="0" borderId="0" xfId="1" applyNumberFormat="1" applyFont="1" applyFill="1" applyAlignment="1">
      <alignment vertical="center"/>
    </xf>
    <xf numFmtId="1" fontId="18" fillId="0" borderId="0" xfId="1" applyNumberFormat="1" applyFont="1" applyFill="1" applyBorder="1" applyAlignment="1">
      <alignment vertical="center"/>
    </xf>
    <xf numFmtId="3" fontId="8" fillId="0" borderId="0" xfId="1" applyNumberFormat="1" applyFont="1" applyBorder="1" applyAlignment="1">
      <alignment horizontal="center" vertical="center" wrapText="1"/>
    </xf>
    <xf numFmtId="3" fontId="8" fillId="0" borderId="0" xfId="1" applyNumberFormat="1" applyFont="1" applyBorder="1" applyAlignment="1">
      <alignment horizontal="center" vertical="center" wrapText="1"/>
    </xf>
    <xf numFmtId="3" fontId="8" fillId="0" borderId="2" xfId="1" quotePrefix="1" applyNumberFormat="1" applyFont="1" applyFill="1" applyBorder="1" applyAlignment="1">
      <alignment horizontal="center" vertical="center" wrapText="1"/>
    </xf>
    <xf numFmtId="3" fontId="8" fillId="0" borderId="0" xfId="1" applyNumberFormat="1" applyFont="1" applyFill="1" applyBorder="1" applyAlignment="1">
      <alignment vertical="center" wrapText="1"/>
    </xf>
    <xf numFmtId="3" fontId="16" fillId="0" borderId="2" xfId="1" applyNumberFormat="1" applyFont="1" applyFill="1" applyBorder="1" applyAlignment="1">
      <alignment horizontal="center" vertical="center" wrapText="1"/>
    </xf>
    <xf numFmtId="49" fontId="16" fillId="0" borderId="2" xfId="1" applyNumberFormat="1" applyFont="1" applyFill="1" applyBorder="1" applyAlignment="1">
      <alignment horizontal="center" vertical="center"/>
    </xf>
    <xf numFmtId="1" fontId="16" fillId="0" borderId="2" xfId="1" applyNumberFormat="1" applyFont="1" applyFill="1" applyBorder="1" applyAlignment="1">
      <alignment horizontal="left" vertical="center" wrapText="1"/>
    </xf>
    <xf numFmtId="1" fontId="16" fillId="0" borderId="2" xfId="1" applyNumberFormat="1" applyFont="1" applyFill="1" applyBorder="1" applyAlignment="1">
      <alignment horizontal="center" vertical="center" wrapText="1"/>
    </xf>
    <xf numFmtId="1" fontId="16" fillId="0" borderId="2" xfId="1" applyNumberFormat="1" applyFont="1" applyFill="1" applyBorder="1" applyAlignment="1">
      <alignment horizontal="right" vertical="center"/>
    </xf>
    <xf numFmtId="1" fontId="16" fillId="0" borderId="0" xfId="1" applyNumberFormat="1" applyFont="1" applyFill="1" applyAlignment="1">
      <alignment vertical="center"/>
    </xf>
    <xf numFmtId="1" fontId="16" fillId="0" borderId="2" xfId="1" applyNumberFormat="1" applyFont="1" applyFill="1" applyBorder="1" applyAlignment="1">
      <alignment vertical="center" wrapText="1"/>
    </xf>
    <xf numFmtId="49" fontId="14" fillId="0" borderId="2" xfId="1" applyNumberFormat="1" applyFont="1" applyFill="1" applyBorder="1" applyAlignment="1">
      <alignment horizontal="center" vertical="center"/>
    </xf>
    <xf numFmtId="1" fontId="14" fillId="0" borderId="2" xfId="1" applyNumberFormat="1" applyFont="1" applyFill="1" applyBorder="1" applyAlignment="1">
      <alignment vertical="center" wrapText="1"/>
    </xf>
    <xf numFmtId="49" fontId="8" fillId="0" borderId="2" xfId="1" applyNumberFormat="1" applyFont="1" applyFill="1" applyBorder="1" applyAlignment="1">
      <alignment horizontal="center" vertical="center"/>
    </xf>
    <xf numFmtId="1" fontId="8" fillId="0" borderId="2" xfId="1" applyNumberFormat="1" applyFont="1" applyFill="1" applyBorder="1" applyAlignment="1">
      <alignment vertical="center" wrapText="1"/>
    </xf>
    <xf numFmtId="1" fontId="8" fillId="0" borderId="2" xfId="1" quotePrefix="1" applyNumberFormat="1" applyFont="1" applyFill="1" applyBorder="1" applyAlignment="1">
      <alignment vertical="center" wrapText="1"/>
    </xf>
    <xf numFmtId="1" fontId="8" fillId="0" borderId="2" xfId="1" applyNumberFormat="1" applyFont="1" applyFill="1" applyBorder="1" applyAlignment="1">
      <alignment horizontal="center" vertical="center"/>
    </xf>
    <xf numFmtId="1" fontId="8" fillId="0" borderId="2" xfId="1" applyNumberFormat="1" applyFont="1" applyFill="1" applyBorder="1" applyAlignment="1">
      <alignment horizontal="center" vertical="center" wrapText="1"/>
    </xf>
    <xf numFmtId="1" fontId="8" fillId="0" borderId="2" xfId="1" applyNumberFormat="1" applyFont="1" applyFill="1" applyBorder="1" applyAlignment="1">
      <alignment horizontal="right" vertical="center"/>
    </xf>
    <xf numFmtId="1" fontId="8" fillId="0" borderId="0" xfId="1" applyNumberFormat="1" applyFont="1" applyFill="1" applyBorder="1" applyAlignment="1">
      <alignment horizontal="center" vertical="center"/>
    </xf>
    <xf numFmtId="1" fontId="8" fillId="0" borderId="0" xfId="1" applyNumberFormat="1" applyFont="1" applyFill="1" applyBorder="1" applyAlignment="1">
      <alignment vertical="center" wrapText="1"/>
    </xf>
    <xf numFmtId="1" fontId="8" fillId="0" borderId="0" xfId="1" applyNumberFormat="1" applyFont="1" applyFill="1" applyBorder="1" applyAlignment="1">
      <alignment horizontal="center" vertical="center" wrapText="1"/>
    </xf>
    <xf numFmtId="1" fontId="8" fillId="0" borderId="0" xfId="1" applyNumberFormat="1" applyFont="1" applyFill="1" applyBorder="1" applyAlignment="1">
      <alignment horizontal="right" vertical="center"/>
    </xf>
    <xf numFmtId="1" fontId="8" fillId="0" borderId="0" xfId="1" applyNumberFormat="1" applyFont="1" applyFill="1" applyAlignment="1">
      <alignment horizontal="center" vertical="center"/>
    </xf>
    <xf numFmtId="1" fontId="8" fillId="0" borderId="0" xfId="1" applyNumberFormat="1" applyFont="1" applyFill="1" applyAlignment="1">
      <alignment vertical="center" wrapText="1"/>
    </xf>
    <xf numFmtId="1" fontId="8" fillId="0" borderId="0" xfId="1" applyNumberFormat="1" applyFont="1" applyFill="1" applyAlignment="1">
      <alignment horizontal="left" vertical="center" wrapText="1"/>
    </xf>
    <xf numFmtId="0" fontId="20" fillId="0" borderId="0" xfId="0" applyFont="1" applyAlignment="1">
      <alignment vertical="center"/>
    </xf>
    <xf numFmtId="1" fontId="8" fillId="0" borderId="0" xfId="1" applyNumberFormat="1" applyFont="1" applyFill="1" applyAlignment="1">
      <alignment horizontal="center" vertical="center" wrapText="1"/>
    </xf>
    <xf numFmtId="3" fontId="8" fillId="0" borderId="2" xfId="1" applyNumberFormat="1" applyFont="1" applyFill="1" applyBorder="1" applyAlignment="1">
      <alignment horizontal="center" vertical="center" wrapText="1"/>
    </xf>
    <xf numFmtId="3" fontId="16" fillId="0" borderId="2" xfId="1" quotePrefix="1" applyNumberFormat="1" applyFont="1" applyFill="1" applyBorder="1" applyAlignment="1">
      <alignment horizontal="center" vertical="center" wrapText="1"/>
    </xf>
    <xf numFmtId="3" fontId="16" fillId="0" borderId="0" xfId="1" applyNumberFormat="1" applyFont="1" applyFill="1" applyBorder="1" applyAlignment="1">
      <alignment vertical="center" wrapText="1"/>
    </xf>
    <xf numFmtId="1" fontId="8" fillId="0" borderId="2" xfId="1" applyNumberFormat="1" applyFont="1" applyFill="1" applyBorder="1" applyAlignment="1">
      <alignment vertical="center"/>
    </xf>
    <xf numFmtId="1" fontId="14" fillId="0" borderId="2" xfId="1" applyNumberFormat="1" applyFont="1" applyFill="1" applyBorder="1" applyAlignment="1">
      <alignment horizontal="center" vertical="center" wrapText="1"/>
    </xf>
    <xf numFmtId="1" fontId="14" fillId="0" borderId="2" xfId="1" applyNumberFormat="1" applyFont="1" applyFill="1" applyBorder="1" applyAlignment="1">
      <alignment horizontal="right" vertical="center"/>
    </xf>
    <xf numFmtId="1" fontId="14" fillId="0" borderId="0" xfId="1" applyNumberFormat="1" applyFont="1" applyFill="1" applyAlignment="1">
      <alignment vertical="center"/>
    </xf>
    <xf numFmtId="1" fontId="15" fillId="0" borderId="2" xfId="1" applyNumberFormat="1" applyFont="1" applyFill="1" applyBorder="1" applyAlignment="1">
      <alignment horizontal="center" vertical="center" wrapText="1"/>
    </xf>
    <xf numFmtId="1" fontId="15" fillId="0" borderId="2" xfId="1" applyNumberFormat="1" applyFont="1" applyFill="1" applyBorder="1" applyAlignment="1">
      <alignment horizontal="right" vertical="center"/>
    </xf>
    <xf numFmtId="1" fontId="25" fillId="0" borderId="0" xfId="1" applyNumberFormat="1" applyFont="1" applyFill="1" applyAlignment="1">
      <alignment vertical="center"/>
    </xf>
    <xf numFmtId="1" fontId="21" fillId="0" borderId="0" xfId="1" applyNumberFormat="1" applyFont="1" applyFill="1" applyAlignment="1">
      <alignment vertical="center"/>
    </xf>
    <xf numFmtId="0" fontId="7" fillId="0" borderId="0" xfId="0" applyFont="1" applyAlignment="1">
      <alignment vertical="center" readingOrder="1"/>
    </xf>
    <xf numFmtId="1" fontId="22" fillId="0" borderId="0" xfId="1" applyNumberFormat="1" applyFont="1" applyFill="1" applyAlignment="1">
      <alignment horizontal="right" vertical="center"/>
    </xf>
    <xf numFmtId="0" fontId="9" fillId="0" borderId="0" xfId="0" applyFont="1" applyAlignment="1">
      <alignment vertical="center" readingOrder="1"/>
    </xf>
    <xf numFmtId="1" fontId="8" fillId="0" borderId="0" xfId="1" applyNumberFormat="1" applyFont="1" applyFill="1" applyBorder="1" applyAlignment="1">
      <alignment vertical="center"/>
    </xf>
    <xf numFmtId="1" fontId="16" fillId="0" borderId="0" xfId="1" applyNumberFormat="1" applyFont="1" applyFill="1" applyBorder="1" applyAlignment="1">
      <alignment horizontal="right" vertical="center"/>
    </xf>
    <xf numFmtId="1" fontId="16" fillId="0" borderId="0" xfId="1" applyNumberFormat="1" applyFont="1" applyFill="1" applyBorder="1" applyAlignment="1">
      <alignment vertical="center"/>
    </xf>
    <xf numFmtId="1" fontId="14" fillId="0" borderId="0" xfId="1" applyNumberFormat="1" applyFont="1" applyFill="1" applyBorder="1" applyAlignment="1">
      <alignment horizontal="right" vertical="center"/>
    </xf>
    <xf numFmtId="1" fontId="14" fillId="0" borderId="0" xfId="1" applyNumberFormat="1" applyFont="1" applyFill="1" applyBorder="1" applyAlignment="1">
      <alignment vertical="center"/>
    </xf>
    <xf numFmtId="1" fontId="15" fillId="0" borderId="0" xfId="1" applyNumberFormat="1" applyFont="1" applyFill="1" applyBorder="1" applyAlignment="1">
      <alignment horizontal="right" vertical="center"/>
    </xf>
    <xf numFmtId="1" fontId="15" fillId="0" borderId="0" xfId="1" applyNumberFormat="1" applyFont="1" applyFill="1" applyBorder="1" applyAlignment="1">
      <alignment vertical="center"/>
    </xf>
    <xf numFmtId="1" fontId="15" fillId="0" borderId="0" xfId="1" applyNumberFormat="1" applyFont="1" applyFill="1" applyBorder="1" applyAlignment="1">
      <alignment horizontal="center" vertical="center"/>
    </xf>
    <xf numFmtId="0" fontId="15" fillId="0" borderId="0" xfId="1" applyNumberFormat="1" applyFont="1" applyFill="1" applyAlignment="1">
      <alignment vertical="center"/>
    </xf>
    <xf numFmtId="1" fontId="15" fillId="0" borderId="0" xfId="1" applyNumberFormat="1" applyFont="1" applyFill="1" applyBorder="1" applyAlignment="1">
      <alignment horizontal="center" vertical="center" wrapText="1"/>
    </xf>
    <xf numFmtId="1" fontId="15" fillId="0" borderId="0" xfId="1" applyNumberFormat="1" applyFont="1" applyFill="1" applyAlignment="1">
      <alignment horizontal="center" vertical="center"/>
    </xf>
    <xf numFmtId="0" fontId="27" fillId="0" borderId="0" xfId="0" applyFont="1" applyAlignment="1">
      <alignment vertical="center" wrapText="1"/>
    </xf>
    <xf numFmtId="0" fontId="28" fillId="0" borderId="0" xfId="0" applyFont="1" applyAlignment="1">
      <alignment vertical="center" wrapText="1"/>
    </xf>
    <xf numFmtId="0" fontId="6" fillId="0" borderId="0" xfId="0" applyFont="1" applyBorder="1" applyAlignment="1">
      <alignment horizontal="center" vertical="center" wrapText="1"/>
    </xf>
    <xf numFmtId="0" fontId="11" fillId="0" borderId="0" xfId="0" applyFont="1" applyBorder="1" applyAlignment="1">
      <alignment vertical="center" wrapText="1"/>
    </xf>
    <xf numFmtId="49" fontId="10" fillId="0" borderId="2" xfId="0" applyNumberFormat="1" applyFont="1" applyBorder="1" applyAlignment="1">
      <alignment horizontal="left" vertical="center" wrapText="1"/>
    </xf>
    <xf numFmtId="0" fontId="10" fillId="0" borderId="0" xfId="0" applyFont="1" applyBorder="1" applyAlignment="1">
      <alignment vertical="center" wrapText="1"/>
    </xf>
    <xf numFmtId="0" fontId="6" fillId="0" borderId="2" xfId="0" applyFont="1" applyBorder="1" applyAlignment="1">
      <alignment horizontal="left" vertical="center" wrapText="1"/>
    </xf>
    <xf numFmtId="0" fontId="11" fillId="0" borderId="0" xfId="0" applyFont="1" applyFill="1" applyAlignment="1">
      <alignment vertical="center" wrapText="1"/>
    </xf>
    <xf numFmtId="0" fontId="6" fillId="0" borderId="0" xfId="0" applyFont="1" applyAlignment="1">
      <alignment horizontal="left" vertical="center" wrapText="1"/>
    </xf>
    <xf numFmtId="1" fontId="31" fillId="0" borderId="0" xfId="1" applyNumberFormat="1" applyFont="1" applyFill="1" applyAlignment="1">
      <alignment horizontal="right" vertical="center"/>
    </xf>
    <xf numFmtId="1" fontId="31" fillId="0" borderId="0" xfId="1" applyNumberFormat="1" applyFont="1" applyFill="1" applyAlignment="1">
      <alignment vertical="center"/>
    </xf>
    <xf numFmtId="1" fontId="32" fillId="0" borderId="0" xfId="1" applyNumberFormat="1" applyFont="1" applyFill="1" applyAlignment="1">
      <alignment vertical="center"/>
    </xf>
    <xf numFmtId="1" fontId="4" fillId="0" borderId="0" xfId="1" applyNumberFormat="1" applyFont="1" applyFill="1" applyAlignment="1">
      <alignment vertical="center"/>
    </xf>
    <xf numFmtId="1" fontId="34" fillId="0" borderId="0" xfId="1" applyNumberFormat="1" applyFont="1" applyFill="1" applyAlignment="1">
      <alignment vertical="center"/>
    </xf>
    <xf numFmtId="1" fontId="35" fillId="0" borderId="0" xfId="1" applyNumberFormat="1" applyFont="1" applyFill="1" applyAlignment="1">
      <alignment horizontal="center" vertical="center" wrapText="1"/>
    </xf>
    <xf numFmtId="1" fontId="35" fillId="0" borderId="1" xfId="1" applyNumberFormat="1" applyFont="1" applyFill="1" applyBorder="1" applyAlignment="1">
      <alignment vertical="center"/>
    </xf>
    <xf numFmtId="1" fontId="35" fillId="0" borderId="1" xfId="1" applyNumberFormat="1" applyFont="1" applyFill="1" applyBorder="1" applyAlignment="1">
      <alignment horizontal="right" vertical="center"/>
    </xf>
    <xf numFmtId="1" fontId="36" fillId="0" borderId="0" xfId="1" applyNumberFormat="1" applyFont="1" applyFill="1" applyAlignment="1">
      <alignment vertical="center"/>
    </xf>
    <xf numFmtId="1" fontId="38" fillId="0" borderId="0" xfId="1" applyNumberFormat="1" applyFont="1" applyFill="1" applyAlignment="1">
      <alignment horizontal="center" vertical="center"/>
    </xf>
    <xf numFmtId="3" fontId="39" fillId="0" borderId="0" xfId="1" applyNumberFormat="1" applyFont="1" applyBorder="1" applyAlignment="1">
      <alignment horizontal="center" vertical="center" wrapText="1"/>
    </xf>
    <xf numFmtId="3" fontId="25" fillId="0" borderId="2" xfId="1" applyNumberFormat="1" applyFont="1" applyFill="1" applyBorder="1" applyAlignment="1">
      <alignment horizontal="center" vertical="center" wrapText="1"/>
    </xf>
    <xf numFmtId="3" fontId="37" fillId="0" borderId="6" xfId="1" applyNumberFormat="1" applyFont="1" applyFill="1" applyBorder="1" applyAlignment="1">
      <alignment horizontal="center" vertical="center" wrapText="1"/>
    </xf>
    <xf numFmtId="3" fontId="25" fillId="0" borderId="2" xfId="1" applyNumberFormat="1" applyFont="1" applyFill="1" applyBorder="1" applyAlignment="1">
      <alignment vertical="center" wrapText="1"/>
    </xf>
    <xf numFmtId="3" fontId="37" fillId="0" borderId="2" xfId="1" applyNumberFormat="1" applyFont="1" applyBorder="1" applyAlignment="1">
      <alignment horizontal="center" vertical="center" wrapText="1"/>
    </xf>
    <xf numFmtId="3" fontId="25" fillId="0" borderId="2" xfId="1" applyNumberFormat="1" applyFont="1" applyBorder="1" applyAlignment="1">
      <alignment horizontal="center" vertical="center" wrapText="1"/>
    </xf>
    <xf numFmtId="3" fontId="37" fillId="0" borderId="2" xfId="1" quotePrefix="1" applyNumberFormat="1" applyFont="1" applyFill="1" applyBorder="1" applyAlignment="1">
      <alignment horizontal="center" vertical="center" wrapText="1"/>
    </xf>
    <xf numFmtId="3" fontId="39" fillId="0" borderId="0" xfId="1" applyNumberFormat="1" applyFont="1" applyFill="1" applyBorder="1" applyAlignment="1">
      <alignment horizontal="center" vertical="center" wrapText="1"/>
    </xf>
    <xf numFmtId="1" fontId="37" fillId="0" borderId="2" xfId="1" applyNumberFormat="1" applyFont="1" applyFill="1" applyBorder="1" applyAlignment="1">
      <alignment horizontal="center" vertical="center"/>
    </xf>
    <xf numFmtId="1" fontId="40" fillId="0" borderId="2" xfId="1" applyNumberFormat="1" applyFont="1" applyFill="1" applyBorder="1" applyAlignment="1">
      <alignment horizontal="center" vertical="center" wrapText="1"/>
    </xf>
    <xf numFmtId="1" fontId="37" fillId="0" borderId="2" xfId="1" applyNumberFormat="1" applyFont="1" applyFill="1" applyBorder="1" applyAlignment="1">
      <alignment horizontal="center" vertical="center" wrapText="1"/>
    </xf>
    <xf numFmtId="1" fontId="37" fillId="0" borderId="2" xfId="1" applyNumberFormat="1" applyFont="1" applyFill="1" applyBorder="1" applyAlignment="1">
      <alignment horizontal="right" vertical="center"/>
    </xf>
    <xf numFmtId="3" fontId="8" fillId="0" borderId="2" xfId="3" applyNumberFormat="1" applyFont="1" applyFill="1" applyBorder="1" applyAlignment="1">
      <alignment horizontal="center" vertical="center" wrapText="1"/>
    </xf>
    <xf numFmtId="1" fontId="40" fillId="0" borderId="2" xfId="1" applyNumberFormat="1" applyFont="1" applyFill="1" applyBorder="1" applyAlignment="1">
      <alignment horizontal="center" vertical="center"/>
    </xf>
    <xf numFmtId="1" fontId="40" fillId="0" borderId="2" xfId="1" applyNumberFormat="1" applyFont="1" applyFill="1" applyBorder="1" applyAlignment="1">
      <alignment vertical="center" wrapText="1"/>
    </xf>
    <xf numFmtId="1" fontId="40" fillId="0" borderId="2" xfId="1" applyNumberFormat="1" applyFont="1" applyFill="1" applyBorder="1" applyAlignment="1">
      <alignment horizontal="right" vertical="center"/>
    </xf>
    <xf numFmtId="1" fontId="42" fillId="0" borderId="0" xfId="1" applyNumberFormat="1" applyFont="1" applyFill="1" applyAlignment="1">
      <alignment vertical="center"/>
    </xf>
    <xf numFmtId="49" fontId="40" fillId="0" borderId="2" xfId="1" applyNumberFormat="1" applyFont="1" applyFill="1" applyBorder="1" applyAlignment="1">
      <alignment horizontal="center" vertical="center"/>
    </xf>
    <xf numFmtId="49" fontId="37" fillId="0" borderId="2" xfId="1" applyNumberFormat="1" applyFont="1" applyFill="1" applyBorder="1" applyAlignment="1">
      <alignment horizontal="center" vertical="center"/>
    </xf>
    <xf numFmtId="1" fontId="37" fillId="0" borderId="2" xfId="1" quotePrefix="1" applyNumberFormat="1" applyFont="1" applyFill="1" applyBorder="1" applyAlignment="1">
      <alignment vertical="center" wrapText="1"/>
    </xf>
    <xf numFmtId="1" fontId="37" fillId="0" borderId="2" xfId="1" applyNumberFormat="1" applyFont="1" applyFill="1" applyBorder="1" applyAlignment="1">
      <alignment vertical="center" wrapText="1"/>
    </xf>
    <xf numFmtId="1" fontId="43" fillId="2" borderId="2" xfId="1" applyNumberFormat="1" applyFont="1" applyFill="1" applyBorder="1" applyAlignment="1">
      <alignment horizontal="center" vertical="center"/>
    </xf>
    <xf numFmtId="1" fontId="43" fillId="2" borderId="2" xfId="1" applyNumberFormat="1" applyFont="1" applyFill="1" applyBorder="1" applyAlignment="1">
      <alignment vertical="center" wrapText="1"/>
    </xf>
    <xf numFmtId="1" fontId="43" fillId="2" borderId="2" xfId="1" applyNumberFormat="1" applyFont="1" applyFill="1" applyBorder="1" applyAlignment="1">
      <alignment horizontal="center" vertical="center" wrapText="1"/>
    </xf>
    <xf numFmtId="1" fontId="43" fillId="2" borderId="2" xfId="1" applyNumberFormat="1" applyFont="1" applyFill="1" applyBorder="1" applyAlignment="1">
      <alignment horizontal="right" vertical="center"/>
    </xf>
    <xf numFmtId="1" fontId="44" fillId="2" borderId="0" xfId="1" applyNumberFormat="1" applyFont="1" applyFill="1" applyAlignment="1">
      <alignment vertical="center"/>
    </xf>
    <xf numFmtId="1" fontId="45" fillId="2" borderId="2" xfId="1" applyNumberFormat="1" applyFont="1" applyFill="1" applyBorder="1" applyAlignment="1">
      <alignment horizontal="center" vertical="center"/>
    </xf>
    <xf numFmtId="1" fontId="45" fillId="2" borderId="2" xfId="1" applyNumberFormat="1" applyFont="1" applyFill="1" applyBorder="1" applyAlignment="1">
      <alignment horizontal="center" vertical="center" wrapText="1"/>
    </xf>
    <xf numFmtId="1" fontId="45" fillId="2" borderId="2" xfId="1" applyNumberFormat="1" applyFont="1" applyFill="1" applyBorder="1" applyAlignment="1">
      <alignment horizontal="right" vertical="center"/>
    </xf>
    <xf numFmtId="1" fontId="46" fillId="2" borderId="0" xfId="1" applyNumberFormat="1" applyFont="1" applyFill="1" applyAlignment="1">
      <alignment vertical="center"/>
    </xf>
    <xf numFmtId="1" fontId="31" fillId="0" borderId="2" xfId="1" applyNumberFormat="1" applyFont="1" applyFill="1" applyBorder="1" applyAlignment="1">
      <alignment horizontal="right" vertical="center"/>
    </xf>
    <xf numFmtId="1" fontId="37" fillId="0" borderId="0" xfId="1" applyNumberFormat="1" applyFont="1" applyFill="1" applyAlignment="1">
      <alignment horizontal="center" vertical="center"/>
    </xf>
    <xf numFmtId="1" fontId="37" fillId="0" borderId="0" xfId="1" applyNumberFormat="1" applyFont="1" applyFill="1" applyAlignment="1">
      <alignment vertical="center" wrapText="1"/>
    </xf>
    <xf numFmtId="1" fontId="37" fillId="0" borderId="0" xfId="1" applyNumberFormat="1" applyFont="1" applyFill="1" applyAlignment="1">
      <alignment horizontal="center" vertical="center" wrapText="1"/>
    </xf>
    <xf numFmtId="1" fontId="37" fillId="0" borderId="0" xfId="1" applyNumberFormat="1" applyFont="1" applyFill="1" applyAlignment="1">
      <alignment horizontal="right" vertical="center"/>
    </xf>
    <xf numFmtId="1" fontId="31" fillId="0" borderId="0" xfId="1" applyNumberFormat="1" applyFont="1" applyFill="1" applyAlignment="1">
      <alignment horizontal="center" vertical="center"/>
    </xf>
    <xf numFmtId="1" fontId="31" fillId="0" borderId="0" xfId="1" applyNumberFormat="1" applyFont="1" applyFill="1" applyAlignment="1">
      <alignment vertical="center" wrapText="1"/>
    </xf>
    <xf numFmtId="1" fontId="31" fillId="0" borderId="0" xfId="1" applyNumberFormat="1" applyFont="1" applyFill="1" applyAlignment="1">
      <alignment horizontal="center" vertical="center" wrapText="1"/>
    </xf>
    <xf numFmtId="1" fontId="15" fillId="0" borderId="0" xfId="1" applyNumberFormat="1" applyFont="1" applyFill="1" applyAlignment="1"/>
    <xf numFmtId="3" fontId="8" fillId="0" borderId="4" xfId="1" applyNumberFormat="1" applyFont="1" applyFill="1" applyBorder="1" applyAlignment="1">
      <alignment vertical="center" wrapText="1"/>
    </xf>
    <xf numFmtId="3" fontId="8" fillId="0" borderId="5" xfId="1" applyNumberFormat="1" applyFont="1" applyFill="1" applyBorder="1" applyAlignment="1">
      <alignment vertical="center" wrapText="1"/>
    </xf>
    <xf numFmtId="1" fontId="18" fillId="0" borderId="0" xfId="1" applyNumberFormat="1" applyFont="1" applyFill="1" applyAlignment="1">
      <alignment horizontal="center" vertical="center"/>
    </xf>
    <xf numFmtId="49" fontId="8" fillId="0" borderId="0" xfId="1" applyNumberFormat="1" applyFont="1" applyFill="1" applyBorder="1" applyAlignment="1">
      <alignment horizontal="center" vertical="center"/>
    </xf>
    <xf numFmtId="1" fontId="8" fillId="0" borderId="0" xfId="1" quotePrefix="1" applyNumberFormat="1" applyFont="1" applyFill="1" applyBorder="1" applyAlignment="1">
      <alignment vertical="center" wrapText="1"/>
    </xf>
    <xf numFmtId="1" fontId="16" fillId="0" borderId="0" xfId="1" applyNumberFormat="1" applyFont="1" applyFill="1" applyBorder="1" applyAlignment="1">
      <alignment horizontal="center" vertical="center" wrapText="1"/>
    </xf>
    <xf numFmtId="49" fontId="8" fillId="0" borderId="0" xfId="1" applyNumberFormat="1" applyFont="1" applyFill="1" applyAlignment="1">
      <alignment vertical="center"/>
    </xf>
    <xf numFmtId="49" fontId="15" fillId="0" borderId="0" xfId="1" applyNumberFormat="1" applyFont="1" applyFill="1" applyBorder="1" applyAlignment="1">
      <alignment vertical="center"/>
    </xf>
    <xf numFmtId="49" fontId="8" fillId="0" borderId="0" xfId="1" applyNumberFormat="1" applyFont="1" applyFill="1" applyBorder="1" applyAlignment="1">
      <alignment vertical="center"/>
    </xf>
    <xf numFmtId="49" fontId="8" fillId="0" borderId="0" xfId="1" applyNumberFormat="1" applyFont="1" applyFill="1" applyAlignment="1">
      <alignment horizontal="center" vertical="center"/>
    </xf>
    <xf numFmtId="1" fontId="8" fillId="0" borderId="0" xfId="1" applyNumberFormat="1" applyFont="1" applyFill="1" applyAlignment="1">
      <alignment horizontal="left" vertical="center" wrapText="1"/>
    </xf>
    <xf numFmtId="0" fontId="50" fillId="0" borderId="0" xfId="21" applyFont="1" applyAlignment="1">
      <alignment vertical="center" wrapText="1" readingOrder="1"/>
    </xf>
    <xf numFmtId="0" fontId="50" fillId="0" borderId="0" xfId="21" applyFont="1" applyAlignment="1">
      <alignment vertical="center" readingOrder="1"/>
    </xf>
    <xf numFmtId="0" fontId="51" fillId="0" borderId="0" xfId="21" applyFont="1" applyAlignment="1">
      <alignment vertical="center" wrapText="1" readingOrder="1"/>
    </xf>
    <xf numFmtId="0" fontId="9" fillId="0" borderId="0" xfId="21" applyFont="1" applyAlignment="1">
      <alignment vertical="center" wrapText="1" readingOrder="1"/>
    </xf>
    <xf numFmtId="0" fontId="9" fillId="0" borderId="0" xfId="21" applyFont="1" applyAlignment="1">
      <alignment vertical="center" readingOrder="1"/>
    </xf>
    <xf numFmtId="0" fontId="53" fillId="0" borderId="0" xfId="21" applyFont="1" applyAlignment="1">
      <alignment vertical="center" wrapText="1" readingOrder="1"/>
    </xf>
    <xf numFmtId="0" fontId="9" fillId="0" borderId="0" xfId="21" applyFont="1" applyAlignment="1">
      <alignment horizontal="center" vertical="center" wrapText="1" readingOrder="1"/>
    </xf>
    <xf numFmtId="0" fontId="55" fillId="0" borderId="0" xfId="21" applyFont="1" applyAlignment="1">
      <alignment vertical="center" wrapText="1" readingOrder="1"/>
    </xf>
    <xf numFmtId="0" fontId="53" fillId="0" borderId="0" xfId="21" applyFont="1" applyAlignment="1">
      <alignment horizontal="left" vertical="center" wrapText="1" readingOrder="1"/>
    </xf>
    <xf numFmtId="0" fontId="53" fillId="0" borderId="2" xfId="21" applyFont="1" applyBorder="1" applyAlignment="1">
      <alignment horizontal="center" vertical="center" wrapText="1" readingOrder="1"/>
    </xf>
    <xf numFmtId="0" fontId="53" fillId="0" borderId="0" xfId="21" applyFont="1" applyAlignment="1">
      <alignment horizontal="center" vertical="center" wrapText="1" readingOrder="1"/>
    </xf>
    <xf numFmtId="0" fontId="53" fillId="0" borderId="2" xfId="21" applyFont="1" applyBorder="1" applyAlignment="1">
      <alignment vertical="center" wrapText="1" readingOrder="1"/>
    </xf>
    <xf numFmtId="0" fontId="51" fillId="0" borderId="2" xfId="21" applyFont="1" applyBorder="1" applyAlignment="1">
      <alignment horizontal="center" vertical="center" wrapText="1" readingOrder="1"/>
    </xf>
    <xf numFmtId="0" fontId="56" fillId="0" borderId="2" xfId="21" applyFont="1" applyBorder="1" applyAlignment="1">
      <alignment horizontal="right" vertical="center" wrapText="1" readingOrder="1"/>
    </xf>
    <xf numFmtId="0" fontId="51" fillId="0" borderId="2" xfId="21" applyFont="1" applyBorder="1" applyAlignment="1">
      <alignment horizontal="left" vertical="center" wrapText="1" readingOrder="1"/>
    </xf>
    <xf numFmtId="0" fontId="51" fillId="0" borderId="6" xfId="21" applyFont="1" applyBorder="1" applyAlignment="1">
      <alignment vertical="center" wrapText="1" readingOrder="1"/>
    </xf>
    <xf numFmtId="0" fontId="51" fillId="0" borderId="2" xfId="21" applyFont="1" applyBorder="1" applyAlignment="1">
      <alignment vertical="center" wrapText="1" readingOrder="1"/>
    </xf>
    <xf numFmtId="0" fontId="57" fillId="0" borderId="2" xfId="21" applyFont="1" applyBorder="1" applyAlignment="1">
      <alignment horizontal="center" vertical="center" wrapText="1" readingOrder="1"/>
    </xf>
    <xf numFmtId="0" fontId="57" fillId="0" borderId="2" xfId="21" applyFont="1" applyBorder="1" applyAlignment="1">
      <alignment vertical="center" wrapText="1" readingOrder="1"/>
    </xf>
    <xf numFmtId="0" fontId="58" fillId="0" borderId="2" xfId="21" applyFont="1" applyBorder="1" applyAlignment="1">
      <alignment horizontal="right" vertical="center" wrapText="1" readingOrder="1"/>
    </xf>
    <xf numFmtId="0" fontId="55" fillId="0" borderId="2" xfId="21" applyFont="1" applyBorder="1" applyAlignment="1">
      <alignment vertical="center" wrapText="1" readingOrder="1"/>
    </xf>
    <xf numFmtId="0" fontId="55" fillId="0" borderId="2" xfId="21" quotePrefix="1" applyFont="1" applyBorder="1" applyAlignment="1">
      <alignment horizontal="center" vertical="center" wrapText="1" readingOrder="1"/>
    </xf>
    <xf numFmtId="0" fontId="59" fillId="0" borderId="2" xfId="21" applyFont="1" applyBorder="1" applyAlignment="1">
      <alignment horizontal="right" vertical="center" wrapText="1" readingOrder="1"/>
    </xf>
    <xf numFmtId="0" fontId="53" fillId="0" borderId="3" xfId="21" quotePrefix="1" applyFont="1" applyBorder="1" applyAlignment="1">
      <alignment horizontal="center" vertical="center" wrapText="1" readingOrder="1"/>
    </xf>
    <xf numFmtId="0" fontId="53" fillId="0" borderId="2" xfId="21" applyFont="1" applyBorder="1" applyAlignment="1">
      <alignment vertical="center" wrapText="1"/>
    </xf>
    <xf numFmtId="0" fontId="53" fillId="0" borderId="5" xfId="21" applyFont="1" applyBorder="1" applyAlignment="1">
      <alignment vertical="center" wrapText="1" readingOrder="1"/>
    </xf>
    <xf numFmtId="0" fontId="60" fillId="0" borderId="2" xfId="21" applyFont="1" applyBorder="1" applyAlignment="1">
      <alignment horizontal="right" vertical="center" wrapText="1" readingOrder="1"/>
    </xf>
    <xf numFmtId="49" fontId="10" fillId="0" borderId="2" xfId="21" applyNumberFormat="1" applyFont="1" applyBorder="1" applyAlignment="1">
      <alignment vertical="center" wrapText="1"/>
    </xf>
    <xf numFmtId="0" fontId="57" fillId="0" borderId="2" xfId="21" quotePrefix="1" applyFont="1" applyBorder="1" applyAlignment="1">
      <alignment horizontal="center" vertical="center" wrapText="1" readingOrder="1"/>
    </xf>
    <xf numFmtId="49" fontId="57" fillId="0" borderId="2" xfId="22" applyNumberFormat="1" applyFont="1" applyFill="1" applyBorder="1" applyAlignment="1">
      <alignment horizontal="left" vertical="center" wrapText="1"/>
    </xf>
    <xf numFmtId="0" fontId="57" fillId="0" borderId="0" xfId="21" applyFont="1" applyAlignment="1">
      <alignment vertical="center" wrapText="1" readingOrder="1"/>
    </xf>
    <xf numFmtId="177" fontId="53" fillId="0" borderId="2" xfId="21" quotePrefix="1" applyNumberFormat="1" applyFont="1" applyBorder="1" applyAlignment="1">
      <alignment horizontal="center" vertical="center" wrapText="1" readingOrder="1"/>
    </xf>
    <xf numFmtId="0" fontId="53" fillId="0" borderId="2" xfId="21" quotePrefix="1" applyFont="1" applyBorder="1" applyAlignment="1">
      <alignment horizontal="center" vertical="center" wrapText="1" readingOrder="1"/>
    </xf>
    <xf numFmtId="49" fontId="53" fillId="0" borderId="2" xfId="22" applyNumberFormat="1" applyFont="1" applyFill="1" applyBorder="1" applyAlignment="1">
      <alignment horizontal="left" vertical="center" wrapText="1"/>
    </xf>
    <xf numFmtId="0" fontId="20" fillId="0" borderId="0" xfId="21" applyFont="1" applyAlignment="1">
      <alignment vertical="center" wrapText="1" readingOrder="1"/>
    </xf>
    <xf numFmtId="0" fontId="20" fillId="0" borderId="0" xfId="21" applyFont="1" applyAlignment="1">
      <alignment vertical="center"/>
    </xf>
    <xf numFmtId="0" fontId="2" fillId="0" borderId="0" xfId="21" applyAlignment="1">
      <alignment vertical="center"/>
    </xf>
    <xf numFmtId="49" fontId="53" fillId="0" borderId="0" xfId="21" applyNumberFormat="1" applyFont="1" applyAlignment="1">
      <alignment vertical="center" wrapText="1" readingOrder="1"/>
    </xf>
    <xf numFmtId="49" fontId="55" fillId="0" borderId="0" xfId="21" applyNumberFormat="1" applyFont="1" applyAlignment="1">
      <alignment vertical="center" wrapText="1" readingOrder="1"/>
    </xf>
    <xf numFmtId="49" fontId="50" fillId="0" borderId="2" xfId="21" applyNumberFormat="1" applyFont="1" applyBorder="1" applyAlignment="1">
      <alignment horizontal="center" vertical="center" wrapText="1"/>
    </xf>
    <xf numFmtId="0" fontId="50" fillId="0" borderId="2" xfId="21" applyFont="1" applyBorder="1" applyAlignment="1">
      <alignment horizontal="center" vertical="center" wrapText="1"/>
    </xf>
    <xf numFmtId="0" fontId="50" fillId="0" borderId="0" xfId="21" applyFont="1" applyAlignment="1">
      <alignment horizontal="center" vertical="center"/>
    </xf>
    <xf numFmtId="0" fontId="51" fillId="0" borderId="2" xfId="21" applyFont="1" applyBorder="1" applyAlignment="1">
      <alignment horizontal="center" vertical="center" wrapText="1"/>
    </xf>
    <xf numFmtId="0" fontId="61" fillId="0" borderId="2" xfId="21" applyFont="1" applyBorder="1" applyAlignment="1">
      <alignment horizontal="right" vertical="center" wrapText="1"/>
    </xf>
    <xf numFmtId="0" fontId="2" fillId="0" borderId="2" xfId="21" applyBorder="1" applyAlignment="1">
      <alignment vertical="center"/>
    </xf>
    <xf numFmtId="0" fontId="62" fillId="0" borderId="2" xfId="21" applyFont="1" applyBorder="1" applyAlignment="1">
      <alignment horizontal="right" vertical="center" wrapText="1"/>
    </xf>
    <xf numFmtId="0" fontId="2" fillId="0" borderId="2" xfId="21" applyFont="1" applyBorder="1" applyAlignment="1">
      <alignment vertical="center"/>
    </xf>
    <xf numFmtId="0" fontId="2" fillId="0" borderId="0" xfId="21" applyFont="1" applyAlignment="1">
      <alignment vertical="center"/>
    </xf>
    <xf numFmtId="49" fontId="51" fillId="0" borderId="2" xfId="21" applyNumberFormat="1" applyFont="1" applyBorder="1" applyAlignment="1">
      <alignment horizontal="center" vertical="center" wrapText="1" readingOrder="1"/>
    </xf>
    <xf numFmtId="0" fontId="63" fillId="0" borderId="2" xfId="21" applyFont="1" applyBorder="1" applyAlignment="1">
      <alignment vertical="center"/>
    </xf>
    <xf numFmtId="49" fontId="2" fillId="0" borderId="0" xfId="21" applyNumberFormat="1" applyAlignment="1">
      <alignment vertical="center"/>
    </xf>
    <xf numFmtId="1" fontId="4" fillId="0" borderId="0" xfId="1" applyNumberFormat="1" applyFont="1" applyFill="1" applyAlignment="1">
      <alignment vertical="center" wrapText="1"/>
    </xf>
    <xf numFmtId="1" fontId="35" fillId="0" borderId="0" xfId="1" applyNumberFormat="1" applyFont="1" applyFill="1" applyAlignment="1">
      <alignment vertical="center" wrapText="1"/>
    </xf>
    <xf numFmtId="0" fontId="13" fillId="0" borderId="2" xfId="10" applyFont="1" applyBorder="1" applyAlignment="1">
      <alignment horizontal="center" vertical="center" wrapText="1"/>
    </xf>
    <xf numFmtId="3" fontId="8" fillId="0" borderId="2" xfId="1" applyNumberFormat="1" applyFont="1" applyFill="1" applyBorder="1" applyAlignment="1">
      <alignment vertical="center" wrapText="1"/>
    </xf>
    <xf numFmtId="0" fontId="8" fillId="0" borderId="2" xfId="1" applyNumberFormat="1" applyFont="1" applyFill="1" applyBorder="1" applyAlignment="1">
      <alignment horizontal="center" vertical="center" wrapText="1"/>
    </xf>
    <xf numFmtId="1" fontId="16" fillId="0" borderId="2" xfId="1" applyNumberFormat="1" applyFont="1" applyFill="1" applyBorder="1" applyAlignment="1">
      <alignment vertical="center"/>
    </xf>
    <xf numFmtId="1" fontId="16" fillId="0" borderId="0" xfId="1" applyNumberFormat="1" applyFont="1" applyFill="1" applyBorder="1" applyAlignment="1">
      <alignment horizontal="center" vertical="center"/>
    </xf>
    <xf numFmtId="49" fontId="8" fillId="0" borderId="0" xfId="1" applyNumberFormat="1" applyFont="1" applyFill="1" applyBorder="1" applyAlignment="1">
      <alignment horizontal="left" vertical="center"/>
    </xf>
    <xf numFmtId="49" fontId="8" fillId="0" borderId="0" xfId="1" applyNumberFormat="1" applyFont="1" applyFill="1" applyBorder="1" applyAlignment="1">
      <alignment horizontal="right" vertical="center"/>
    </xf>
    <xf numFmtId="49" fontId="8" fillId="0" borderId="0" xfId="1" applyNumberFormat="1" applyFont="1" applyFill="1" applyAlignment="1">
      <alignment horizontal="right" vertical="center"/>
    </xf>
    <xf numFmtId="1" fontId="132" fillId="0" borderId="0" xfId="1" applyNumberFormat="1" applyFont="1" applyFill="1" applyAlignment="1">
      <alignment vertical="center"/>
    </xf>
    <xf numFmtId="1" fontId="132" fillId="0" borderId="0" xfId="1" applyNumberFormat="1" applyFont="1" applyFill="1" applyAlignment="1">
      <alignment horizontal="center" vertical="center" wrapText="1"/>
    </xf>
    <xf numFmtId="1" fontId="200" fillId="0" borderId="0" xfId="1" applyNumberFormat="1" applyFont="1" applyFill="1" applyAlignment="1">
      <alignment vertical="center"/>
    </xf>
    <xf numFmtId="1" fontId="200" fillId="0" borderId="0" xfId="1" applyNumberFormat="1" applyFont="1" applyFill="1" applyAlignment="1">
      <alignment vertical="center" wrapText="1"/>
    </xf>
    <xf numFmtId="179" fontId="40" fillId="0" borderId="53" xfId="4264" applyNumberFormat="1" applyFont="1" applyFill="1" applyBorder="1" applyAlignment="1">
      <alignment horizontal="center" vertical="center" wrapText="1"/>
    </xf>
    <xf numFmtId="1" fontId="16" fillId="0" borderId="0" xfId="1" applyNumberFormat="1" applyFont="1" applyFill="1" applyAlignment="1">
      <alignment horizontal="center" vertical="center" wrapText="1"/>
    </xf>
    <xf numFmtId="3" fontId="8" fillId="0" borderId="0" xfId="1" applyNumberFormat="1" applyFont="1" applyFill="1" applyBorder="1" applyAlignment="1">
      <alignment horizontal="center" vertical="center" wrapText="1"/>
    </xf>
    <xf numFmtId="0" fontId="273" fillId="0" borderId="0" xfId="0" applyFont="1"/>
    <xf numFmtId="0" fontId="273" fillId="0" borderId="0" xfId="0" applyFont="1" applyAlignment="1">
      <alignment horizontal="center" vertical="center"/>
    </xf>
    <xf numFmtId="237" fontId="273" fillId="0" borderId="0" xfId="0" applyNumberFormat="1" applyFont="1"/>
    <xf numFmtId="0" fontId="274" fillId="50" borderId="53" xfId="4264" applyNumberFormat="1" applyFont="1" applyFill="1" applyBorder="1" applyAlignment="1">
      <alignment horizontal="center" vertical="center" wrapText="1"/>
    </xf>
    <xf numFmtId="0" fontId="42" fillId="0" borderId="53" xfId="4264" applyNumberFormat="1" applyFont="1" applyFill="1" applyBorder="1" applyAlignment="1">
      <alignment horizontal="left" vertical="center" wrapText="1"/>
    </xf>
    <xf numFmtId="0" fontId="274" fillId="50" borderId="7" xfId="4264" applyNumberFormat="1" applyFont="1" applyFill="1" applyBorder="1" applyAlignment="1">
      <alignment horizontal="center" vertical="center" wrapText="1"/>
    </xf>
    <xf numFmtId="179" fontId="42" fillId="51" borderId="7" xfId="4282" applyNumberFormat="1" applyFont="1" applyFill="1" applyBorder="1" applyAlignment="1">
      <alignment horizontal="center" vertical="center" wrapText="1"/>
    </xf>
    <xf numFmtId="237" fontId="42" fillId="51" borderId="7" xfId="4282" applyNumberFormat="1" applyFont="1" applyFill="1" applyBorder="1" applyAlignment="1">
      <alignment horizontal="center" vertical="center" wrapText="1"/>
    </xf>
    <xf numFmtId="0" fontId="273" fillId="0" borderId="53" xfId="0" applyFont="1" applyBorder="1" applyAlignment="1">
      <alignment horizontal="left" vertical="center"/>
    </xf>
    <xf numFmtId="0" fontId="273" fillId="0" borderId="53" xfId="0" applyFont="1" applyBorder="1"/>
    <xf numFmtId="179" fontId="273" fillId="0" borderId="0" xfId="0" applyNumberFormat="1" applyFont="1"/>
    <xf numFmtId="0" fontId="42" fillId="51" borderId="53" xfId="4264" applyNumberFormat="1" applyFont="1" applyFill="1" applyBorder="1" applyAlignment="1">
      <alignment horizontal="center" vertical="center" wrapText="1"/>
    </xf>
    <xf numFmtId="0" fontId="42" fillId="51" borderId="53" xfId="4264" applyNumberFormat="1" applyFont="1" applyFill="1" applyBorder="1" applyAlignment="1">
      <alignment horizontal="left" vertical="center" wrapText="1"/>
    </xf>
    <xf numFmtId="0" fontId="42" fillId="51" borderId="7" xfId="4264" applyNumberFormat="1" applyFont="1" applyFill="1" applyBorder="1" applyAlignment="1">
      <alignment horizontal="center" vertical="center" wrapText="1"/>
    </xf>
    <xf numFmtId="179" fontId="275" fillId="51" borderId="53" xfId="4282" applyNumberFormat="1" applyFont="1" applyFill="1" applyBorder="1" applyAlignment="1">
      <alignment horizontal="center" vertical="center" wrapText="1"/>
    </xf>
    <xf numFmtId="237" fontId="275" fillId="51" borderId="53" xfId="4282" applyNumberFormat="1" applyFont="1" applyFill="1" applyBorder="1" applyAlignment="1">
      <alignment horizontal="center" vertical="center" wrapText="1"/>
    </xf>
    <xf numFmtId="0" fontId="275" fillId="51" borderId="53" xfId="4264" applyNumberFormat="1" applyFont="1" applyFill="1" applyBorder="1" applyAlignment="1">
      <alignment horizontal="center" vertical="center" wrapText="1"/>
    </xf>
    <xf numFmtId="0" fontId="273" fillId="51" borderId="0" xfId="0" applyFont="1" applyFill="1"/>
    <xf numFmtId="0" fontId="273" fillId="51" borderId="53" xfId="0" applyFont="1" applyFill="1" applyBorder="1" applyAlignment="1">
      <alignment horizontal="left" vertical="center"/>
    </xf>
    <xf numFmtId="0" fontId="273" fillId="51" borderId="53" xfId="0" applyFont="1" applyFill="1" applyBorder="1"/>
    <xf numFmtId="0" fontId="42" fillId="50" borderId="53" xfId="4284" applyNumberFormat="1" applyFont="1" applyFill="1" applyBorder="1" applyAlignment="1">
      <alignment horizontal="center" vertical="center"/>
    </xf>
    <xf numFmtId="1" fontId="42" fillId="50" borderId="53" xfId="4284" applyNumberFormat="1" applyFont="1" applyFill="1" applyBorder="1" applyAlignment="1">
      <alignment horizontal="left" vertical="center" wrapText="1"/>
    </xf>
    <xf numFmtId="1" fontId="42" fillId="50" borderId="53" xfId="4285" applyNumberFormat="1" applyFont="1" applyFill="1" applyBorder="1" applyAlignment="1">
      <alignment horizontal="center" vertical="center"/>
    </xf>
    <xf numFmtId="310" fontId="42" fillId="50" borderId="53" xfId="0" applyNumberFormat="1" applyFont="1" applyFill="1" applyBorder="1" applyAlignment="1">
      <alignment horizontal="center" vertical="center" wrapText="1"/>
    </xf>
    <xf numFmtId="0" fontId="42" fillId="50" borderId="53" xfId="4264" applyNumberFormat="1" applyFont="1" applyFill="1" applyBorder="1" applyAlignment="1">
      <alignment horizontal="center" vertical="center" wrapText="1"/>
    </xf>
    <xf numFmtId="0" fontId="42" fillId="50" borderId="53" xfId="4284" applyNumberFormat="1" applyFont="1" applyFill="1" applyBorder="1" applyAlignment="1">
      <alignment horizontal="center" vertical="center" wrapText="1"/>
    </xf>
    <xf numFmtId="1" fontId="42" fillId="50" borderId="53" xfId="4284" applyNumberFormat="1" applyFont="1" applyFill="1" applyBorder="1" applyAlignment="1">
      <alignment horizontal="center" vertical="center" wrapText="1"/>
    </xf>
    <xf numFmtId="179" fontId="42" fillId="50" borderId="53" xfId="4282" applyNumberFormat="1" applyFont="1" applyFill="1" applyBorder="1" applyAlignment="1">
      <alignment horizontal="right" vertical="center"/>
    </xf>
    <xf numFmtId="237" fontId="42" fillId="50" borderId="53" xfId="4282" applyNumberFormat="1" applyFont="1" applyFill="1" applyBorder="1" applyAlignment="1">
      <alignment horizontal="right" vertical="center"/>
    </xf>
    <xf numFmtId="237" fontId="42" fillId="50" borderId="53" xfId="0" applyNumberFormat="1" applyFont="1" applyFill="1" applyBorder="1" applyAlignment="1">
      <alignment horizontal="left"/>
    </xf>
    <xf numFmtId="0" fontId="31" fillId="50" borderId="53" xfId="4284" applyNumberFormat="1" applyFont="1" applyFill="1" applyBorder="1" applyAlignment="1">
      <alignment horizontal="center" vertical="center"/>
    </xf>
    <xf numFmtId="0" fontId="31" fillId="50" borderId="53" xfId="0" applyFont="1" applyFill="1" applyBorder="1" applyAlignment="1">
      <alignment horizontal="left" vertical="center" wrapText="1"/>
    </xf>
    <xf numFmtId="1" fontId="31" fillId="50" borderId="53" xfId="4285" applyNumberFormat="1" applyFont="1" applyFill="1" applyBorder="1" applyAlignment="1">
      <alignment horizontal="center" vertical="center"/>
    </xf>
    <xf numFmtId="14" fontId="31" fillId="50" borderId="53" xfId="0" applyNumberFormat="1" applyFont="1" applyFill="1" applyBorder="1" applyAlignment="1">
      <alignment horizontal="center" vertical="center" wrapText="1"/>
    </xf>
    <xf numFmtId="0" fontId="31" fillId="50" borderId="53" xfId="4264" applyNumberFormat="1" applyFont="1" applyFill="1" applyBorder="1" applyAlignment="1">
      <alignment horizontal="center" vertical="center" wrapText="1"/>
    </xf>
    <xf numFmtId="0" fontId="31" fillId="50" borderId="53" xfId="4284" applyNumberFormat="1" applyFont="1" applyFill="1" applyBorder="1" applyAlignment="1">
      <alignment horizontal="center" vertical="center" wrapText="1"/>
    </xf>
    <xf numFmtId="1" fontId="31" fillId="51" borderId="53" xfId="4285" applyNumberFormat="1" applyFont="1" applyFill="1" applyBorder="1" applyAlignment="1">
      <alignment horizontal="center" vertical="center" wrapText="1"/>
    </xf>
    <xf numFmtId="179" fontId="31" fillId="50" borderId="53" xfId="4282" applyNumberFormat="1" applyFont="1" applyFill="1" applyBorder="1" applyAlignment="1">
      <alignment horizontal="right" vertical="center"/>
    </xf>
    <xf numFmtId="237" fontId="31" fillId="50" borderId="53" xfId="4282" applyNumberFormat="1" applyFont="1" applyFill="1" applyBorder="1" applyAlignment="1">
      <alignment horizontal="right" vertical="center"/>
    </xf>
    <xf numFmtId="179" fontId="31" fillId="51" borderId="53" xfId="0" quotePrefix="1" applyNumberFormat="1" applyFont="1" applyFill="1" applyBorder="1" applyAlignment="1">
      <alignment horizontal="left" vertical="center" wrapText="1"/>
    </xf>
    <xf numFmtId="179" fontId="37" fillId="0" borderId="53" xfId="4282" applyNumberFormat="1" applyFont="1" applyFill="1" applyBorder="1" applyAlignment="1">
      <alignment horizontal="center" vertical="center" wrapText="1"/>
    </xf>
    <xf numFmtId="0" fontId="31" fillId="0" borderId="53" xfId="4284" applyNumberFormat="1" applyFont="1" applyFill="1" applyBorder="1" applyAlignment="1">
      <alignment horizontal="center" vertical="center"/>
    </xf>
    <xf numFmtId="43" fontId="31" fillId="0" borderId="53" xfId="4282" applyFont="1" applyFill="1" applyBorder="1" applyAlignment="1">
      <alignment horizontal="left" vertical="center" wrapText="1"/>
    </xf>
    <xf numFmtId="1" fontId="31" fillId="0" borderId="53" xfId="4285" applyNumberFormat="1" applyFont="1" applyFill="1" applyBorder="1" applyAlignment="1">
      <alignment horizontal="center" vertical="center"/>
    </xf>
    <xf numFmtId="14" fontId="31" fillId="0" borderId="53" xfId="0" applyNumberFormat="1" applyFont="1" applyFill="1" applyBorder="1" applyAlignment="1">
      <alignment horizontal="center" vertical="center" wrapText="1"/>
    </xf>
    <xf numFmtId="0" fontId="31" fillId="0" borderId="53" xfId="4264" applyNumberFormat="1" applyFont="1" applyFill="1" applyBorder="1" applyAlignment="1">
      <alignment horizontal="center" vertical="center" wrapText="1"/>
    </xf>
    <xf numFmtId="0" fontId="31" fillId="0" borderId="53" xfId="4284" applyNumberFormat="1" applyFont="1" applyFill="1" applyBorder="1" applyAlignment="1">
      <alignment horizontal="center" vertical="center" wrapText="1"/>
    </xf>
    <xf numFmtId="179" fontId="31" fillId="0" borderId="53" xfId="4282" applyNumberFormat="1" applyFont="1" applyFill="1" applyBorder="1" applyAlignment="1">
      <alignment horizontal="right" vertical="center"/>
    </xf>
    <xf numFmtId="237" fontId="31" fillId="0" borderId="53" xfId="4282" applyNumberFormat="1" applyFont="1" applyFill="1" applyBorder="1" applyAlignment="1">
      <alignment horizontal="right" vertical="center"/>
    </xf>
    <xf numFmtId="0" fontId="273" fillId="0" borderId="0" xfId="0" applyFont="1" applyFill="1"/>
    <xf numFmtId="0" fontId="273" fillId="0" borderId="53" xfId="0" applyFont="1" applyFill="1" applyBorder="1" applyAlignment="1">
      <alignment horizontal="left" vertical="center"/>
    </xf>
    <xf numFmtId="0" fontId="273" fillId="0" borderId="53" xfId="0" applyFont="1" applyFill="1" applyBorder="1"/>
    <xf numFmtId="3" fontId="37" fillId="0" borderId="53" xfId="0" applyNumberFormat="1" applyFont="1" applyFill="1" applyBorder="1" applyAlignment="1">
      <alignment horizontal="center" vertical="center" wrapText="1"/>
    </xf>
    <xf numFmtId="43" fontId="42" fillId="50" borderId="53" xfId="4282" applyFont="1" applyFill="1" applyBorder="1" applyAlignment="1">
      <alignment horizontal="left" vertical="center" wrapText="1"/>
    </xf>
    <xf numFmtId="0" fontId="42" fillId="50" borderId="53" xfId="4286" applyFont="1" applyFill="1" applyBorder="1" applyAlignment="1">
      <alignment horizontal="center" vertical="center" wrapText="1"/>
    </xf>
    <xf numFmtId="179" fontId="42" fillId="50" borderId="53" xfId="0" quotePrefix="1" applyNumberFormat="1" applyFont="1" applyFill="1" applyBorder="1" applyAlignment="1">
      <alignment horizontal="left" vertical="center" wrapText="1"/>
    </xf>
    <xf numFmtId="0" fontId="31" fillId="50" borderId="53" xfId="0" applyNumberFormat="1" applyFont="1" applyFill="1" applyBorder="1" applyAlignment="1">
      <alignment horizontal="left" vertical="center" wrapText="1"/>
    </xf>
    <xf numFmtId="0" fontId="31" fillId="50" borderId="53" xfId="0" applyNumberFormat="1" applyFont="1" applyFill="1" applyBorder="1" applyAlignment="1">
      <alignment horizontal="center" vertical="center" wrapText="1"/>
    </xf>
    <xf numFmtId="179" fontId="31" fillId="50" borderId="53" xfId="0" quotePrefix="1" applyNumberFormat="1" applyFont="1" applyFill="1" applyBorder="1" applyAlignment="1">
      <alignment horizontal="left" vertical="center" wrapText="1"/>
    </xf>
    <xf numFmtId="1" fontId="31" fillId="50" borderId="53" xfId="4285" applyNumberFormat="1" applyFont="1" applyFill="1" applyBorder="1" applyAlignment="1">
      <alignment horizontal="center" vertical="center" wrapText="1"/>
    </xf>
    <xf numFmtId="0" fontId="31" fillId="51" borderId="53" xfId="0" applyNumberFormat="1" applyFont="1" applyFill="1" applyBorder="1" applyAlignment="1">
      <alignment horizontal="center" vertical="center" wrapText="1"/>
    </xf>
    <xf numFmtId="0" fontId="31" fillId="0" borderId="53" xfId="4276" applyFont="1" applyFill="1" applyBorder="1" applyAlignment="1">
      <alignment horizontal="center" vertical="center" wrapText="1"/>
    </xf>
    <xf numFmtId="1" fontId="31" fillId="51" borderId="53" xfId="4287" applyNumberFormat="1" applyFont="1" applyFill="1" applyBorder="1" applyAlignment="1">
      <alignment vertical="center" wrapText="1"/>
    </xf>
    <xf numFmtId="1" fontId="31" fillId="0" borderId="53" xfId="4287" applyNumberFormat="1" applyFont="1" applyFill="1" applyBorder="1" applyAlignment="1">
      <alignment vertical="center" wrapText="1"/>
    </xf>
    <xf numFmtId="1" fontId="31" fillId="0" borderId="53" xfId="4285" applyNumberFormat="1" applyFont="1" applyFill="1" applyBorder="1" applyAlignment="1">
      <alignment horizontal="center" vertical="center" wrapText="1"/>
    </xf>
    <xf numFmtId="0" fontId="276" fillId="0" borderId="53" xfId="4276" applyFont="1" applyFill="1" applyBorder="1" applyAlignment="1">
      <alignment horizontal="center" vertical="center"/>
    </xf>
    <xf numFmtId="0" fontId="276" fillId="0" borderId="53" xfId="4273" applyNumberFormat="1" applyFont="1" applyFill="1" applyBorder="1" applyAlignment="1">
      <alignment horizontal="center" vertical="center"/>
    </xf>
    <xf numFmtId="179" fontId="31" fillId="51" borderId="53" xfId="4273" applyNumberFormat="1" applyFont="1" applyFill="1" applyBorder="1" applyAlignment="1">
      <alignment horizontal="center" vertical="center" wrapText="1"/>
    </xf>
    <xf numFmtId="237" fontId="31" fillId="51" borderId="53" xfId="4273" applyNumberFormat="1" applyFont="1" applyFill="1" applyBorder="1" applyAlignment="1">
      <alignment horizontal="right" vertical="center" wrapText="1"/>
    </xf>
    <xf numFmtId="237" fontId="31" fillId="51" borderId="53" xfId="4273" applyNumberFormat="1" applyFont="1" applyFill="1" applyBorder="1" applyAlignment="1">
      <alignment horizontal="right" vertical="center"/>
    </xf>
    <xf numFmtId="237" fontId="31" fillId="0" borderId="53" xfId="4273" applyNumberFormat="1" applyFont="1" applyFill="1" applyBorder="1" applyAlignment="1">
      <alignment horizontal="right" vertical="center" wrapText="1"/>
    </xf>
    <xf numFmtId="1" fontId="277" fillId="0" borderId="53" xfId="4288" applyNumberFormat="1" applyFont="1" applyFill="1" applyBorder="1" applyAlignment="1">
      <alignment horizontal="center" vertical="center"/>
    </xf>
    <xf numFmtId="1" fontId="277" fillId="0" borderId="53" xfId="4288" applyNumberFormat="1" applyFont="1" applyFill="1" applyBorder="1" applyAlignment="1">
      <alignment vertical="center" wrapText="1"/>
    </xf>
    <xf numFmtId="1" fontId="277" fillId="0" borderId="53" xfId="4288" applyNumberFormat="1" applyFont="1" applyFill="1" applyBorder="1" applyAlignment="1">
      <alignment horizontal="center" vertical="center" wrapText="1"/>
    </xf>
    <xf numFmtId="179" fontId="42" fillId="0" borderId="53" xfId="4289" applyNumberFormat="1" applyFont="1" applyFill="1" applyBorder="1" applyAlignment="1">
      <alignment horizontal="right" vertical="center"/>
    </xf>
    <xf numFmtId="1" fontId="42" fillId="0" borderId="53" xfId="4288" applyNumberFormat="1" applyFont="1" applyFill="1" applyBorder="1" applyAlignment="1">
      <alignment vertical="center"/>
    </xf>
    <xf numFmtId="3" fontId="42" fillId="0" borderId="53" xfId="0" applyNumberFormat="1" applyFont="1" applyFill="1" applyBorder="1" applyAlignment="1">
      <alignment horizontal="center" vertical="center" wrapText="1"/>
    </xf>
    <xf numFmtId="1" fontId="277" fillId="51" borderId="53" xfId="4288" applyNumberFormat="1" applyFont="1" applyFill="1" applyBorder="1" applyAlignment="1">
      <alignment horizontal="center" vertical="center" wrapText="1"/>
    </xf>
    <xf numFmtId="4" fontId="273" fillId="51" borderId="53" xfId="0" applyNumberFormat="1" applyFont="1" applyFill="1" applyBorder="1"/>
    <xf numFmtId="1" fontId="31" fillId="0" borderId="53" xfId="4288" applyNumberFormat="1" applyFont="1" applyFill="1" applyBorder="1" applyAlignment="1">
      <alignment horizontal="center" vertical="center"/>
    </xf>
    <xf numFmtId="0" fontId="276" fillId="0" borderId="53" xfId="4281" applyFont="1" applyFill="1" applyBorder="1" applyAlignment="1">
      <alignment vertical="center" wrapText="1"/>
    </xf>
    <xf numFmtId="1" fontId="31" fillId="0" borderId="53" xfId="4288" applyNumberFormat="1" applyFont="1" applyFill="1" applyBorder="1" applyAlignment="1">
      <alignment horizontal="center" vertical="center" wrapText="1"/>
    </xf>
    <xf numFmtId="3" fontId="31" fillId="0" borderId="53" xfId="0" applyNumberFormat="1" applyFont="1" applyFill="1" applyBorder="1" applyAlignment="1">
      <alignment horizontal="right" vertical="center" wrapText="1"/>
    </xf>
    <xf numFmtId="179" fontId="31" fillId="0" borderId="53" xfId="4289" applyNumberFormat="1" applyFont="1" applyFill="1" applyBorder="1" applyAlignment="1">
      <alignment horizontal="right" vertical="center"/>
    </xf>
    <xf numFmtId="3" fontId="31" fillId="0" borderId="53" xfId="0" applyNumberFormat="1" applyFont="1" applyFill="1" applyBorder="1" applyAlignment="1">
      <alignment horizontal="center" vertical="center" wrapText="1"/>
    </xf>
    <xf numFmtId="0" fontId="31" fillId="51" borderId="53" xfId="0" applyFont="1" applyFill="1" applyBorder="1" applyAlignment="1">
      <alignment horizontal="center" vertical="center" wrapText="1"/>
    </xf>
    <xf numFmtId="1" fontId="276" fillId="0" borderId="53" xfId="4288" applyNumberFormat="1" applyFont="1" applyFill="1" applyBorder="1" applyAlignment="1">
      <alignment vertical="center" wrapText="1"/>
    </xf>
    <xf numFmtId="1" fontId="278" fillId="51" borderId="53" xfId="4288" applyNumberFormat="1" applyFont="1" applyFill="1" applyBorder="1" applyAlignment="1">
      <alignment horizontal="center" vertical="center" wrapText="1"/>
    </xf>
    <xf numFmtId="1" fontId="42" fillId="0" borderId="53" xfId="4288" applyNumberFormat="1" applyFont="1" applyFill="1" applyBorder="1" applyAlignment="1">
      <alignment horizontal="center" vertical="center"/>
    </xf>
    <xf numFmtId="1" fontId="277" fillId="0" borderId="7" xfId="4288" applyNumberFormat="1" applyFont="1" applyFill="1" applyBorder="1" applyAlignment="1">
      <alignment vertical="center" wrapText="1"/>
    </xf>
    <xf numFmtId="1" fontId="42" fillId="50" borderId="7" xfId="4285" applyNumberFormat="1" applyFont="1" applyFill="1" applyBorder="1" applyAlignment="1">
      <alignment horizontal="center" vertical="center"/>
    </xf>
    <xf numFmtId="14" fontId="42" fillId="50" borderId="7" xfId="0" applyNumberFormat="1" applyFont="1" applyFill="1" applyBorder="1" applyAlignment="1">
      <alignment horizontal="center" vertical="center" wrapText="1"/>
    </xf>
    <xf numFmtId="0" fontId="42" fillId="0" borderId="53" xfId="4264" applyNumberFormat="1" applyFont="1" applyFill="1" applyBorder="1" applyAlignment="1">
      <alignment horizontal="center" vertical="center" wrapText="1"/>
    </xf>
    <xf numFmtId="1" fontId="42" fillId="0" borderId="7" xfId="4288" applyNumberFormat="1" applyFont="1" applyFill="1" applyBorder="1" applyAlignment="1">
      <alignment horizontal="center" vertical="center" wrapText="1"/>
    </xf>
    <xf numFmtId="1" fontId="42" fillId="0" borderId="7" xfId="4285" applyNumberFormat="1" applyFont="1" applyFill="1" applyBorder="1" applyAlignment="1">
      <alignment horizontal="center" vertical="center" wrapText="1"/>
    </xf>
    <xf numFmtId="179" fontId="42" fillId="0" borderId="7" xfId="4289" applyNumberFormat="1" applyFont="1" applyFill="1" applyBorder="1" applyAlignment="1">
      <alignment horizontal="right" vertical="center"/>
    </xf>
    <xf numFmtId="237" fontId="42" fillId="50" borderId="7" xfId="4282" applyNumberFormat="1" applyFont="1" applyFill="1" applyBorder="1" applyAlignment="1">
      <alignment horizontal="right" vertical="center"/>
    </xf>
    <xf numFmtId="1" fontId="42" fillId="0" borderId="7" xfId="4288" applyNumberFormat="1" applyFont="1" applyFill="1" applyBorder="1" applyAlignment="1">
      <alignment horizontal="center" vertical="center"/>
    </xf>
    <xf numFmtId="0" fontId="279" fillId="0" borderId="0" xfId="0" applyFont="1"/>
    <xf numFmtId="0" fontId="279" fillId="0" borderId="53" xfId="0" applyFont="1" applyBorder="1" applyAlignment="1">
      <alignment horizontal="left" vertical="center"/>
    </xf>
    <xf numFmtId="0" fontId="279" fillId="0" borderId="53" xfId="0" applyFont="1" applyBorder="1"/>
    <xf numFmtId="3" fontId="42" fillId="0" borderId="0" xfId="0" applyNumberFormat="1" applyFont="1" applyFill="1" applyBorder="1" applyAlignment="1">
      <alignment horizontal="center" vertical="center" wrapText="1"/>
    </xf>
    <xf numFmtId="1" fontId="278" fillId="51" borderId="0" xfId="4288" applyNumberFormat="1" applyFont="1" applyFill="1" applyBorder="1" applyAlignment="1">
      <alignment horizontal="center" vertical="center" wrapText="1"/>
    </xf>
    <xf numFmtId="0" fontId="37" fillId="0" borderId="53" xfId="0" applyFont="1" applyFill="1" applyBorder="1" applyAlignment="1">
      <alignment horizontal="left" vertical="center" wrapText="1"/>
    </xf>
    <xf numFmtId="1" fontId="276" fillId="0" borderId="7" xfId="4288" applyNumberFormat="1" applyFont="1" applyFill="1" applyBorder="1" applyAlignment="1">
      <alignment vertical="center" wrapText="1"/>
    </xf>
    <xf numFmtId="1" fontId="31" fillId="50" borderId="7" xfId="4285" applyNumberFormat="1" applyFont="1" applyFill="1" applyBorder="1" applyAlignment="1">
      <alignment horizontal="center" vertical="center"/>
    </xf>
    <xf numFmtId="14" fontId="31" fillId="50" borderId="7" xfId="0" applyNumberFormat="1" applyFont="1" applyFill="1" applyBorder="1" applyAlignment="1">
      <alignment horizontal="center" vertical="center" wrapText="1"/>
    </xf>
    <xf numFmtId="1" fontId="31" fillId="0" borderId="7" xfId="4288" applyNumberFormat="1" applyFont="1" applyFill="1" applyBorder="1" applyAlignment="1">
      <alignment horizontal="center" vertical="center" wrapText="1"/>
    </xf>
    <xf numFmtId="1" fontId="31" fillId="0" borderId="7" xfId="4285" applyNumberFormat="1" applyFont="1" applyFill="1" applyBorder="1" applyAlignment="1">
      <alignment horizontal="center" vertical="center" wrapText="1"/>
    </xf>
    <xf numFmtId="179" fontId="37" fillId="0" borderId="7" xfId="4281" applyNumberFormat="1" applyFont="1" applyFill="1" applyBorder="1" applyAlignment="1">
      <alignment horizontal="right" vertical="center" wrapText="1"/>
    </xf>
    <xf numFmtId="179" fontId="31" fillId="0" borderId="7" xfId="4289" applyNumberFormat="1" applyFont="1" applyFill="1" applyBorder="1" applyAlignment="1">
      <alignment horizontal="right" vertical="center"/>
    </xf>
    <xf numFmtId="237" fontId="31" fillId="50" borderId="7" xfId="4282" applyNumberFormat="1" applyFont="1" applyFill="1" applyBorder="1" applyAlignment="1">
      <alignment horizontal="right" vertical="center"/>
    </xf>
    <xf numFmtId="1" fontId="31" fillId="0" borderId="7" xfId="4288" applyNumberFormat="1" applyFont="1" applyFill="1" applyBorder="1" applyAlignment="1">
      <alignment horizontal="center" vertical="center"/>
    </xf>
    <xf numFmtId="3" fontId="31" fillId="0" borderId="0" xfId="0" applyNumberFormat="1" applyFont="1" applyFill="1" applyBorder="1" applyAlignment="1">
      <alignment horizontal="center" vertical="center" wrapText="1"/>
    </xf>
    <xf numFmtId="0" fontId="273" fillId="51" borderId="0" xfId="0" applyFont="1" applyFill="1" applyBorder="1"/>
    <xf numFmtId="4" fontId="273" fillId="51" borderId="0" xfId="0" applyNumberFormat="1" applyFont="1" applyFill="1" applyBorder="1"/>
    <xf numFmtId="0" fontId="279" fillId="51" borderId="53" xfId="0" applyFont="1" applyFill="1" applyBorder="1" applyAlignment="1">
      <alignment horizontal="center"/>
    </xf>
    <xf numFmtId="0" fontId="42" fillId="51" borderId="53" xfId="0" applyNumberFormat="1" applyFont="1" applyFill="1" applyBorder="1" applyAlignment="1">
      <alignment horizontal="left" vertical="center" wrapText="1"/>
    </xf>
    <xf numFmtId="0" fontId="42" fillId="51" borderId="7" xfId="4264" applyNumberFormat="1" applyFont="1" applyFill="1" applyBorder="1" applyAlignment="1">
      <alignment horizontal="left" vertical="center" wrapText="1"/>
    </xf>
    <xf numFmtId="0" fontId="42" fillId="0" borderId="53" xfId="4284" applyNumberFormat="1" applyFont="1" applyFill="1" applyBorder="1" applyAlignment="1">
      <alignment horizontal="center" vertical="center"/>
    </xf>
    <xf numFmtId="323" fontId="42" fillId="0" borderId="53" xfId="0" applyNumberFormat="1" applyFont="1" applyFill="1" applyBorder="1" applyAlignment="1">
      <alignment horizontal="left" vertical="center" wrapText="1"/>
    </xf>
    <xf numFmtId="0" fontId="42" fillId="0" borderId="53" xfId="4264" applyFont="1" applyFill="1" applyBorder="1" applyAlignment="1">
      <alignment horizontal="center" vertical="center" wrapText="1"/>
    </xf>
    <xf numFmtId="179" fontId="42" fillId="0" borderId="53" xfId="4264" applyNumberFormat="1" applyFont="1" applyFill="1" applyBorder="1" applyAlignment="1">
      <alignment horizontal="center" vertical="center" wrapText="1"/>
    </xf>
    <xf numFmtId="179" fontId="42" fillId="0" borderId="53" xfId="4282" applyNumberFormat="1" applyFont="1" applyFill="1" applyBorder="1" applyAlignment="1">
      <alignment horizontal="center" vertical="center" wrapText="1"/>
    </xf>
    <xf numFmtId="310" fontId="42" fillId="0" borderId="53" xfId="0" applyNumberFormat="1" applyFont="1" applyFill="1" applyBorder="1" applyAlignment="1">
      <alignment horizontal="center" vertical="center" wrapText="1"/>
    </xf>
    <xf numFmtId="0" fontId="42" fillId="0" borderId="53" xfId="4284" applyNumberFormat="1" applyFont="1" applyFill="1" applyBorder="1" applyAlignment="1">
      <alignment horizontal="center" vertical="center" wrapText="1"/>
    </xf>
    <xf numFmtId="323" fontId="42" fillId="0" borderId="53" xfId="0" applyNumberFormat="1" applyFont="1" applyFill="1" applyBorder="1" applyAlignment="1">
      <alignment horizontal="center" vertical="center" wrapText="1"/>
    </xf>
    <xf numFmtId="179" fontId="42" fillId="0" borderId="7" xfId="4282" applyNumberFormat="1" applyFont="1" applyFill="1" applyBorder="1" applyAlignment="1">
      <alignment horizontal="center" vertical="center" wrapText="1"/>
    </xf>
    <xf numFmtId="237" fontId="42" fillId="0" borderId="7" xfId="4282" applyNumberFormat="1" applyFont="1" applyFill="1" applyBorder="1" applyAlignment="1">
      <alignment horizontal="center" vertical="center" wrapText="1"/>
    </xf>
    <xf numFmtId="0" fontId="31" fillId="0" borderId="53" xfId="0" applyFont="1" applyFill="1" applyBorder="1" applyAlignment="1">
      <alignment horizontal="left" vertical="center" wrapText="1"/>
    </xf>
    <xf numFmtId="179" fontId="31" fillId="0" borderId="53" xfId="4282" applyNumberFormat="1" applyFont="1" applyFill="1" applyBorder="1" applyAlignment="1">
      <alignment horizontal="center" vertical="center" wrapText="1"/>
    </xf>
    <xf numFmtId="1" fontId="31" fillId="0" borderId="53" xfId="4285" applyNumberFormat="1" applyFont="1" applyFill="1" applyBorder="1" applyAlignment="1">
      <alignment horizontal="left" vertical="center" wrapText="1"/>
    </xf>
    <xf numFmtId="323" fontId="31" fillId="0" borderId="53" xfId="0" quotePrefix="1" applyNumberFormat="1" applyFont="1" applyFill="1" applyBorder="1" applyAlignment="1">
      <alignment horizontal="left" vertical="center" wrapText="1"/>
    </xf>
    <xf numFmtId="323" fontId="31" fillId="0" borderId="53" xfId="0" quotePrefix="1" applyNumberFormat="1" applyFont="1" applyFill="1" applyBorder="1" applyAlignment="1">
      <alignment horizontal="center" vertical="center" wrapText="1"/>
    </xf>
    <xf numFmtId="237" fontId="31" fillId="0" borderId="53" xfId="4282" applyNumberFormat="1" applyFont="1" applyFill="1" applyBorder="1" applyAlignment="1">
      <alignment horizontal="center" vertical="center" wrapText="1"/>
    </xf>
    <xf numFmtId="179" fontId="31" fillId="0" borderId="53" xfId="4282" quotePrefix="1" applyNumberFormat="1" applyFont="1" applyFill="1" applyBorder="1" applyAlignment="1">
      <alignment horizontal="center" vertical="center" wrapText="1"/>
    </xf>
    <xf numFmtId="0" fontId="31" fillId="0" borderId="53" xfId="4264" applyNumberFormat="1" applyFont="1" applyFill="1" applyBorder="1" applyAlignment="1">
      <alignment horizontal="left" vertical="center" wrapText="1"/>
    </xf>
    <xf numFmtId="1" fontId="31" fillId="0" borderId="53" xfId="4285" quotePrefix="1" applyNumberFormat="1" applyFont="1" applyFill="1" applyBorder="1" applyAlignment="1">
      <alignment horizontal="center" vertical="center" wrapText="1"/>
    </xf>
    <xf numFmtId="323" fontId="31" fillId="0" borderId="53" xfId="0" applyNumberFormat="1" applyFont="1" applyFill="1" applyBorder="1" applyAlignment="1">
      <alignment horizontal="left" vertical="center" wrapText="1"/>
    </xf>
    <xf numFmtId="9" fontId="273" fillId="0" borderId="0" xfId="4283" applyFont="1"/>
    <xf numFmtId="9" fontId="31" fillId="0" borderId="0" xfId="4283" applyFont="1" applyFill="1"/>
    <xf numFmtId="0" fontId="31" fillId="0" borderId="0" xfId="0" applyFont="1" applyFill="1"/>
    <xf numFmtId="0" fontId="31" fillId="0" borderId="53" xfId="0" applyFont="1" applyFill="1" applyBorder="1" applyAlignment="1">
      <alignment horizontal="left" vertical="center"/>
    </xf>
    <xf numFmtId="0" fontId="31" fillId="0" borderId="53" xfId="0" applyFont="1" applyFill="1" applyBorder="1"/>
    <xf numFmtId="0" fontId="31" fillId="0" borderId="53" xfId="4264" applyFont="1" applyFill="1" applyBorder="1" applyAlignment="1">
      <alignment horizontal="left" vertical="center" wrapText="1"/>
    </xf>
    <xf numFmtId="179" fontId="31" fillId="51" borderId="53" xfId="4282" applyNumberFormat="1" applyFont="1" applyFill="1" applyBorder="1" applyAlignment="1">
      <alignment horizontal="center" vertical="center" wrapText="1"/>
    </xf>
    <xf numFmtId="237" fontId="276" fillId="0" borderId="53" xfId="4282" applyNumberFormat="1" applyFont="1" applyFill="1" applyBorder="1" applyAlignment="1">
      <alignment horizontal="center" vertical="center" wrapText="1"/>
    </xf>
    <xf numFmtId="1" fontId="42" fillId="0" borderId="53" xfId="4285" applyNumberFormat="1" applyFont="1" applyFill="1" applyBorder="1" applyAlignment="1">
      <alignment horizontal="left" vertical="center" wrapText="1"/>
    </xf>
    <xf numFmtId="14" fontId="42" fillId="0" borderId="53" xfId="0" applyNumberFormat="1" applyFont="1" applyFill="1" applyBorder="1" applyAlignment="1">
      <alignment horizontal="center" vertical="center" wrapText="1"/>
    </xf>
    <xf numFmtId="1" fontId="42" fillId="0" borderId="53" xfId="4285" quotePrefix="1" applyNumberFormat="1" applyFont="1" applyFill="1" applyBorder="1" applyAlignment="1">
      <alignment horizontal="center" vertical="center" wrapText="1"/>
    </xf>
    <xf numFmtId="0" fontId="31" fillId="0" borderId="0" xfId="0" applyNumberFormat="1" applyFont="1" applyFill="1" applyAlignment="1">
      <alignment horizontal="center" vertical="center" wrapText="1"/>
    </xf>
    <xf numFmtId="0" fontId="42" fillId="0" borderId="0" xfId="0" applyNumberFormat="1" applyFont="1" applyFill="1" applyAlignment="1">
      <alignment horizontal="center" vertical="center" wrapText="1"/>
    </xf>
    <xf numFmtId="179" fontId="37" fillId="0" borderId="53" xfId="4282" applyNumberFormat="1" applyFont="1" applyFill="1" applyBorder="1" applyAlignment="1">
      <alignment horizontal="center" vertical="center"/>
    </xf>
    <xf numFmtId="1" fontId="274" fillId="0" borderId="0" xfId="4285" applyNumberFormat="1" applyFont="1" applyFill="1" applyAlignment="1">
      <alignment vertical="center"/>
    </xf>
    <xf numFmtId="49" fontId="31" fillId="0" borderId="53" xfId="4282" applyNumberFormat="1" applyFont="1" applyFill="1" applyBorder="1" applyAlignment="1">
      <alignment horizontal="center" vertical="center" wrapText="1"/>
    </xf>
    <xf numFmtId="49" fontId="31" fillId="0" borderId="53" xfId="4282" quotePrefix="1" applyNumberFormat="1" applyFont="1" applyFill="1" applyBorder="1" applyAlignment="1">
      <alignment horizontal="center" vertical="center" wrapText="1"/>
    </xf>
    <xf numFmtId="247" fontId="31" fillId="51" borderId="53" xfId="0" applyNumberFormat="1" applyFont="1" applyFill="1" applyBorder="1" applyAlignment="1">
      <alignment horizontal="center" vertical="center" wrapText="1"/>
    </xf>
    <xf numFmtId="0" fontId="31" fillId="51" borderId="53" xfId="4284" applyNumberFormat="1" applyFont="1" applyFill="1" applyBorder="1" applyAlignment="1">
      <alignment horizontal="center" vertical="center"/>
    </xf>
    <xf numFmtId="1" fontId="31" fillId="51" borderId="53" xfId="4285" applyNumberFormat="1" applyFont="1" applyFill="1" applyBorder="1" applyAlignment="1">
      <alignment horizontal="left" vertical="center" wrapText="1"/>
    </xf>
    <xf numFmtId="14" fontId="31" fillId="51" borderId="53" xfId="0" applyNumberFormat="1" applyFont="1" applyFill="1" applyBorder="1" applyAlignment="1">
      <alignment horizontal="center" vertical="center" wrapText="1"/>
    </xf>
    <xf numFmtId="0" fontId="31" fillId="51" borderId="53" xfId="0" applyFont="1" applyFill="1" applyBorder="1" applyAlignment="1">
      <alignment horizontal="left" vertical="center" wrapText="1"/>
    </xf>
    <xf numFmtId="0" fontId="31" fillId="51" borderId="53" xfId="4284" applyNumberFormat="1" applyFont="1" applyFill="1" applyBorder="1" applyAlignment="1">
      <alignment horizontal="center" vertical="center" wrapText="1"/>
    </xf>
    <xf numFmtId="237" fontId="31" fillId="51" borderId="53" xfId="4282" applyNumberFormat="1" applyFont="1" applyFill="1" applyBorder="1" applyAlignment="1">
      <alignment horizontal="center" vertical="center" wrapText="1"/>
    </xf>
    <xf numFmtId="0" fontId="31" fillId="51" borderId="53" xfId="4264" applyNumberFormat="1" applyFont="1" applyFill="1" applyBorder="1" applyAlignment="1">
      <alignment horizontal="left" vertical="center" wrapText="1"/>
    </xf>
    <xf numFmtId="49" fontId="31" fillId="51" borderId="53" xfId="4282" applyNumberFormat="1" applyFont="1" applyFill="1" applyBorder="1" applyAlignment="1">
      <alignment horizontal="center" vertical="center" wrapText="1"/>
    </xf>
    <xf numFmtId="179" fontId="37" fillId="0" borderId="53" xfId="4290" applyNumberFormat="1" applyFont="1" applyFill="1" applyBorder="1" applyAlignment="1">
      <alignment horizontal="center" vertical="center" wrapText="1"/>
    </xf>
    <xf numFmtId="237" fontId="31" fillId="51" borderId="53" xfId="4282" applyNumberFormat="1" applyFont="1" applyFill="1" applyBorder="1" applyAlignment="1">
      <alignment horizontal="right" vertical="center"/>
    </xf>
    <xf numFmtId="49" fontId="31" fillId="51" borderId="53" xfId="4282" quotePrefix="1" applyNumberFormat="1" applyFont="1" applyFill="1" applyBorder="1" applyAlignment="1">
      <alignment horizontal="center" vertical="center" wrapText="1"/>
    </xf>
    <xf numFmtId="0" fontId="31" fillId="51" borderId="53" xfId="4264" applyFont="1" applyFill="1" applyBorder="1" applyAlignment="1">
      <alignment horizontal="left" vertical="center" wrapText="1"/>
    </xf>
    <xf numFmtId="323" fontId="31" fillId="51" borderId="53" xfId="0" applyNumberFormat="1" applyFont="1" applyFill="1" applyBorder="1" applyAlignment="1">
      <alignment horizontal="left" vertical="center" wrapText="1"/>
    </xf>
    <xf numFmtId="0" fontId="280" fillId="51" borderId="0" xfId="0" applyFont="1" applyFill="1" applyAlignment="1">
      <alignment vertical="center"/>
    </xf>
    <xf numFmtId="43" fontId="31" fillId="51" borderId="53" xfId="4282" applyFont="1" applyFill="1" applyBorder="1" applyAlignment="1">
      <alignment horizontal="left" vertical="center" wrapText="1"/>
    </xf>
    <xf numFmtId="247" fontId="31" fillId="0" borderId="53" xfId="0" applyNumberFormat="1" applyFont="1" applyFill="1" applyBorder="1" applyAlignment="1">
      <alignment horizontal="center" vertical="center" wrapText="1"/>
    </xf>
    <xf numFmtId="0" fontId="273" fillId="52" borderId="53" xfId="0" applyFont="1" applyFill="1" applyBorder="1" applyAlignment="1">
      <alignment horizontal="left" vertical="center"/>
    </xf>
    <xf numFmtId="0" fontId="31" fillId="51" borderId="53" xfId="0" applyFont="1" applyFill="1" applyBorder="1" applyAlignment="1">
      <alignment horizontal="left" vertical="center"/>
    </xf>
    <xf numFmtId="0" fontId="31" fillId="51" borderId="53" xfId="0" applyFont="1" applyFill="1" applyBorder="1"/>
    <xf numFmtId="43" fontId="31" fillId="0" borderId="53" xfId="4282" applyFont="1" applyFill="1" applyBorder="1" applyAlignment="1">
      <alignment horizontal="center" vertical="center" wrapText="1"/>
    </xf>
    <xf numFmtId="3" fontId="277" fillId="0" borderId="53" xfId="4288" applyNumberFormat="1" applyFont="1" applyFill="1" applyBorder="1" applyAlignment="1">
      <alignment horizontal="right" vertical="center"/>
    </xf>
    <xf numFmtId="179" fontId="31" fillId="0" borderId="53" xfId="4289" applyNumberFormat="1" applyFont="1" applyFill="1" applyBorder="1" applyAlignment="1">
      <alignment horizontal="center" vertical="center" wrapText="1"/>
    </xf>
    <xf numFmtId="1" fontId="280" fillId="0" borderId="53" xfId="4285" applyNumberFormat="1" applyFont="1" applyFill="1" applyBorder="1" applyAlignment="1">
      <alignment horizontal="left" vertical="center" wrapText="1"/>
    </xf>
    <xf numFmtId="1" fontId="280" fillId="0" borderId="53" xfId="4285" applyNumberFormat="1" applyFont="1" applyFill="1" applyBorder="1" applyAlignment="1">
      <alignment horizontal="center" vertical="center" wrapText="1"/>
    </xf>
    <xf numFmtId="179" fontId="280" fillId="0" borderId="53" xfId="4289" applyNumberFormat="1" applyFont="1" applyFill="1" applyBorder="1" applyAlignment="1">
      <alignment horizontal="center" vertical="center" wrapText="1"/>
    </xf>
    <xf numFmtId="3" fontId="280" fillId="0" borderId="53" xfId="4291" applyNumberFormat="1" applyFont="1" applyFill="1" applyBorder="1" applyAlignment="1">
      <alignment horizontal="right" vertical="center"/>
    </xf>
    <xf numFmtId="324" fontId="280" fillId="51" borderId="53" xfId="4292" applyNumberFormat="1" applyFont="1" applyFill="1" applyBorder="1" applyAlignment="1">
      <alignment horizontal="center" vertical="center" wrapText="1"/>
    </xf>
    <xf numFmtId="1" fontId="280" fillId="0" borderId="53" xfId="4293" applyNumberFormat="1" applyFont="1" applyFill="1" applyBorder="1" applyAlignment="1">
      <alignment horizontal="left" vertical="center" wrapText="1"/>
    </xf>
    <xf numFmtId="1" fontId="280" fillId="0" borderId="53" xfId="4293" applyNumberFormat="1" applyFont="1" applyFill="1" applyBorder="1" applyAlignment="1">
      <alignment horizontal="center" vertical="center" wrapText="1"/>
    </xf>
    <xf numFmtId="0" fontId="276" fillId="0" borderId="53" xfId="4284" applyNumberFormat="1" applyFont="1" applyFill="1" applyBorder="1" applyAlignment="1">
      <alignment horizontal="center" vertical="center" wrapText="1"/>
    </xf>
    <xf numFmtId="3" fontId="276" fillId="0" borderId="53" xfId="4291" applyNumberFormat="1" applyFont="1" applyFill="1" applyBorder="1" applyAlignment="1">
      <alignment horizontal="right" vertical="center"/>
    </xf>
    <xf numFmtId="1" fontId="31" fillId="53" borderId="53" xfId="4288" applyNumberFormat="1" applyFont="1" applyFill="1" applyBorder="1" applyAlignment="1">
      <alignment horizontal="center" vertical="center" wrapText="1"/>
    </xf>
    <xf numFmtId="0" fontId="276" fillId="51" borderId="53" xfId="4284" applyNumberFormat="1" applyFont="1" applyFill="1" applyBorder="1" applyAlignment="1">
      <alignment horizontal="center" vertical="center" wrapText="1"/>
    </xf>
    <xf numFmtId="1" fontId="276" fillId="0" borderId="53" xfId="4288" applyNumberFormat="1" applyFont="1" applyFill="1" applyBorder="1" applyAlignment="1">
      <alignment horizontal="center" vertical="center" wrapText="1"/>
    </xf>
    <xf numFmtId="324" fontId="280" fillId="0" borderId="53" xfId="4292" applyNumberFormat="1" applyFont="1" applyFill="1" applyBorder="1" applyAlignment="1">
      <alignment horizontal="center" vertical="center" wrapText="1"/>
    </xf>
    <xf numFmtId="179" fontId="280" fillId="0" borderId="53" xfId="4290" applyNumberFormat="1" applyFont="1" applyFill="1" applyBorder="1" applyAlignment="1">
      <alignment horizontal="center" vertical="center" wrapText="1"/>
    </xf>
    <xf numFmtId="179" fontId="276" fillId="0" borderId="53" xfId="4289" applyNumberFormat="1" applyFont="1" applyFill="1" applyBorder="1" applyAlignment="1">
      <alignment horizontal="center" vertical="center" wrapText="1"/>
    </xf>
    <xf numFmtId="3" fontId="280" fillId="0" borderId="53" xfId="4291" applyNumberFormat="1" applyFont="1" applyFill="1" applyBorder="1" applyAlignment="1">
      <alignment horizontal="center" vertical="center" wrapText="1"/>
    </xf>
    <xf numFmtId="0" fontId="280" fillId="0" borderId="53" xfId="4281" applyFont="1" applyFill="1" applyBorder="1" applyAlignment="1">
      <alignment vertical="center" wrapText="1"/>
    </xf>
    <xf numFmtId="0" fontId="280" fillId="0" borderId="53" xfId="4281" applyFont="1" applyFill="1" applyBorder="1" applyAlignment="1">
      <alignment horizontal="center" vertical="center" wrapText="1"/>
    </xf>
    <xf numFmtId="1" fontId="280" fillId="0" borderId="53" xfId="4288" applyNumberFormat="1" applyFont="1" applyFill="1" applyBorder="1" applyAlignment="1">
      <alignment horizontal="center" vertical="center" wrapText="1"/>
    </xf>
    <xf numFmtId="324" fontId="280" fillId="53" borderId="53" xfId="4292" applyNumberFormat="1" applyFont="1" applyFill="1" applyBorder="1" applyAlignment="1">
      <alignment horizontal="center" vertical="center" wrapText="1"/>
    </xf>
    <xf numFmtId="179" fontId="280" fillId="0" borderId="7" xfId="4281" applyNumberFormat="1" applyFont="1" applyFill="1" applyBorder="1" applyAlignment="1">
      <alignment horizontal="right" vertical="center" wrapText="1"/>
    </xf>
    <xf numFmtId="179" fontId="276" fillId="0" borderId="7" xfId="4281" applyNumberFormat="1" applyFont="1" applyFill="1" applyBorder="1" applyAlignment="1">
      <alignment horizontal="right" vertical="center" wrapText="1"/>
    </xf>
    <xf numFmtId="324" fontId="276" fillId="51" borderId="53" xfId="4292" applyNumberFormat="1" applyFont="1" applyFill="1" applyBorder="1" applyAlignment="1">
      <alignment horizontal="center" vertical="center" wrapText="1"/>
    </xf>
    <xf numFmtId="1" fontId="276" fillId="54" borderId="53" xfId="4288" applyNumberFormat="1" applyFont="1" applyFill="1" applyBorder="1" applyAlignment="1">
      <alignment horizontal="center" vertical="center"/>
    </xf>
    <xf numFmtId="0" fontId="276" fillId="54" borderId="53" xfId="4281" applyFont="1" applyFill="1" applyBorder="1" applyAlignment="1">
      <alignment vertical="center" wrapText="1"/>
    </xf>
    <xf numFmtId="0" fontId="276" fillId="54" borderId="53" xfId="4281" applyFont="1" applyFill="1" applyBorder="1" applyAlignment="1">
      <alignment horizontal="center" vertical="center" wrapText="1"/>
    </xf>
    <xf numFmtId="1" fontId="276" fillId="54" borderId="53" xfId="4288" applyNumberFormat="1" applyFont="1" applyFill="1" applyBorder="1" applyAlignment="1">
      <alignment horizontal="center" vertical="center" wrapText="1"/>
    </xf>
    <xf numFmtId="324" fontId="276" fillId="53" borderId="53" xfId="4292" applyNumberFormat="1" applyFont="1" applyFill="1" applyBorder="1" applyAlignment="1">
      <alignment horizontal="center" vertical="center" wrapText="1"/>
    </xf>
    <xf numFmtId="179" fontId="276" fillId="54" borderId="7" xfId="4281" applyNumberFormat="1" applyFont="1" applyFill="1" applyBorder="1" applyAlignment="1">
      <alignment horizontal="right" vertical="center" wrapText="1"/>
    </xf>
    <xf numFmtId="237" fontId="276" fillId="54" borderId="53" xfId="4282" applyNumberFormat="1" applyFont="1" applyFill="1" applyBorder="1" applyAlignment="1">
      <alignment horizontal="right" vertical="center"/>
    </xf>
    <xf numFmtId="179" fontId="276" fillId="54" borderId="53" xfId="4289" applyNumberFormat="1" applyFont="1" applyFill="1" applyBorder="1" applyAlignment="1">
      <alignment horizontal="right" vertical="center"/>
    </xf>
    <xf numFmtId="0" fontId="276" fillId="54" borderId="0" xfId="0" applyFont="1" applyFill="1"/>
    <xf numFmtId="0" fontId="276" fillId="54" borderId="53" xfId="0" applyFont="1" applyFill="1" applyBorder="1" applyAlignment="1">
      <alignment horizontal="left" vertical="center"/>
    </xf>
    <xf numFmtId="0" fontId="276" fillId="54" borderId="53" xfId="0" applyFont="1" applyFill="1" applyBorder="1"/>
    <xf numFmtId="179" fontId="276" fillId="54" borderId="53" xfId="4289" applyNumberFormat="1" applyFont="1" applyFill="1" applyBorder="1" applyAlignment="1">
      <alignment horizontal="center" vertical="center" wrapText="1"/>
    </xf>
    <xf numFmtId="324" fontId="276" fillId="54" borderId="53" xfId="4292" applyNumberFormat="1" applyFont="1" applyFill="1" applyBorder="1" applyAlignment="1">
      <alignment horizontal="center" vertical="center" wrapText="1"/>
    </xf>
    <xf numFmtId="4" fontId="276" fillId="54" borderId="53" xfId="0" applyNumberFormat="1" applyFont="1" applyFill="1" applyBorder="1"/>
    <xf numFmtId="1" fontId="275" fillId="0" borderId="53" xfId="4288" applyNumberFormat="1" applyFont="1" applyFill="1" applyBorder="1" applyAlignment="1">
      <alignment horizontal="center" vertical="center"/>
    </xf>
    <xf numFmtId="1" fontId="281" fillId="0" borderId="53" xfId="4285" applyNumberFormat="1" applyFont="1" applyFill="1" applyBorder="1" applyAlignment="1">
      <alignment horizontal="left" vertical="center" wrapText="1"/>
    </xf>
    <xf numFmtId="1" fontId="281" fillId="0" borderId="53" xfId="4285" applyNumberFormat="1" applyFont="1" applyFill="1" applyBorder="1" applyAlignment="1">
      <alignment horizontal="center" vertical="center" wrapText="1"/>
    </xf>
    <xf numFmtId="0" fontId="275" fillId="0" borderId="53" xfId="4284" applyNumberFormat="1" applyFont="1" applyFill="1" applyBorder="1" applyAlignment="1">
      <alignment horizontal="center" vertical="center" wrapText="1"/>
    </xf>
    <xf numFmtId="1" fontId="275" fillId="0" borderId="53" xfId="4288" applyNumberFormat="1" applyFont="1" applyFill="1" applyBorder="1" applyAlignment="1">
      <alignment horizontal="center" vertical="center" wrapText="1"/>
    </xf>
    <xf numFmtId="179" fontId="281" fillId="0" borderId="53" xfId="4289" applyNumberFormat="1" applyFont="1" applyFill="1" applyBorder="1" applyAlignment="1">
      <alignment horizontal="center" vertical="center" wrapText="1"/>
    </xf>
    <xf numFmtId="3" fontId="278" fillId="0" borderId="53" xfId="4291" applyNumberFormat="1" applyFont="1" applyFill="1" applyBorder="1" applyAlignment="1">
      <alignment horizontal="right" vertical="center"/>
    </xf>
    <xf numFmtId="237" fontId="275" fillId="50" borderId="53" xfId="4282" applyNumberFormat="1" applyFont="1" applyFill="1" applyBorder="1" applyAlignment="1">
      <alignment horizontal="right" vertical="center"/>
    </xf>
    <xf numFmtId="3" fontId="281" fillId="0" borderId="53" xfId="4291" applyNumberFormat="1" applyFont="1" applyFill="1" applyBorder="1" applyAlignment="1">
      <alignment horizontal="right" vertical="center"/>
    </xf>
    <xf numFmtId="179" fontId="275" fillId="0" borderId="53" xfId="4289" applyNumberFormat="1" applyFont="1" applyFill="1" applyBorder="1" applyAlignment="1">
      <alignment horizontal="right" vertical="center"/>
    </xf>
    <xf numFmtId="1" fontId="278" fillId="0" borderId="53" xfId="4288" applyNumberFormat="1" applyFont="1" applyFill="1" applyBorder="1" applyAlignment="1">
      <alignment horizontal="center" vertical="center"/>
    </xf>
    <xf numFmtId="0" fontId="282" fillId="0" borderId="0" xfId="0" applyFont="1"/>
    <xf numFmtId="0" fontId="282" fillId="0" borderId="53" xfId="0" applyFont="1" applyBorder="1" applyAlignment="1">
      <alignment horizontal="left" vertical="center"/>
    </xf>
    <xf numFmtId="0" fontId="282" fillId="0" borderId="53" xfId="0" applyFont="1" applyBorder="1"/>
    <xf numFmtId="3" fontId="281" fillId="0" borderId="53" xfId="4291" applyNumberFormat="1" applyFont="1" applyFill="1" applyBorder="1" applyAlignment="1">
      <alignment horizontal="center" vertical="center" wrapText="1"/>
    </xf>
    <xf numFmtId="179" fontId="275" fillId="0" borderId="53" xfId="4289" applyNumberFormat="1" applyFont="1" applyFill="1" applyBorder="1" applyAlignment="1">
      <alignment horizontal="center" vertical="center" wrapText="1"/>
    </xf>
    <xf numFmtId="0" fontId="275" fillId="51" borderId="53" xfId="4284" applyNumberFormat="1" applyFont="1" applyFill="1" applyBorder="1" applyAlignment="1">
      <alignment horizontal="center" vertical="center" wrapText="1"/>
    </xf>
    <xf numFmtId="0" fontId="282" fillId="51" borderId="53" xfId="0" applyFont="1" applyFill="1" applyBorder="1"/>
    <xf numFmtId="4" fontId="282" fillId="51" borderId="53" xfId="0" applyNumberFormat="1" applyFont="1" applyFill="1" applyBorder="1"/>
    <xf numFmtId="179" fontId="280" fillId="0" borderId="53" xfId="4281" applyNumberFormat="1" applyFont="1" applyFill="1" applyBorder="1" applyAlignment="1">
      <alignment horizontal="right" vertical="center" wrapText="1"/>
    </xf>
    <xf numFmtId="179" fontId="31" fillId="51" borderId="53" xfId="4289" applyNumberFormat="1" applyFont="1" applyFill="1" applyBorder="1" applyAlignment="1">
      <alignment horizontal="right" vertical="center"/>
    </xf>
    <xf numFmtId="0" fontId="281" fillId="0" borderId="53" xfId="4281" applyFont="1" applyFill="1" applyBorder="1" applyAlignment="1">
      <alignment vertical="center" wrapText="1"/>
    </xf>
    <xf numFmtId="0" fontId="281" fillId="0" borderId="53" xfId="4281" applyFont="1" applyFill="1" applyBorder="1" applyAlignment="1">
      <alignment horizontal="center" vertical="center" wrapText="1"/>
    </xf>
    <xf numFmtId="1" fontId="281" fillId="0" borderId="53" xfId="4288" applyNumberFormat="1" applyFont="1" applyFill="1" applyBorder="1" applyAlignment="1">
      <alignment horizontal="center" vertical="center" wrapText="1"/>
    </xf>
    <xf numFmtId="0" fontId="278" fillId="0" borderId="53" xfId="4284" applyNumberFormat="1" applyFont="1" applyFill="1" applyBorder="1" applyAlignment="1">
      <alignment horizontal="center" vertical="center" wrapText="1"/>
    </xf>
    <xf numFmtId="179" fontId="281" fillId="0" borderId="7" xfId="4281" applyNumberFormat="1" applyFont="1" applyFill="1" applyBorder="1" applyAlignment="1">
      <alignment horizontal="right" vertical="center" wrapText="1"/>
    </xf>
    <xf numFmtId="1" fontId="275" fillId="0" borderId="53" xfId="4288" applyNumberFormat="1" applyFont="1" applyFill="1" applyBorder="1" applyAlignment="1">
      <alignment vertical="center"/>
    </xf>
    <xf numFmtId="179" fontId="281" fillId="0" borderId="53" xfId="4290" applyNumberFormat="1" applyFont="1" applyFill="1" applyBorder="1" applyAlignment="1">
      <alignment horizontal="center" vertical="center" wrapText="1"/>
    </xf>
    <xf numFmtId="0" fontId="278" fillId="51" borderId="53" xfId="4284" applyNumberFormat="1" applyFont="1" applyFill="1" applyBorder="1" applyAlignment="1">
      <alignment horizontal="center" vertical="center" wrapText="1"/>
    </xf>
    <xf numFmtId="0" fontId="280" fillId="0" borderId="53" xfId="0" applyFont="1" applyFill="1" applyBorder="1" applyAlignment="1">
      <alignment horizontal="left" vertical="center" wrapText="1"/>
    </xf>
    <xf numFmtId="0" fontId="280" fillId="0" borderId="53" xfId="0" applyFont="1" applyFill="1" applyBorder="1" applyAlignment="1">
      <alignment horizontal="center" vertical="center" wrapText="1"/>
    </xf>
    <xf numFmtId="179" fontId="280" fillId="51" borderId="53" xfId="4289" applyNumberFormat="1" applyFont="1" applyFill="1" applyBorder="1" applyAlignment="1">
      <alignment horizontal="right" vertical="center"/>
    </xf>
    <xf numFmtId="1" fontId="276" fillId="0" borderId="53" xfId="4293" applyNumberFormat="1" applyFont="1" applyFill="1" applyBorder="1" applyAlignment="1">
      <alignment horizontal="left" vertical="center" wrapText="1"/>
    </xf>
    <xf numFmtId="1" fontId="276" fillId="0" borderId="53" xfId="4293" applyNumberFormat="1" applyFont="1" applyFill="1" applyBorder="1" applyAlignment="1">
      <alignment horizontal="center" vertical="center" wrapText="1"/>
    </xf>
    <xf numFmtId="1" fontId="31" fillId="0" borderId="53" xfId="4288" applyNumberFormat="1" applyFont="1" applyFill="1" applyBorder="1" applyAlignment="1">
      <alignment vertical="center" wrapText="1"/>
    </xf>
    <xf numFmtId="3" fontId="31" fillId="0" borderId="53" xfId="4288" applyNumberFormat="1" applyFont="1" applyFill="1" applyBorder="1" applyAlignment="1">
      <alignment vertical="center"/>
    </xf>
    <xf numFmtId="237" fontId="31" fillId="50" borderId="54" xfId="4282" applyNumberFormat="1" applyFont="1" applyFill="1" applyBorder="1" applyAlignment="1">
      <alignment horizontal="right" vertical="center"/>
    </xf>
    <xf numFmtId="179" fontId="276" fillId="0" borderId="54" xfId="4290" applyNumberFormat="1" applyFont="1" applyFill="1" applyBorder="1" applyAlignment="1">
      <alignment horizontal="center" vertical="center" wrapText="1"/>
    </xf>
    <xf numFmtId="1" fontId="31" fillId="51" borderId="53" xfId="4288" applyNumberFormat="1" applyFont="1" applyFill="1" applyBorder="1" applyAlignment="1">
      <alignment horizontal="center" vertical="center" wrapText="1"/>
    </xf>
    <xf numFmtId="0" fontId="276" fillId="0" borderId="53" xfId="4281" applyFont="1" applyFill="1" applyBorder="1" applyAlignment="1">
      <alignment horizontal="center" vertical="center" wrapText="1"/>
    </xf>
    <xf numFmtId="1" fontId="280" fillId="51" borderId="53" xfId="4288" applyNumberFormat="1" applyFont="1" applyFill="1" applyBorder="1" applyAlignment="1">
      <alignment horizontal="center" vertical="center" wrapText="1"/>
    </xf>
    <xf numFmtId="0" fontId="276" fillId="0" borderId="53" xfId="0" applyFont="1" applyFill="1" applyBorder="1" applyAlignment="1">
      <alignment horizontal="left" vertical="center" wrapText="1"/>
    </xf>
    <xf numFmtId="0" fontId="276" fillId="0" borderId="53" xfId="0" applyFont="1" applyFill="1" applyBorder="1" applyAlignment="1">
      <alignment horizontal="center" vertical="center" wrapText="1"/>
    </xf>
    <xf numFmtId="1" fontId="276" fillId="53" borderId="53" xfId="4285" quotePrefix="1" applyNumberFormat="1" applyFont="1" applyFill="1" applyBorder="1" applyAlignment="1">
      <alignment horizontal="center" vertical="center" wrapText="1"/>
    </xf>
    <xf numFmtId="179" fontId="276" fillId="0" borderId="53" xfId="4281" applyNumberFormat="1" applyFont="1" applyFill="1" applyBorder="1" applyAlignment="1">
      <alignment horizontal="right" vertical="center" wrapText="1"/>
    </xf>
    <xf numFmtId="1" fontId="278" fillId="51" borderId="53" xfId="4285" quotePrefix="1" applyNumberFormat="1" applyFont="1" applyFill="1" applyBorder="1" applyAlignment="1">
      <alignment horizontal="center" vertical="center" wrapText="1"/>
    </xf>
    <xf numFmtId="1" fontId="276" fillId="0" borderId="53" xfId="4285" quotePrefix="1" applyNumberFormat="1" applyFont="1" applyFill="1" applyBorder="1" applyAlignment="1">
      <alignment horizontal="center" vertical="center" wrapText="1"/>
    </xf>
    <xf numFmtId="179" fontId="276" fillId="0" borderId="53" xfId="4290" applyNumberFormat="1" applyFont="1" applyFill="1" applyBorder="1" applyAlignment="1">
      <alignment horizontal="center" vertical="center" wrapText="1"/>
    </xf>
    <xf numFmtId="1" fontId="276" fillId="51" borderId="53" xfId="4285" quotePrefix="1" applyNumberFormat="1" applyFont="1" applyFill="1" applyBorder="1" applyAlignment="1">
      <alignment horizontal="center" vertical="center" wrapText="1"/>
    </xf>
    <xf numFmtId="1" fontId="31" fillId="0" borderId="53" xfId="4288" applyNumberFormat="1" applyFont="1" applyFill="1" applyBorder="1" applyAlignment="1">
      <alignment vertical="center"/>
    </xf>
    <xf numFmtId="1" fontId="31" fillId="0" borderId="54" xfId="4288" applyNumberFormat="1" applyFont="1" applyFill="1" applyBorder="1" applyAlignment="1">
      <alignment vertical="center"/>
    </xf>
    <xf numFmtId="0" fontId="273" fillId="55" borderId="0" xfId="0" applyFont="1" applyFill="1"/>
    <xf numFmtId="1" fontId="276" fillId="0" borderId="53" xfId="4288" applyNumberFormat="1" applyFont="1" applyFill="1" applyBorder="1" applyAlignment="1">
      <alignment horizontal="center" vertical="center"/>
    </xf>
    <xf numFmtId="1" fontId="276" fillId="0" borderId="54" xfId="4288" applyNumberFormat="1" applyFont="1" applyFill="1" applyBorder="1" applyAlignment="1">
      <alignment horizontal="center" vertical="center"/>
    </xf>
    <xf numFmtId="1" fontId="277" fillId="0" borderId="53" xfId="4288" applyNumberFormat="1" applyFont="1" applyFill="1" applyBorder="1" applyAlignment="1">
      <alignment horizontal="left" vertical="center" wrapText="1"/>
    </xf>
    <xf numFmtId="179" fontId="277" fillId="0" borderId="53" xfId="4281" applyNumberFormat="1" applyFont="1" applyFill="1" applyBorder="1" applyAlignment="1">
      <alignment horizontal="right" vertical="center" wrapText="1"/>
    </xf>
    <xf numFmtId="1" fontId="42" fillId="51" borderId="53" xfId="4288" applyNumberFormat="1" applyFont="1" applyFill="1" applyBorder="1" applyAlignment="1">
      <alignment horizontal="center" vertical="center"/>
    </xf>
    <xf numFmtId="1" fontId="278" fillId="0" borderId="53" xfId="4288" applyNumberFormat="1" applyFont="1" applyFill="1" applyBorder="1" applyAlignment="1">
      <alignment horizontal="left" vertical="center" wrapText="1"/>
    </xf>
    <xf numFmtId="1" fontId="278" fillId="0" borderId="53" xfId="4288" applyNumberFormat="1" applyFont="1" applyFill="1" applyBorder="1" applyAlignment="1">
      <alignment horizontal="center" vertical="center" wrapText="1"/>
    </xf>
    <xf numFmtId="179" fontId="278" fillId="0" borderId="53" xfId="4281" applyNumberFormat="1" applyFont="1" applyFill="1" applyBorder="1" applyAlignment="1">
      <alignment horizontal="right" vertical="center" wrapText="1"/>
    </xf>
    <xf numFmtId="0" fontId="283" fillId="0" borderId="0" xfId="0" applyFont="1"/>
    <xf numFmtId="0" fontId="283" fillId="0" borderId="53" xfId="0" applyFont="1" applyBorder="1" applyAlignment="1">
      <alignment horizontal="left" vertical="center"/>
    </xf>
    <xf numFmtId="0" fontId="283" fillId="0" borderId="53" xfId="0" applyFont="1" applyBorder="1"/>
    <xf numFmtId="0" fontId="283" fillId="51" borderId="53" xfId="0" applyFont="1" applyFill="1" applyBorder="1"/>
    <xf numFmtId="1" fontId="275" fillId="51" borderId="53" xfId="4288" applyNumberFormat="1" applyFont="1" applyFill="1" applyBorder="1" applyAlignment="1">
      <alignment horizontal="center" vertical="center"/>
    </xf>
    <xf numFmtId="4" fontId="283" fillId="51" borderId="53" xfId="0" applyNumberFormat="1" applyFont="1" applyFill="1" applyBorder="1"/>
    <xf numFmtId="0" fontId="31" fillId="56" borderId="53" xfId="4284" applyNumberFormat="1" applyFont="1" applyFill="1" applyBorder="1" applyAlignment="1">
      <alignment horizontal="center" vertical="center" wrapText="1"/>
    </xf>
    <xf numFmtId="1" fontId="275" fillId="0" borderId="53" xfId="4288" applyNumberFormat="1" applyFont="1" applyFill="1" applyBorder="1" applyAlignment="1">
      <alignment vertical="center" wrapText="1"/>
    </xf>
    <xf numFmtId="3" fontId="275" fillId="0" borderId="53" xfId="4288" applyNumberFormat="1" applyFont="1" applyFill="1" applyBorder="1" applyAlignment="1">
      <alignment vertical="center"/>
    </xf>
    <xf numFmtId="1" fontId="275" fillId="51" borderId="53" xfId="4288" applyNumberFormat="1" applyFont="1" applyFill="1" applyBorder="1" applyAlignment="1">
      <alignment horizontal="center" vertical="center" wrapText="1"/>
    </xf>
    <xf numFmtId="1" fontId="277" fillId="0" borderId="53" xfId="4288" applyNumberFormat="1" applyFont="1" applyFill="1" applyBorder="1" applyAlignment="1">
      <alignment vertical="center"/>
    </xf>
    <xf numFmtId="0" fontId="31" fillId="0" borderId="53" xfId="0" applyFont="1" applyFill="1" applyBorder="1" applyAlignment="1">
      <alignment horizontal="center" vertical="center" wrapText="1"/>
    </xf>
    <xf numFmtId="0" fontId="31" fillId="53" borderId="53" xfId="0" applyFont="1" applyFill="1" applyBorder="1" applyAlignment="1">
      <alignment horizontal="center" vertical="center" wrapText="1"/>
    </xf>
    <xf numFmtId="179" fontId="31" fillId="0" borderId="53" xfId="4281" applyNumberFormat="1" applyFont="1" applyFill="1" applyBorder="1" applyAlignment="1">
      <alignment horizontal="right" vertical="center" wrapText="1"/>
    </xf>
    <xf numFmtId="3" fontId="31" fillId="0" borderId="53" xfId="0" applyNumberFormat="1" applyFont="1" applyFill="1" applyBorder="1" applyAlignment="1">
      <alignment horizontal="right" vertical="center"/>
    </xf>
    <xf numFmtId="1" fontId="31" fillId="0" borderId="54" xfId="4288" applyNumberFormat="1" applyFont="1" applyFill="1" applyBorder="1" applyAlignment="1">
      <alignment horizontal="center" vertical="center"/>
    </xf>
    <xf numFmtId="1" fontId="31" fillId="55" borderId="53" xfId="4288" applyNumberFormat="1" applyFont="1" applyFill="1" applyBorder="1" applyAlignment="1">
      <alignment vertical="center"/>
    </xf>
    <xf numFmtId="0" fontId="37" fillId="0" borderId="53" xfId="4264" applyNumberFormat="1" applyFont="1" applyFill="1" applyBorder="1" applyAlignment="1">
      <alignment horizontal="center" vertical="center" wrapText="1"/>
    </xf>
    <xf numFmtId="0" fontId="37" fillId="51" borderId="53" xfId="4264" applyNumberFormat="1" applyFont="1" applyFill="1" applyBorder="1" applyAlignment="1">
      <alignment horizontal="center" vertical="center" wrapText="1"/>
    </xf>
    <xf numFmtId="0" fontId="31" fillId="57" borderId="53" xfId="0" applyFont="1" applyFill="1" applyBorder="1"/>
    <xf numFmtId="1" fontId="31" fillId="57" borderId="53" xfId="4285" quotePrefix="1" applyNumberFormat="1" applyFont="1" applyFill="1" applyBorder="1" applyAlignment="1">
      <alignment horizontal="center" vertical="center" wrapText="1"/>
    </xf>
    <xf numFmtId="0" fontId="31" fillId="57" borderId="0" xfId="0" applyFont="1" applyFill="1"/>
    <xf numFmtId="4" fontId="31" fillId="57" borderId="53" xfId="0" applyNumberFormat="1" applyFont="1" applyFill="1" applyBorder="1"/>
    <xf numFmtId="1" fontId="284" fillId="0" borderId="53" xfId="4288" applyNumberFormat="1" applyFont="1" applyFill="1" applyBorder="1" applyAlignment="1">
      <alignment horizontal="center" vertical="center" wrapText="1"/>
    </xf>
    <xf numFmtId="1" fontId="276" fillId="58" borderId="53" xfId="4288" applyNumberFormat="1" applyFont="1" applyFill="1" applyBorder="1" applyAlignment="1">
      <alignment horizontal="center" vertical="center"/>
    </xf>
    <xf numFmtId="1" fontId="31" fillId="58" borderId="53" xfId="4288" applyNumberFormat="1" applyFont="1" applyFill="1" applyBorder="1" applyAlignment="1">
      <alignment vertical="center" wrapText="1"/>
    </xf>
    <xf numFmtId="1" fontId="31" fillId="58" borderId="53" xfId="4288" applyNumberFormat="1" applyFont="1" applyFill="1" applyBorder="1" applyAlignment="1">
      <alignment horizontal="center" vertical="center" wrapText="1"/>
    </xf>
    <xf numFmtId="1" fontId="31" fillId="58" borderId="53" xfId="4288" applyNumberFormat="1" applyFont="1" applyFill="1" applyBorder="1" applyAlignment="1">
      <alignment horizontal="center" vertical="center"/>
    </xf>
    <xf numFmtId="3" fontId="31" fillId="58" borderId="53" xfId="4288" applyNumberFormat="1" applyFont="1" applyFill="1" applyBorder="1" applyAlignment="1">
      <alignment vertical="center"/>
    </xf>
    <xf numFmtId="237" fontId="31" fillId="58" borderId="53" xfId="4282" applyNumberFormat="1" applyFont="1" applyFill="1" applyBorder="1" applyAlignment="1">
      <alignment horizontal="right" vertical="center"/>
    </xf>
    <xf numFmtId="179" fontId="31" fillId="58" borderId="53" xfId="4289" applyNumberFormat="1" applyFont="1" applyFill="1" applyBorder="1" applyAlignment="1">
      <alignment horizontal="right" vertical="center"/>
    </xf>
    <xf numFmtId="1" fontId="31" fillId="58" borderId="53" xfId="4288" applyNumberFormat="1" applyFont="1" applyFill="1" applyBorder="1" applyAlignment="1">
      <alignment vertical="center"/>
    </xf>
    <xf numFmtId="0" fontId="273" fillId="58" borderId="0" xfId="0" applyFont="1" applyFill="1"/>
    <xf numFmtId="0" fontId="273" fillId="58" borderId="53" xfId="0" applyFont="1" applyFill="1" applyBorder="1" applyAlignment="1">
      <alignment horizontal="left" vertical="center"/>
    </xf>
    <xf numFmtId="0" fontId="273" fillId="58" borderId="53" xfId="0" applyFont="1" applyFill="1" applyBorder="1"/>
    <xf numFmtId="4" fontId="273" fillId="58" borderId="53" xfId="0" applyNumberFormat="1" applyFont="1" applyFill="1" applyBorder="1"/>
    <xf numFmtId="0" fontId="276" fillId="51" borderId="53" xfId="0" applyFont="1" applyFill="1" applyBorder="1" applyAlignment="1">
      <alignment horizontal="left" vertical="center" wrapText="1"/>
    </xf>
    <xf numFmtId="0" fontId="280" fillId="51" borderId="53" xfId="4281" applyFont="1" applyFill="1" applyBorder="1" applyAlignment="1">
      <alignment horizontal="center" vertical="center" wrapText="1"/>
    </xf>
    <xf numFmtId="1" fontId="276" fillId="51" borderId="53" xfId="4288" applyNumberFormat="1" applyFont="1" applyFill="1" applyBorder="1" applyAlignment="1">
      <alignment horizontal="center" vertical="center" wrapText="1"/>
    </xf>
    <xf numFmtId="179" fontId="276" fillId="51" borderId="53" xfId="4281" applyNumberFormat="1" applyFont="1" applyFill="1" applyBorder="1" applyAlignment="1">
      <alignment horizontal="right" vertical="center" wrapText="1"/>
    </xf>
    <xf numFmtId="3" fontId="276" fillId="51" borderId="53" xfId="0" applyNumberFormat="1" applyFont="1" applyFill="1" applyBorder="1" applyAlignment="1">
      <alignment horizontal="right" vertical="center"/>
    </xf>
    <xf numFmtId="179" fontId="31" fillId="51" borderId="53" xfId="4282" applyNumberFormat="1" applyFont="1" applyFill="1" applyBorder="1" applyAlignment="1">
      <alignment horizontal="right" vertical="center"/>
    </xf>
    <xf numFmtId="0" fontId="276" fillId="51" borderId="53" xfId="4281" applyFont="1" applyFill="1" applyBorder="1" applyAlignment="1">
      <alignment horizontal="center" vertical="center" wrapText="1"/>
    </xf>
    <xf numFmtId="179" fontId="276" fillId="51" borderId="53" xfId="4282" applyNumberFormat="1" applyFont="1" applyFill="1" applyBorder="1" applyAlignment="1">
      <alignment horizontal="center" vertical="center" wrapText="1"/>
    </xf>
    <xf numFmtId="179" fontId="285" fillId="0" borderId="53" xfId="4294" applyNumberFormat="1" applyFont="1" applyFill="1" applyBorder="1" applyAlignment="1">
      <alignment horizontal="center" vertical="center" wrapText="1"/>
    </xf>
    <xf numFmtId="0" fontId="31" fillId="51" borderId="0" xfId="0" applyFont="1" applyFill="1" applyBorder="1" applyAlignment="1">
      <alignment horizontal="center" vertical="center" wrapText="1"/>
    </xf>
    <xf numFmtId="0" fontId="286" fillId="0" borderId="53" xfId="4295" applyNumberFormat="1" applyFont="1" applyFill="1" applyBorder="1" applyAlignment="1">
      <alignment horizontal="center" vertical="center" wrapText="1"/>
    </xf>
    <xf numFmtId="0" fontId="275" fillId="51" borderId="53" xfId="4284" applyNumberFormat="1" applyFont="1" applyFill="1" applyBorder="1" applyAlignment="1">
      <alignment horizontal="center" vertical="center"/>
    </xf>
    <xf numFmtId="0" fontId="287" fillId="0" borderId="53" xfId="0" applyFont="1" applyFill="1" applyBorder="1" applyAlignment="1">
      <alignment horizontal="left" vertical="center" wrapText="1"/>
    </xf>
    <xf numFmtId="0" fontId="278" fillId="51" borderId="53" xfId="0" applyFont="1" applyFill="1" applyBorder="1" applyAlignment="1">
      <alignment horizontal="left" vertical="center" wrapText="1"/>
    </xf>
    <xf numFmtId="0" fontId="281" fillId="51" borderId="53" xfId="4281" applyFont="1" applyFill="1" applyBorder="1" applyAlignment="1">
      <alignment horizontal="center" vertical="center" wrapText="1"/>
    </xf>
    <xf numFmtId="179" fontId="278" fillId="0" borderId="53" xfId="4294" applyNumberFormat="1" applyFont="1" applyFill="1" applyBorder="1" applyAlignment="1">
      <alignment horizontal="center" vertical="center" wrapText="1"/>
    </xf>
    <xf numFmtId="179" fontId="287" fillId="0" borderId="53" xfId="4281" applyNumberFormat="1" applyFont="1" applyFill="1" applyBorder="1" applyAlignment="1">
      <alignment horizontal="right" vertical="center" wrapText="1"/>
    </xf>
    <xf numFmtId="3" fontId="278" fillId="51" borderId="53" xfId="0" applyNumberFormat="1" applyFont="1" applyFill="1" applyBorder="1" applyAlignment="1">
      <alignment horizontal="right" vertical="center"/>
    </xf>
    <xf numFmtId="179" fontId="275" fillId="51" borderId="53" xfId="4282" applyNumberFormat="1" applyFont="1" applyFill="1" applyBorder="1" applyAlignment="1">
      <alignment horizontal="right" vertical="center"/>
    </xf>
    <xf numFmtId="0" fontId="278" fillId="51" borderId="53" xfId="4281" applyFont="1" applyFill="1" applyBorder="1" applyAlignment="1">
      <alignment horizontal="center" vertical="center" wrapText="1"/>
    </xf>
    <xf numFmtId="0" fontId="282" fillId="51" borderId="0" xfId="0" applyFont="1" applyFill="1"/>
    <xf numFmtId="0" fontId="282" fillId="51" borderId="53" xfId="0" applyFont="1" applyFill="1" applyBorder="1" applyAlignment="1">
      <alignment horizontal="left" vertical="center"/>
    </xf>
    <xf numFmtId="1" fontId="275" fillId="0" borderId="0" xfId="4288" applyNumberFormat="1" applyFont="1" applyFill="1" applyBorder="1" applyAlignment="1">
      <alignment horizontal="center" vertical="center" wrapText="1"/>
    </xf>
    <xf numFmtId="0" fontId="275" fillId="51" borderId="0" xfId="0" applyFont="1" applyFill="1" applyBorder="1" applyAlignment="1">
      <alignment horizontal="center" vertical="center" wrapText="1"/>
    </xf>
    <xf numFmtId="0" fontId="282" fillId="51" borderId="0" xfId="0" applyFont="1" applyFill="1" applyBorder="1"/>
    <xf numFmtId="4" fontId="282" fillId="51" borderId="0" xfId="0" applyNumberFormat="1" applyFont="1" applyFill="1" applyBorder="1"/>
    <xf numFmtId="0" fontId="288" fillId="0" borderId="53" xfId="0" applyFont="1" applyFill="1" applyBorder="1" applyAlignment="1">
      <alignment horizontal="left" vertical="center" wrapText="1"/>
    </xf>
    <xf numFmtId="179" fontId="288" fillId="0" borderId="53" xfId="4281" applyNumberFormat="1" applyFont="1" applyFill="1" applyBorder="1" applyAlignment="1">
      <alignment horizontal="right" vertical="center" wrapText="1"/>
    </xf>
    <xf numFmtId="0" fontId="37" fillId="0" borderId="53" xfId="4281" applyFont="1" applyFill="1" applyBorder="1" applyAlignment="1">
      <alignment vertical="center" wrapText="1"/>
    </xf>
    <xf numFmtId="179" fontId="37" fillId="0" borderId="53" xfId="4281" applyNumberFormat="1" applyFont="1" applyFill="1" applyBorder="1" applyAlignment="1">
      <alignment horizontal="right" vertical="center" wrapText="1"/>
    </xf>
    <xf numFmtId="179" fontId="31" fillId="0" borderId="53" xfId="4294" applyNumberFormat="1" applyFont="1" applyFill="1" applyBorder="1" applyAlignment="1">
      <alignment horizontal="center" vertical="center" wrapText="1"/>
    </xf>
    <xf numFmtId="179" fontId="37" fillId="0" borderId="53" xfId="4294" applyNumberFormat="1" applyFont="1" applyFill="1" applyBorder="1" applyAlignment="1">
      <alignment horizontal="right" vertical="center"/>
    </xf>
    <xf numFmtId="179" fontId="40" fillId="0" borderId="53" xfId="4294" applyNumberFormat="1" applyFont="1" applyFill="1" applyBorder="1" applyAlignment="1">
      <alignment horizontal="right" vertical="center"/>
    </xf>
    <xf numFmtId="0" fontId="37" fillId="0" borderId="7" xfId="0" applyFont="1" applyFill="1" applyBorder="1" applyAlignment="1">
      <alignment horizontal="left" vertical="center" wrapText="1"/>
    </xf>
    <xf numFmtId="1" fontId="8" fillId="0" borderId="53" xfId="4288" applyNumberFormat="1" applyFont="1" applyFill="1" applyBorder="1" applyAlignment="1">
      <alignment vertical="center"/>
    </xf>
    <xf numFmtId="1" fontId="37" fillId="0" borderId="53" xfId="4293" applyNumberFormat="1" applyFont="1" applyFill="1" applyBorder="1" applyAlignment="1">
      <alignment horizontal="left" vertical="center" wrapText="1"/>
    </xf>
    <xf numFmtId="3" fontId="37" fillId="0" borderId="53" xfId="4291" applyNumberFormat="1" applyFont="1" applyFill="1" applyBorder="1" applyAlignment="1">
      <alignment horizontal="right" vertical="center"/>
    </xf>
    <xf numFmtId="237" fontId="42" fillId="51" borderId="53" xfId="4282" applyNumberFormat="1" applyFont="1" applyFill="1" applyBorder="1" applyAlignment="1">
      <alignment horizontal="center" vertical="center" wrapText="1"/>
    </xf>
    <xf numFmtId="179" fontId="42" fillId="51" borderId="53" xfId="4282" applyNumberFormat="1" applyFont="1" applyFill="1" applyBorder="1" applyAlignment="1">
      <alignment horizontal="center" vertical="center" wrapText="1"/>
    </xf>
    <xf numFmtId="1" fontId="42" fillId="51" borderId="0" xfId="4285" applyNumberFormat="1" applyFont="1" applyFill="1" applyBorder="1" applyAlignment="1">
      <alignment vertical="center"/>
    </xf>
    <xf numFmtId="1" fontId="42" fillId="51" borderId="53" xfId="4285" applyNumberFormat="1" applyFont="1" applyFill="1" applyBorder="1" applyAlignment="1">
      <alignment horizontal="left" vertical="center"/>
    </xf>
    <xf numFmtId="1" fontId="42" fillId="51" borderId="53" xfId="4285" applyNumberFormat="1" applyFont="1" applyFill="1" applyBorder="1" applyAlignment="1">
      <alignment vertical="center"/>
    </xf>
    <xf numFmtId="1" fontId="42" fillId="50" borderId="53" xfId="1" applyNumberFormat="1" applyFont="1" applyFill="1" applyBorder="1" applyAlignment="1">
      <alignment horizontal="center" vertical="center" wrapText="1"/>
    </xf>
    <xf numFmtId="49" fontId="42" fillId="50" borderId="53" xfId="4284" applyNumberFormat="1" applyFont="1" applyFill="1" applyBorder="1" applyAlignment="1">
      <alignment horizontal="center" vertical="center" wrapText="1"/>
    </xf>
    <xf numFmtId="1" fontId="42" fillId="50" borderId="53" xfId="4285" applyNumberFormat="1" applyFont="1" applyFill="1" applyBorder="1" applyAlignment="1">
      <alignment horizontal="center" vertical="center" wrapText="1"/>
    </xf>
    <xf numFmtId="179" fontId="278" fillId="50" borderId="53" xfId="4282" applyNumberFormat="1" applyFont="1" applyFill="1" applyBorder="1" applyAlignment="1">
      <alignment horizontal="center" vertical="center" wrapText="1"/>
    </xf>
    <xf numFmtId="237" fontId="278" fillId="50" borderId="53" xfId="4282" applyNumberFormat="1" applyFont="1" applyFill="1" applyBorder="1" applyAlignment="1">
      <alignment horizontal="center" vertical="center" wrapText="1"/>
    </xf>
    <xf numFmtId="0" fontId="42" fillId="50" borderId="0" xfId="0" applyFont="1" applyFill="1" applyBorder="1"/>
    <xf numFmtId="0" fontId="42" fillId="50" borderId="53" xfId="0" applyFont="1" applyFill="1" applyBorder="1" applyAlignment="1">
      <alignment horizontal="left" vertical="center"/>
    </xf>
    <xf numFmtId="0" fontId="42" fillId="50" borderId="53" xfId="0" applyFont="1" applyFill="1" applyBorder="1"/>
    <xf numFmtId="0" fontId="31" fillId="0" borderId="53" xfId="4295" applyNumberFormat="1" applyFont="1" applyFill="1" applyBorder="1" applyAlignment="1">
      <alignment horizontal="left" vertical="center" wrapText="1"/>
    </xf>
    <xf numFmtId="1" fontId="31" fillId="0" borderId="53" xfId="1" applyNumberFormat="1" applyFont="1" applyFill="1" applyBorder="1" applyAlignment="1">
      <alignment horizontal="center" vertical="center" wrapText="1"/>
    </xf>
    <xf numFmtId="0" fontId="31" fillId="0" borderId="53" xfId="4295" applyNumberFormat="1" applyFont="1" applyFill="1" applyBorder="1" applyAlignment="1">
      <alignment horizontal="center" vertical="center" wrapText="1"/>
    </xf>
    <xf numFmtId="0" fontId="31" fillId="0" borderId="0" xfId="0" applyFont="1" applyFill="1" applyBorder="1"/>
    <xf numFmtId="323" fontId="31" fillId="0" borderId="53" xfId="0" applyNumberFormat="1" applyFont="1" applyFill="1" applyBorder="1" applyAlignment="1">
      <alignment horizontal="center" vertical="center" wrapText="1"/>
    </xf>
    <xf numFmtId="0" fontId="276" fillId="0" borderId="53" xfId="0" applyFont="1" applyFill="1" applyBorder="1"/>
    <xf numFmtId="1" fontId="31" fillId="50" borderId="53" xfId="1" applyNumberFormat="1" applyFont="1" applyFill="1" applyBorder="1" applyAlignment="1">
      <alignment horizontal="center" vertical="center" wrapText="1"/>
    </xf>
    <xf numFmtId="0" fontId="31" fillId="50" borderId="53" xfId="0" applyFont="1" applyFill="1" applyBorder="1" applyAlignment="1">
      <alignment horizontal="center" vertical="center" wrapText="1"/>
    </xf>
    <xf numFmtId="0" fontId="31" fillId="50" borderId="53" xfId="0" applyFont="1" applyFill="1" applyBorder="1"/>
    <xf numFmtId="0" fontId="31" fillId="50" borderId="0" xfId="0" applyFont="1" applyFill="1" applyBorder="1"/>
    <xf numFmtId="0" fontId="31" fillId="50" borderId="53" xfId="0" applyFont="1" applyFill="1" applyBorder="1" applyAlignment="1">
      <alignment horizontal="left" vertical="center"/>
    </xf>
    <xf numFmtId="1" fontId="31" fillId="50" borderId="53" xfId="4296" applyNumberFormat="1" applyFont="1" applyFill="1" applyBorder="1" applyAlignment="1">
      <alignment horizontal="left" vertical="center" wrapText="1"/>
    </xf>
    <xf numFmtId="0" fontId="31" fillId="50" borderId="53" xfId="4295" applyNumberFormat="1" applyFont="1" applyFill="1" applyBorder="1" applyAlignment="1">
      <alignment horizontal="center" vertical="center" wrapText="1"/>
    </xf>
    <xf numFmtId="179" fontId="31" fillId="50" borderId="53" xfId="4282" applyNumberFormat="1" applyFont="1" applyFill="1" applyBorder="1" applyAlignment="1">
      <alignment horizontal="center" vertical="center" wrapText="1"/>
    </xf>
    <xf numFmtId="237" fontId="31" fillId="50" borderId="53" xfId="4282" applyNumberFormat="1" applyFont="1" applyFill="1" applyBorder="1" applyAlignment="1">
      <alignment horizontal="center" vertical="center" wrapText="1"/>
    </xf>
    <xf numFmtId="0" fontId="42" fillId="50" borderId="53" xfId="0" applyFont="1" applyFill="1" applyBorder="1" applyAlignment="1">
      <alignment horizontal="center" vertical="center" wrapText="1"/>
    </xf>
    <xf numFmtId="1" fontId="31" fillId="50" borderId="53" xfId="4297" applyNumberFormat="1" applyFont="1" applyFill="1" applyBorder="1" applyAlignment="1">
      <alignment horizontal="left" vertical="center" wrapText="1"/>
    </xf>
    <xf numFmtId="3" fontId="31" fillId="51" borderId="53" xfId="16" applyNumberFormat="1" applyFont="1" applyFill="1" applyBorder="1" applyAlignment="1">
      <alignment horizontal="center" vertical="center" wrapText="1"/>
    </xf>
    <xf numFmtId="1" fontId="31" fillId="50" borderId="53" xfId="4298" applyNumberFormat="1" applyFont="1" applyFill="1" applyBorder="1" applyAlignment="1">
      <alignment horizontal="left" vertical="center" wrapText="1"/>
    </xf>
    <xf numFmtId="1" fontId="31" fillId="51" borderId="53" xfId="4298" applyNumberFormat="1" applyFont="1" applyFill="1" applyBorder="1" applyAlignment="1">
      <alignment horizontal="left" vertical="center" wrapText="1"/>
    </xf>
    <xf numFmtId="1" fontId="31" fillId="51" borderId="53" xfId="1" applyNumberFormat="1" applyFont="1" applyFill="1" applyBorder="1" applyAlignment="1">
      <alignment horizontal="center" vertical="center" wrapText="1"/>
    </xf>
    <xf numFmtId="1" fontId="289" fillId="51" borderId="53" xfId="4285" applyNumberFormat="1" applyFont="1" applyFill="1" applyBorder="1" applyAlignment="1">
      <alignment horizontal="center" vertical="center" wrapText="1"/>
    </xf>
    <xf numFmtId="0" fontId="31" fillId="51" borderId="0" xfId="0" applyFont="1" applyFill="1" applyBorder="1"/>
    <xf numFmtId="0" fontId="31" fillId="50" borderId="53" xfId="4299" applyNumberFormat="1" applyFont="1" applyFill="1" applyBorder="1" applyAlignment="1">
      <alignment horizontal="left" vertical="center" wrapText="1"/>
    </xf>
    <xf numFmtId="0" fontId="31" fillId="0" borderId="53" xfId="4276" applyFont="1" applyFill="1" applyBorder="1" applyAlignment="1">
      <alignment vertical="center" wrapText="1"/>
    </xf>
    <xf numFmtId="237" fontId="31" fillId="0" borderId="53" xfId="4273" applyNumberFormat="1" applyFont="1" applyFill="1" applyBorder="1" applyAlignment="1">
      <alignment horizontal="right" vertical="center"/>
    </xf>
    <xf numFmtId="0" fontId="31" fillId="0" borderId="53" xfId="2569" applyFont="1" applyFill="1" applyBorder="1" applyAlignment="1">
      <alignment horizontal="center" vertical="center" wrapText="1"/>
    </xf>
    <xf numFmtId="179" fontId="31" fillId="51" borderId="53" xfId="4289" applyNumberFormat="1" applyFont="1" applyFill="1" applyBorder="1" applyAlignment="1">
      <alignment horizontal="center" vertical="center" wrapText="1"/>
    </xf>
    <xf numFmtId="179" fontId="277" fillId="0" borderId="53" xfId="4290" applyNumberFormat="1" applyFont="1" applyFill="1" applyBorder="1" applyAlignment="1">
      <alignment horizontal="right" vertical="center"/>
    </xf>
    <xf numFmtId="1" fontId="276" fillId="0" borderId="53" xfId="4288" applyNumberFormat="1" applyFont="1" applyFill="1" applyBorder="1" applyAlignment="1">
      <alignment vertical="center"/>
    </xf>
    <xf numFmtId="3" fontId="42" fillId="0" borderId="53" xfId="4288" applyNumberFormat="1" applyFont="1" applyFill="1" applyBorder="1" applyAlignment="1">
      <alignment vertical="center" wrapText="1"/>
    </xf>
    <xf numFmtId="1" fontId="278" fillId="0" borderId="53" xfId="4288" applyNumberFormat="1" applyFont="1" applyFill="1" applyBorder="1" applyAlignment="1">
      <alignment vertical="center" wrapText="1"/>
    </xf>
    <xf numFmtId="179" fontId="278" fillId="0" borderId="53" xfId="4290" applyNumberFormat="1" applyFont="1" applyFill="1" applyBorder="1" applyAlignment="1">
      <alignment horizontal="right" vertical="center"/>
    </xf>
    <xf numFmtId="237" fontId="274" fillId="50" borderId="53" xfId="4282" applyNumberFormat="1" applyFont="1" applyFill="1" applyBorder="1" applyAlignment="1">
      <alignment horizontal="right" vertical="center"/>
    </xf>
    <xf numFmtId="1" fontId="290" fillId="0" borderId="53" xfId="4288" applyNumberFormat="1" applyFont="1" applyFill="1" applyBorder="1" applyAlignment="1">
      <alignment vertical="center"/>
    </xf>
    <xf numFmtId="3" fontId="275" fillId="0" borderId="53" xfId="4288" applyNumberFormat="1" applyFont="1" applyFill="1" applyBorder="1" applyAlignment="1">
      <alignment vertical="center" wrapText="1"/>
    </xf>
    <xf numFmtId="3" fontId="280" fillId="51" borderId="53" xfId="4291" applyNumberFormat="1" applyFont="1" applyFill="1" applyBorder="1" applyAlignment="1">
      <alignment horizontal="right" vertical="center"/>
    </xf>
    <xf numFmtId="3" fontId="31" fillId="0" borderId="53" xfId="4288" applyNumberFormat="1" applyFont="1" applyFill="1" applyBorder="1" applyAlignment="1">
      <alignment horizontal="center" vertical="center" wrapText="1"/>
    </xf>
    <xf numFmtId="179" fontId="280" fillId="0" borderId="53" xfId="4282" applyNumberFormat="1" applyFont="1" applyFill="1" applyBorder="1" applyAlignment="1">
      <alignment horizontal="center" vertical="center" wrapText="1"/>
    </xf>
    <xf numFmtId="1" fontId="31" fillId="51" borderId="53" xfId="4288" applyNumberFormat="1" applyFont="1" applyFill="1" applyBorder="1" applyAlignment="1">
      <alignment horizontal="center" vertical="center"/>
    </xf>
    <xf numFmtId="0" fontId="280" fillId="51" borderId="53" xfId="4281" applyFont="1" applyFill="1" applyBorder="1" applyAlignment="1">
      <alignment vertical="center" wrapText="1"/>
    </xf>
    <xf numFmtId="0" fontId="280" fillId="53" borderId="53" xfId="0" applyFont="1" applyFill="1" applyBorder="1" applyAlignment="1">
      <alignment horizontal="center" vertical="center" wrapText="1"/>
    </xf>
    <xf numFmtId="179" fontId="280" fillId="51" borderId="53" xfId="4281" applyNumberFormat="1" applyFont="1" applyFill="1" applyBorder="1" applyAlignment="1">
      <alignment horizontal="right" vertical="center" wrapText="1"/>
    </xf>
    <xf numFmtId="179" fontId="280" fillId="51" borderId="53" xfId="4282" applyNumberFormat="1" applyFont="1" applyFill="1" applyBorder="1" applyAlignment="1">
      <alignment horizontal="center" vertical="center" wrapText="1"/>
    </xf>
    <xf numFmtId="237" fontId="31" fillId="50" borderId="8" xfId="4282" applyNumberFormat="1" applyFont="1" applyFill="1" applyBorder="1" applyAlignment="1">
      <alignment horizontal="right" vertical="center"/>
    </xf>
    <xf numFmtId="0" fontId="276" fillId="51" borderId="53" xfId="4284" applyNumberFormat="1" applyFont="1" applyFill="1" applyBorder="1" applyAlignment="1">
      <alignment horizontal="center" vertical="center"/>
    </xf>
    <xf numFmtId="1" fontId="276" fillId="53" borderId="53" xfId="4288" applyNumberFormat="1" applyFont="1" applyFill="1" applyBorder="1" applyAlignment="1">
      <alignment horizontal="center" vertical="center" wrapText="1"/>
    </xf>
    <xf numFmtId="3" fontId="31" fillId="51" borderId="53" xfId="4288" applyNumberFormat="1" applyFont="1" applyFill="1" applyBorder="1" applyAlignment="1">
      <alignment horizontal="center" vertical="center" wrapText="1"/>
    </xf>
    <xf numFmtId="1" fontId="31" fillId="52" borderId="53" xfId="4288" applyNumberFormat="1" applyFont="1" applyFill="1" applyBorder="1" applyAlignment="1">
      <alignment horizontal="center" vertical="center"/>
    </xf>
    <xf numFmtId="0" fontId="31" fillId="52" borderId="53" xfId="4281" applyFont="1" applyFill="1" applyBorder="1" applyAlignment="1">
      <alignment vertical="center" wrapText="1"/>
    </xf>
    <xf numFmtId="0" fontId="31" fillId="52" borderId="53" xfId="4281" applyFont="1" applyFill="1" applyBorder="1" applyAlignment="1">
      <alignment horizontal="center" vertical="center" wrapText="1"/>
    </xf>
    <xf numFmtId="1" fontId="31" fillId="52" borderId="53" xfId="4288" applyNumberFormat="1" applyFont="1" applyFill="1" applyBorder="1" applyAlignment="1">
      <alignment horizontal="center" vertical="center" wrapText="1"/>
    </xf>
    <xf numFmtId="179" fontId="31" fillId="52" borderId="53" xfId="4281" applyNumberFormat="1" applyFont="1" applyFill="1" applyBorder="1" applyAlignment="1">
      <alignment horizontal="right" vertical="center" wrapText="1"/>
    </xf>
    <xf numFmtId="237" fontId="31" fillId="52" borderId="53" xfId="4282" applyNumberFormat="1" applyFont="1" applyFill="1" applyBorder="1" applyAlignment="1">
      <alignment horizontal="right" vertical="center"/>
    </xf>
    <xf numFmtId="179" fontId="31" fillId="52" borderId="53" xfId="4282" applyNumberFormat="1" applyFont="1" applyFill="1" applyBorder="1" applyAlignment="1">
      <alignment horizontal="right" vertical="center"/>
    </xf>
    <xf numFmtId="3" fontId="31" fillId="52" borderId="53" xfId="4288" applyNumberFormat="1" applyFont="1" applyFill="1" applyBorder="1" applyAlignment="1">
      <alignment vertical="center" wrapText="1"/>
    </xf>
    <xf numFmtId="0" fontId="273" fillId="52" borderId="0" xfId="0" applyFont="1" applyFill="1"/>
    <xf numFmtId="0" fontId="273" fillId="52" borderId="53" xfId="0" applyFont="1" applyFill="1" applyBorder="1"/>
    <xf numFmtId="179" fontId="280" fillId="52" borderId="53" xfId="4282" applyNumberFormat="1" applyFont="1" applyFill="1" applyBorder="1" applyAlignment="1">
      <alignment horizontal="center" vertical="center" wrapText="1"/>
    </xf>
    <xf numFmtId="4" fontId="273" fillId="52" borderId="53" xfId="0" applyNumberFormat="1" applyFont="1" applyFill="1" applyBorder="1"/>
    <xf numFmtId="0" fontId="276" fillId="0" borderId="53" xfId="4284" applyNumberFormat="1" applyFont="1" applyFill="1" applyBorder="1" applyAlignment="1">
      <alignment horizontal="center" vertical="center"/>
    </xf>
    <xf numFmtId="0" fontId="31" fillId="0" borderId="53" xfId="4281" applyFont="1" applyFill="1" applyBorder="1" applyAlignment="1">
      <alignment vertical="center" wrapText="1"/>
    </xf>
    <xf numFmtId="0" fontId="31" fillId="0" borderId="53" xfId="4281" applyFont="1" applyFill="1" applyBorder="1" applyAlignment="1">
      <alignment horizontal="center" vertical="center" wrapText="1"/>
    </xf>
    <xf numFmtId="179" fontId="31" fillId="59" borderId="53" xfId="4282" applyNumberFormat="1" applyFont="1" applyFill="1" applyBorder="1" applyAlignment="1">
      <alignment horizontal="right" vertical="center"/>
    </xf>
    <xf numFmtId="3" fontId="31" fillId="0" borderId="53" xfId="4288" applyNumberFormat="1" applyFont="1" applyFill="1" applyBorder="1" applyAlignment="1">
      <alignment vertical="center" wrapText="1"/>
    </xf>
    <xf numFmtId="0" fontId="280" fillId="0" borderId="53" xfId="4284" applyNumberFormat="1" applyFont="1" applyFill="1" applyBorder="1" applyAlignment="1">
      <alignment horizontal="center" vertical="center" wrapText="1"/>
    </xf>
    <xf numFmtId="3" fontId="31" fillId="0" borderId="53" xfId="4291" applyNumberFormat="1" applyFont="1" applyFill="1" applyBorder="1" applyAlignment="1">
      <alignment horizontal="right" vertical="center"/>
    </xf>
    <xf numFmtId="0" fontId="31" fillId="55" borderId="0" xfId="0" applyFont="1" applyFill="1"/>
    <xf numFmtId="4" fontId="31" fillId="51" borderId="53" xfId="0" applyNumberFormat="1" applyFont="1" applyFill="1" applyBorder="1"/>
    <xf numFmtId="4" fontId="31" fillId="0" borderId="53" xfId="0" applyNumberFormat="1" applyFont="1" applyFill="1" applyBorder="1"/>
    <xf numFmtId="3" fontId="276" fillId="0" borderId="53" xfId="0" applyNumberFormat="1" applyFont="1" applyFill="1" applyBorder="1" applyAlignment="1">
      <alignment horizontal="right" vertical="center"/>
    </xf>
    <xf numFmtId="237" fontId="276" fillId="0" borderId="53" xfId="1682" applyNumberFormat="1" applyFont="1" applyFill="1" applyBorder="1" applyAlignment="1">
      <alignment horizontal="center" vertical="center" wrapText="1"/>
    </xf>
    <xf numFmtId="237" fontId="280" fillId="0" borderId="53" xfId="1682" applyNumberFormat="1" applyFont="1" applyFill="1" applyBorder="1" applyAlignment="1">
      <alignment horizontal="center" vertical="center" wrapText="1"/>
    </xf>
    <xf numFmtId="3" fontId="276" fillId="0" borderId="53" xfId="4288" applyNumberFormat="1" applyFont="1" applyFill="1" applyBorder="1" applyAlignment="1">
      <alignment vertical="center"/>
    </xf>
    <xf numFmtId="0" fontId="31" fillId="60" borderId="53" xfId="4276" applyFont="1" applyFill="1" applyBorder="1" applyAlignment="1">
      <alignment horizontal="center" vertical="center" wrapText="1"/>
    </xf>
    <xf numFmtId="1" fontId="31" fillId="60" borderId="53" xfId="4287" applyNumberFormat="1" applyFont="1" applyFill="1" applyBorder="1" applyAlignment="1">
      <alignment vertical="center" wrapText="1"/>
    </xf>
    <xf numFmtId="1" fontId="31" fillId="60" borderId="7" xfId="4287" applyNumberFormat="1" applyFont="1" applyFill="1" applyBorder="1" applyAlignment="1">
      <alignment vertical="center" wrapText="1"/>
    </xf>
    <xf numFmtId="1" fontId="31" fillId="60" borderId="53" xfId="4285" applyNumberFormat="1" applyFont="1" applyFill="1" applyBorder="1" applyAlignment="1">
      <alignment horizontal="center" vertical="center" wrapText="1"/>
    </xf>
    <xf numFmtId="0" fontId="276" fillId="60" borderId="53" xfId="4276" applyFont="1" applyFill="1" applyBorder="1" applyAlignment="1">
      <alignment horizontal="center" vertical="center"/>
    </xf>
    <xf numFmtId="0" fontId="276" fillId="60" borderId="53" xfId="4273" applyNumberFormat="1" applyFont="1" applyFill="1" applyBorder="1" applyAlignment="1">
      <alignment horizontal="center" vertical="center"/>
    </xf>
    <xf numFmtId="237" fontId="31" fillId="60" borderId="53" xfId="4273" applyNumberFormat="1" applyFont="1" applyFill="1" applyBorder="1" applyAlignment="1">
      <alignment horizontal="right" vertical="center" wrapText="1"/>
    </xf>
    <xf numFmtId="237" fontId="31" fillId="60" borderId="53" xfId="4273" applyNumberFormat="1" applyFont="1" applyFill="1" applyBorder="1" applyAlignment="1">
      <alignment horizontal="right" vertical="center"/>
    </xf>
    <xf numFmtId="237" fontId="31" fillId="60" borderId="53" xfId="4282" applyNumberFormat="1" applyFont="1" applyFill="1" applyBorder="1" applyAlignment="1">
      <alignment horizontal="center" vertical="center" wrapText="1"/>
    </xf>
    <xf numFmtId="237" fontId="31" fillId="60" borderId="53" xfId="4282" applyNumberFormat="1" applyFont="1" applyFill="1" applyBorder="1" applyAlignment="1">
      <alignment horizontal="right" vertical="center"/>
    </xf>
    <xf numFmtId="0" fontId="31" fillId="60" borderId="53" xfId="2569" applyFont="1" applyFill="1" applyBorder="1" applyAlignment="1">
      <alignment horizontal="center" vertical="center" wrapText="1"/>
    </xf>
    <xf numFmtId="0" fontId="273" fillId="60" borderId="0" xfId="0" applyFont="1" applyFill="1"/>
    <xf numFmtId="0" fontId="273" fillId="60" borderId="53" xfId="0" applyFont="1" applyFill="1" applyBorder="1" applyAlignment="1">
      <alignment horizontal="left" vertical="center"/>
    </xf>
    <xf numFmtId="0" fontId="273" fillId="60" borderId="53" xfId="0" applyFont="1" applyFill="1" applyBorder="1"/>
    <xf numFmtId="322" fontId="42" fillId="51" borderId="53" xfId="4264" applyNumberFormat="1" applyFont="1" applyFill="1" applyBorder="1" applyAlignment="1">
      <alignment horizontal="center" vertical="center" wrapText="1"/>
    </xf>
    <xf numFmtId="49" fontId="42" fillId="51" borderId="53" xfId="4264" applyNumberFormat="1" applyFont="1" applyFill="1" applyBorder="1" applyAlignment="1">
      <alignment horizontal="center" vertical="center" wrapText="1"/>
    </xf>
    <xf numFmtId="3" fontId="42" fillId="51" borderId="53" xfId="4265" applyNumberFormat="1" applyFont="1" applyFill="1" applyBorder="1" applyAlignment="1">
      <alignment horizontal="right" vertical="center"/>
    </xf>
    <xf numFmtId="237" fontId="42" fillId="51" borderId="53" xfId="4265" applyNumberFormat="1" applyFont="1" applyFill="1" applyBorder="1" applyAlignment="1">
      <alignment horizontal="right" vertical="center"/>
    </xf>
    <xf numFmtId="179" fontId="31" fillId="51" borderId="53" xfId="4265" applyNumberFormat="1" applyFont="1" applyFill="1" applyBorder="1" applyAlignment="1">
      <alignment horizontal="left" vertical="center"/>
    </xf>
    <xf numFmtId="324" fontId="31" fillId="0" borderId="53" xfId="4300" applyNumberFormat="1" applyFont="1" applyFill="1" applyBorder="1" applyAlignment="1">
      <alignment horizontal="left" vertical="center" wrapText="1"/>
    </xf>
    <xf numFmtId="324" fontId="31" fillId="0" borderId="53" xfId="4300" applyNumberFormat="1" applyFont="1" applyFill="1" applyBorder="1" applyAlignment="1">
      <alignment horizontal="right" vertical="center" wrapText="1"/>
    </xf>
    <xf numFmtId="0" fontId="31" fillId="0" borderId="53" xfId="0" applyNumberFormat="1" applyFont="1" applyFill="1" applyBorder="1" applyAlignment="1">
      <alignment horizontal="center" vertical="center" wrapText="1"/>
    </xf>
    <xf numFmtId="310" fontId="31" fillId="0" borderId="53" xfId="0" applyNumberFormat="1" applyFont="1" applyFill="1" applyBorder="1" applyAlignment="1">
      <alignment horizontal="center" vertical="center" wrapText="1"/>
    </xf>
    <xf numFmtId="324" fontId="31" fillId="0" borderId="53" xfId="4300" applyNumberFormat="1" applyFont="1" applyFill="1" applyBorder="1" applyAlignment="1">
      <alignment horizontal="center" vertical="center" wrapText="1"/>
    </xf>
    <xf numFmtId="324" fontId="31" fillId="0" borderId="53" xfId="4300" quotePrefix="1" applyNumberFormat="1" applyFont="1" applyFill="1" applyBorder="1" applyAlignment="1">
      <alignment horizontal="center" vertical="center" wrapText="1"/>
    </xf>
    <xf numFmtId="179" fontId="273" fillId="50" borderId="53" xfId="4282" applyNumberFormat="1" applyFont="1" applyFill="1" applyBorder="1" applyAlignment="1">
      <alignment horizontal="center" vertical="center" wrapText="1"/>
    </xf>
    <xf numFmtId="237" fontId="273" fillId="50" borderId="53" xfId="4282" applyNumberFormat="1" applyFont="1" applyFill="1" applyBorder="1" applyAlignment="1">
      <alignment horizontal="center" vertical="center" wrapText="1"/>
    </xf>
    <xf numFmtId="3" fontId="37" fillId="0" borderId="53" xfId="4285" applyNumberFormat="1" applyFont="1" applyFill="1" applyBorder="1" applyAlignment="1">
      <alignment horizontal="center" vertical="center" wrapText="1"/>
    </xf>
    <xf numFmtId="0" fontId="42" fillId="51" borderId="53" xfId="4284" applyNumberFormat="1" applyFont="1" applyFill="1" applyBorder="1" applyAlignment="1">
      <alignment horizontal="center" vertical="center"/>
    </xf>
    <xf numFmtId="1" fontId="42" fillId="51" borderId="53" xfId="4285" applyNumberFormat="1" applyFont="1" applyFill="1" applyBorder="1" applyAlignment="1">
      <alignment horizontal="left" vertical="center" wrapText="1"/>
    </xf>
    <xf numFmtId="179" fontId="31" fillId="51" borderId="53" xfId="0" applyNumberFormat="1" applyFont="1" applyFill="1" applyBorder="1" applyAlignment="1">
      <alignment horizontal="left" vertical="center" wrapText="1"/>
    </xf>
    <xf numFmtId="1" fontId="42" fillId="51" borderId="53" xfId="4285" applyNumberFormat="1" applyFont="1" applyFill="1" applyBorder="1" applyAlignment="1">
      <alignment horizontal="center" vertical="center"/>
    </xf>
    <xf numFmtId="0" fontId="42" fillId="51" borderId="53" xfId="4284" applyNumberFormat="1" applyFont="1" applyFill="1" applyBorder="1" applyAlignment="1">
      <alignment horizontal="center" vertical="center" wrapText="1"/>
    </xf>
    <xf numFmtId="0" fontId="31" fillId="51" borderId="53" xfId="4284" quotePrefix="1" applyNumberFormat="1" applyFont="1" applyFill="1" applyBorder="1" applyAlignment="1">
      <alignment horizontal="center" vertical="center" wrapText="1"/>
    </xf>
    <xf numFmtId="179" fontId="42" fillId="51" borderId="53" xfId="4265" quotePrefix="1" applyNumberFormat="1" applyFont="1" applyFill="1" applyBorder="1" applyAlignment="1">
      <alignment horizontal="center" vertical="center" wrapText="1"/>
    </xf>
    <xf numFmtId="179" fontId="31" fillId="0" borderId="53" xfId="0" applyNumberFormat="1" applyFont="1" applyFill="1" applyBorder="1" applyAlignment="1">
      <alignment horizontal="left" vertical="center" wrapText="1"/>
    </xf>
    <xf numFmtId="1" fontId="42" fillId="0" borderId="53" xfId="4285" applyNumberFormat="1" applyFont="1" applyFill="1" applyBorder="1" applyAlignment="1">
      <alignment horizontal="center" vertical="center"/>
    </xf>
    <xf numFmtId="0" fontId="31" fillId="0" borderId="53" xfId="4284" quotePrefix="1" applyNumberFormat="1" applyFont="1" applyFill="1" applyBorder="1" applyAlignment="1">
      <alignment horizontal="center" vertical="center" wrapText="1"/>
    </xf>
    <xf numFmtId="179" fontId="42" fillId="0" borderId="53" xfId="4265" quotePrefix="1" applyNumberFormat="1" applyFont="1" applyFill="1" applyBorder="1" applyAlignment="1">
      <alignment horizontal="center" vertical="center" wrapText="1"/>
    </xf>
    <xf numFmtId="3" fontId="42" fillId="0" borderId="53" xfId="4265" applyNumberFormat="1" applyFont="1" applyFill="1" applyBorder="1" applyAlignment="1">
      <alignment horizontal="right" vertical="center"/>
    </xf>
    <xf numFmtId="237" fontId="42" fillId="0" borderId="53" xfId="4265" applyNumberFormat="1" applyFont="1" applyFill="1" applyBorder="1" applyAlignment="1">
      <alignment horizontal="right" vertical="center"/>
    </xf>
    <xf numFmtId="0" fontId="31" fillId="0" borderId="53" xfId="2565" applyFont="1" applyFill="1" applyBorder="1" applyAlignment="1">
      <alignment horizontal="left" vertical="center" wrapText="1"/>
    </xf>
    <xf numFmtId="0" fontId="31" fillId="0" borderId="53" xfId="0" applyFont="1" applyFill="1" applyBorder="1" applyAlignment="1">
      <alignment horizontal="left"/>
    </xf>
    <xf numFmtId="0" fontId="31" fillId="0" borderId="53" xfId="0" applyFont="1" applyFill="1" applyBorder="1" applyAlignment="1">
      <alignment horizontal="right"/>
    </xf>
    <xf numFmtId="49" fontId="31" fillId="0" borderId="53" xfId="0" applyNumberFormat="1" applyFont="1" applyFill="1" applyBorder="1"/>
    <xf numFmtId="173" fontId="31" fillId="0" borderId="53" xfId="0" applyNumberFormat="1" applyFont="1" applyFill="1" applyBorder="1" applyAlignment="1">
      <alignment horizontal="right" vertical="center" wrapText="1"/>
    </xf>
    <xf numFmtId="324" fontId="31" fillId="51" borderId="53" xfId="4301" applyNumberFormat="1" applyFont="1" applyFill="1" applyBorder="1" applyAlignment="1">
      <alignment horizontal="left" vertical="center" wrapText="1"/>
    </xf>
    <xf numFmtId="0" fontId="31" fillId="51" borderId="53" xfId="0" applyFont="1" applyFill="1" applyBorder="1" applyAlignment="1">
      <alignment horizontal="left"/>
    </xf>
    <xf numFmtId="0" fontId="31" fillId="51" borderId="53" xfId="0" applyFont="1" applyFill="1" applyBorder="1" applyAlignment="1">
      <alignment horizontal="right"/>
    </xf>
    <xf numFmtId="310" fontId="31" fillId="51" borderId="53" xfId="0" applyNumberFormat="1" applyFont="1" applyFill="1" applyBorder="1" applyAlignment="1">
      <alignment horizontal="center" vertical="center" wrapText="1"/>
    </xf>
    <xf numFmtId="325" fontId="31" fillId="51" borderId="53" xfId="0" quotePrefix="1" applyNumberFormat="1" applyFont="1" applyFill="1" applyBorder="1" applyAlignment="1">
      <alignment horizontal="center" vertical="center" wrapText="1"/>
    </xf>
    <xf numFmtId="49" fontId="31" fillId="51" borderId="53" xfId="0" applyNumberFormat="1" applyFont="1" applyFill="1" applyBorder="1"/>
    <xf numFmtId="173" fontId="31" fillId="51" borderId="53" xfId="0" applyNumberFormat="1" applyFont="1" applyFill="1" applyBorder="1" applyAlignment="1">
      <alignment horizontal="right" vertical="center" wrapText="1"/>
    </xf>
    <xf numFmtId="3" fontId="37" fillId="51" borderId="53" xfId="4285" applyNumberFormat="1" applyFont="1" applyFill="1" applyBorder="1" applyAlignment="1">
      <alignment horizontal="center" vertical="center" wrapText="1"/>
    </xf>
    <xf numFmtId="324" fontId="31" fillId="0" borderId="53" xfId="4301" applyNumberFormat="1" applyFont="1" applyFill="1" applyBorder="1" applyAlignment="1">
      <alignment horizontal="left" vertical="center" wrapText="1"/>
    </xf>
    <xf numFmtId="325" fontId="31" fillId="0" borderId="53" xfId="0" quotePrefix="1" applyNumberFormat="1" applyFont="1" applyFill="1" applyBorder="1" applyAlignment="1">
      <alignment horizontal="center" vertical="center" wrapText="1"/>
    </xf>
    <xf numFmtId="0" fontId="31" fillId="0" borderId="53" xfId="0" applyFont="1" applyFill="1" applyBorder="1" applyAlignment="1">
      <alignment horizontal="right" vertical="center"/>
    </xf>
    <xf numFmtId="0" fontId="279" fillId="51" borderId="53" xfId="4264" applyNumberFormat="1" applyFont="1" applyFill="1" applyBorder="1" applyAlignment="1">
      <alignment horizontal="center" vertical="center" wrapText="1"/>
    </xf>
    <xf numFmtId="0" fontId="279" fillId="51" borderId="53" xfId="4264" applyNumberFormat="1" applyFont="1" applyFill="1" applyBorder="1" applyAlignment="1">
      <alignment horizontal="left" vertical="center" wrapText="1"/>
    </xf>
    <xf numFmtId="0" fontId="279" fillId="51" borderId="7" xfId="4264" applyNumberFormat="1" applyFont="1" applyFill="1" applyBorder="1" applyAlignment="1">
      <alignment horizontal="center" vertical="center" wrapText="1"/>
    </xf>
    <xf numFmtId="322" fontId="279" fillId="51" borderId="53" xfId="4264" applyNumberFormat="1" applyFont="1" applyFill="1" applyBorder="1" applyAlignment="1">
      <alignment horizontal="center" vertical="center" wrapText="1"/>
    </xf>
    <xf numFmtId="49" fontId="279" fillId="51" borderId="53" xfId="4264" applyNumberFormat="1" applyFont="1" applyFill="1" applyBorder="1" applyAlignment="1">
      <alignment horizontal="center" vertical="center" wrapText="1"/>
    </xf>
    <xf numFmtId="179" fontId="279" fillId="51" borderId="53" xfId="4282" applyNumberFormat="1" applyFont="1" applyFill="1" applyBorder="1" applyAlignment="1">
      <alignment vertical="center"/>
    </xf>
    <xf numFmtId="237" fontId="279" fillId="51" borderId="53" xfId="4282" applyNumberFormat="1" applyFont="1" applyFill="1" applyBorder="1" applyAlignment="1">
      <alignment vertical="center"/>
    </xf>
    <xf numFmtId="237" fontId="273" fillId="51" borderId="0" xfId="0" applyNumberFormat="1" applyFont="1" applyFill="1"/>
    <xf numFmtId="0" fontId="273" fillId="0" borderId="53" xfId="4284" applyNumberFormat="1" applyFont="1" applyFill="1" applyBorder="1" applyAlignment="1">
      <alignment horizontal="center" vertical="center"/>
    </xf>
    <xf numFmtId="1" fontId="273" fillId="0" borderId="53" xfId="4302" applyNumberFormat="1" applyFont="1" applyFill="1" applyBorder="1" applyAlignment="1">
      <alignment horizontal="left" vertical="center" wrapText="1"/>
    </xf>
    <xf numFmtId="173" fontId="273" fillId="0" borderId="53" xfId="4303" applyNumberFormat="1" applyFont="1" applyFill="1" applyBorder="1" applyAlignment="1">
      <alignment horizontal="right" vertical="center" wrapText="1"/>
    </xf>
    <xf numFmtId="0" fontId="273" fillId="0" borderId="53" xfId="4264" applyNumberFormat="1" applyFont="1" applyFill="1" applyBorder="1" applyAlignment="1">
      <alignment horizontal="center" vertical="center" wrapText="1"/>
    </xf>
    <xf numFmtId="1" fontId="273" fillId="0" borderId="53" xfId="4285" applyNumberFormat="1" applyFont="1" applyFill="1" applyBorder="1" applyAlignment="1">
      <alignment horizontal="center" vertical="center"/>
    </xf>
    <xf numFmtId="0" fontId="273" fillId="0" borderId="53" xfId="4284" applyNumberFormat="1" applyFont="1" applyFill="1" applyBorder="1" applyAlignment="1">
      <alignment horizontal="center" vertical="center" wrapText="1"/>
    </xf>
    <xf numFmtId="0" fontId="273" fillId="0" borderId="53" xfId="4284" quotePrefix="1" applyNumberFormat="1" applyFont="1" applyFill="1" applyBorder="1" applyAlignment="1">
      <alignment horizontal="center" vertical="center" wrapText="1"/>
    </xf>
    <xf numFmtId="179" fontId="273" fillId="0" borderId="53" xfId="4291" applyNumberFormat="1" applyFont="1" applyFill="1" applyBorder="1" applyAlignment="1">
      <alignment horizontal="center" vertical="center" wrapText="1"/>
    </xf>
    <xf numFmtId="179" fontId="273" fillId="0" borderId="53" xfId="4282" applyNumberFormat="1" applyFont="1" applyFill="1" applyBorder="1" applyAlignment="1">
      <alignment horizontal="center" vertical="center" wrapText="1"/>
    </xf>
    <xf numFmtId="237" fontId="273" fillId="0" borderId="53" xfId="4282" applyNumberFormat="1" applyFont="1" applyFill="1" applyBorder="1" applyAlignment="1">
      <alignment horizontal="center" vertical="center" wrapText="1"/>
    </xf>
    <xf numFmtId="326" fontId="273" fillId="0" borderId="53" xfId="4282" applyNumberFormat="1" applyFont="1" applyFill="1" applyBorder="1" applyAlignment="1">
      <alignment horizontal="center" vertical="center" wrapText="1"/>
    </xf>
    <xf numFmtId="1" fontId="273" fillId="0" borderId="53" xfId="4297" applyNumberFormat="1" applyFont="1" applyFill="1" applyBorder="1" applyAlignment="1">
      <alignment horizontal="left" vertical="center" wrapText="1"/>
    </xf>
    <xf numFmtId="179" fontId="273" fillId="0" borderId="53" xfId="4297" applyNumberFormat="1" applyFont="1" applyFill="1" applyBorder="1" applyAlignment="1">
      <alignment horizontal="right" vertical="center" wrapText="1"/>
    </xf>
    <xf numFmtId="49" fontId="273" fillId="0" borderId="53" xfId="4304" applyNumberFormat="1" applyFont="1" applyFill="1" applyBorder="1" applyAlignment="1">
      <alignment horizontal="center" vertical="center" wrapText="1"/>
    </xf>
    <xf numFmtId="0" fontId="273" fillId="51" borderId="53" xfId="4284" applyNumberFormat="1" applyFont="1" applyFill="1" applyBorder="1" applyAlignment="1">
      <alignment horizontal="center" vertical="center"/>
    </xf>
    <xf numFmtId="1" fontId="273" fillId="51" borderId="53" xfId="4293" applyNumberFormat="1" applyFont="1" applyFill="1" applyBorder="1" applyAlignment="1">
      <alignment horizontal="left" vertical="center" wrapText="1"/>
    </xf>
    <xf numFmtId="1" fontId="273" fillId="51" borderId="53" xfId="4293" applyNumberFormat="1" applyFont="1" applyFill="1" applyBorder="1" applyAlignment="1">
      <alignment horizontal="right" vertical="center" wrapText="1"/>
    </xf>
    <xf numFmtId="0" fontId="273" fillId="51" borderId="53" xfId="4264" applyNumberFormat="1" applyFont="1" applyFill="1" applyBorder="1" applyAlignment="1">
      <alignment horizontal="center" vertical="center" wrapText="1"/>
    </xf>
    <xf numFmtId="1" fontId="273" fillId="51" borderId="53" xfId="4285" applyNumberFormat="1" applyFont="1" applyFill="1" applyBorder="1" applyAlignment="1">
      <alignment horizontal="center" vertical="center"/>
    </xf>
    <xf numFmtId="1" fontId="273" fillId="51" borderId="53" xfId="4293" applyNumberFormat="1" applyFont="1" applyFill="1" applyBorder="1" applyAlignment="1">
      <alignment horizontal="center" vertical="center" wrapText="1"/>
    </xf>
    <xf numFmtId="0" fontId="273" fillId="51" borderId="53" xfId="4284" applyNumberFormat="1" applyFont="1" applyFill="1" applyBorder="1" applyAlignment="1">
      <alignment horizontal="center" vertical="center" wrapText="1"/>
    </xf>
    <xf numFmtId="0" fontId="273" fillId="51" borderId="53" xfId="4304" applyFont="1" applyFill="1" applyBorder="1" applyAlignment="1">
      <alignment horizontal="center" vertical="center" wrapText="1"/>
    </xf>
    <xf numFmtId="179" fontId="273" fillId="51" borderId="53" xfId="4282" applyNumberFormat="1" applyFont="1" applyFill="1" applyBorder="1" applyAlignment="1">
      <alignment horizontal="center" vertical="center" wrapText="1"/>
    </xf>
    <xf numFmtId="237" fontId="273" fillId="51" borderId="53" xfId="4282" applyNumberFormat="1" applyFont="1" applyFill="1" applyBorder="1" applyAlignment="1">
      <alignment horizontal="center" vertical="center" wrapText="1"/>
    </xf>
    <xf numFmtId="179" fontId="273" fillId="0" borderId="53" xfId="4285" applyNumberFormat="1" applyFont="1" applyFill="1" applyBorder="1" applyAlignment="1">
      <alignment horizontal="right" vertical="center" wrapText="1"/>
    </xf>
    <xf numFmtId="49" fontId="273" fillId="0" borderId="53" xfId="4297" applyNumberFormat="1" applyFont="1" applyFill="1" applyBorder="1" applyAlignment="1">
      <alignment horizontal="center" vertical="center" wrapText="1"/>
    </xf>
    <xf numFmtId="1" fontId="273" fillId="0" borderId="53" xfId="4285" applyNumberFormat="1" applyFont="1" applyFill="1" applyBorder="1" applyAlignment="1">
      <alignment horizontal="left" vertical="center" wrapText="1"/>
    </xf>
    <xf numFmtId="179" fontId="273" fillId="0" borderId="53" xfId="4265" applyNumberFormat="1" applyFont="1" applyFill="1" applyBorder="1" applyAlignment="1">
      <alignment horizontal="left" vertical="center" wrapText="1"/>
    </xf>
    <xf numFmtId="179" fontId="273" fillId="0" borderId="53" xfId="4265" applyNumberFormat="1" applyFont="1" applyFill="1" applyBorder="1" applyAlignment="1">
      <alignment horizontal="center" vertical="center" wrapText="1"/>
    </xf>
    <xf numFmtId="1" fontId="273" fillId="0" borderId="53" xfId="4285" applyNumberFormat="1" applyFont="1" applyFill="1" applyBorder="1" applyAlignment="1">
      <alignment horizontal="center" vertical="center" wrapText="1"/>
    </xf>
    <xf numFmtId="43" fontId="273" fillId="0" borderId="53" xfId="4282" applyFont="1" applyFill="1" applyBorder="1" applyAlignment="1">
      <alignment horizontal="center" vertical="center" wrapText="1"/>
    </xf>
    <xf numFmtId="179" fontId="273" fillId="0" borderId="53" xfId="1912" applyNumberFormat="1" applyFont="1" applyFill="1" applyBorder="1" applyAlignment="1">
      <alignment horizontal="center" vertical="center" wrapText="1"/>
    </xf>
    <xf numFmtId="0" fontId="273" fillId="0" borderId="53" xfId="4264" applyFont="1" applyFill="1" applyBorder="1" applyAlignment="1">
      <alignment horizontal="left" vertical="center"/>
    </xf>
    <xf numFmtId="0" fontId="273" fillId="0" borderId="53" xfId="4264" applyFont="1" applyFill="1" applyBorder="1" applyAlignment="1">
      <alignment horizontal="right" vertical="center"/>
    </xf>
    <xf numFmtId="0" fontId="273" fillId="0" borderId="53" xfId="4264" applyFont="1" applyFill="1" applyBorder="1" applyAlignment="1">
      <alignment horizontal="center" vertical="center" wrapText="1"/>
    </xf>
    <xf numFmtId="49" fontId="273" fillId="0" borderId="53" xfId="4284" applyNumberFormat="1" applyFont="1" applyFill="1" applyBorder="1" applyAlignment="1">
      <alignment horizontal="center" vertical="center" wrapText="1"/>
    </xf>
    <xf numFmtId="1" fontId="273" fillId="0" borderId="53" xfId="4285" applyNumberFormat="1" applyFont="1" applyFill="1" applyBorder="1" applyAlignment="1">
      <alignment vertical="center" wrapText="1"/>
    </xf>
    <xf numFmtId="0" fontId="273" fillId="0" borderId="53" xfId="2613" applyFont="1" applyFill="1" applyBorder="1" applyAlignment="1">
      <alignment horizontal="center" vertical="center"/>
    </xf>
    <xf numFmtId="17" fontId="273" fillId="0" borderId="53" xfId="4284" quotePrefix="1" applyNumberFormat="1" applyFont="1" applyFill="1" applyBorder="1" applyAlignment="1">
      <alignment horizontal="center" vertical="center" wrapText="1"/>
    </xf>
    <xf numFmtId="324" fontId="273" fillId="0" borderId="53" xfId="4292" applyNumberFormat="1" applyFont="1" applyFill="1" applyBorder="1" applyAlignment="1">
      <alignment horizontal="left" vertical="center" wrapText="1"/>
    </xf>
    <xf numFmtId="43" fontId="273" fillId="0" borderId="53" xfId="4265" quotePrefix="1" applyFont="1" applyFill="1" applyBorder="1" applyAlignment="1">
      <alignment horizontal="center" vertical="center" wrapText="1"/>
    </xf>
    <xf numFmtId="3" fontId="37" fillId="0" borderId="53" xfId="4304" applyNumberFormat="1" applyFont="1" applyFill="1" applyBorder="1" applyAlignment="1">
      <alignment horizontal="center" vertical="center" wrapText="1"/>
    </xf>
    <xf numFmtId="3" fontId="273" fillId="0" borderId="53" xfId="4302" applyNumberFormat="1" applyFont="1" applyFill="1" applyBorder="1" applyAlignment="1">
      <alignment horizontal="right" vertical="center" wrapText="1"/>
    </xf>
    <xf numFmtId="1" fontId="273" fillId="0" borderId="53" xfId="4285" applyNumberFormat="1" applyFont="1" applyFill="1" applyBorder="1" applyAlignment="1">
      <alignment horizontal="right" vertical="center" wrapText="1"/>
    </xf>
    <xf numFmtId="322" fontId="273" fillId="0" borderId="53" xfId="4284" applyNumberFormat="1" applyFont="1" applyFill="1" applyBorder="1" applyAlignment="1">
      <alignment horizontal="center" vertical="center" wrapText="1"/>
    </xf>
    <xf numFmtId="173" fontId="273" fillId="0" borderId="53" xfId="4264" applyNumberFormat="1" applyFont="1" applyFill="1" applyBorder="1" applyAlignment="1">
      <alignment horizontal="center" vertical="center" wrapText="1"/>
    </xf>
    <xf numFmtId="49" fontId="273" fillId="0" borderId="53" xfId="4305" applyNumberFormat="1" applyFont="1" applyFill="1" applyBorder="1" applyAlignment="1">
      <alignment horizontal="left" vertical="center" wrapText="1"/>
    </xf>
    <xf numFmtId="3" fontId="273" fillId="0" borderId="53" xfId="4306" applyNumberFormat="1" applyFont="1" applyFill="1" applyBorder="1" applyAlignment="1">
      <alignment horizontal="right" vertical="center" wrapText="1"/>
    </xf>
    <xf numFmtId="1" fontId="273" fillId="51" borderId="53" xfId="4297" applyNumberFormat="1" applyFont="1" applyFill="1" applyBorder="1" applyAlignment="1">
      <alignment horizontal="left" vertical="center" wrapText="1"/>
    </xf>
    <xf numFmtId="1" fontId="273" fillId="51" borderId="53" xfId="4297" applyNumberFormat="1" applyFont="1" applyFill="1" applyBorder="1" applyAlignment="1">
      <alignment horizontal="right" vertical="center" wrapText="1"/>
    </xf>
    <xf numFmtId="1" fontId="273" fillId="51" borderId="53" xfId="4297" applyNumberFormat="1" applyFont="1" applyFill="1" applyBorder="1" applyAlignment="1">
      <alignment horizontal="center" vertical="center" wrapText="1"/>
    </xf>
    <xf numFmtId="173" fontId="273" fillId="51" borderId="53" xfId="4264" applyNumberFormat="1" applyFont="1" applyFill="1" applyBorder="1" applyAlignment="1">
      <alignment horizontal="center" vertical="center" wrapText="1"/>
    </xf>
    <xf numFmtId="49" fontId="273" fillId="0" borderId="53" xfId="4284" quotePrefix="1" applyNumberFormat="1" applyFont="1" applyFill="1" applyBorder="1" applyAlignment="1">
      <alignment horizontal="center" vertical="center" wrapText="1"/>
    </xf>
    <xf numFmtId="3" fontId="273" fillId="0" borderId="53" xfId="4264" applyNumberFormat="1" applyFont="1" applyFill="1" applyBorder="1" applyAlignment="1">
      <alignment horizontal="left" vertical="center" wrapText="1"/>
    </xf>
    <xf numFmtId="1" fontId="31" fillId="0" borderId="53" xfId="4297" applyNumberFormat="1" applyFont="1" applyFill="1" applyBorder="1" applyAlignment="1">
      <alignment horizontal="left" vertical="center" wrapText="1"/>
    </xf>
    <xf numFmtId="1" fontId="31" fillId="0" borderId="53" xfId="4297" applyNumberFormat="1" applyFont="1" applyFill="1" applyBorder="1" applyAlignment="1">
      <alignment horizontal="right" vertical="center" wrapText="1"/>
    </xf>
    <xf numFmtId="0" fontId="31" fillId="0" borderId="53" xfId="4264" applyFont="1" applyFill="1" applyBorder="1" applyAlignment="1">
      <alignment horizontal="center" vertical="center" wrapText="1"/>
    </xf>
    <xf numFmtId="0" fontId="278" fillId="0" borderId="53" xfId="4284" applyNumberFormat="1" applyFont="1" applyFill="1" applyBorder="1" applyAlignment="1">
      <alignment horizontal="center" vertical="center"/>
    </xf>
    <xf numFmtId="1" fontId="275" fillId="0" borderId="53" xfId="4297" applyNumberFormat="1" applyFont="1" applyFill="1" applyBorder="1" applyAlignment="1">
      <alignment horizontal="left" vertical="center" wrapText="1"/>
    </xf>
    <xf numFmtId="1" fontId="275" fillId="0" borderId="53" xfId="4297" applyNumberFormat="1" applyFont="1" applyFill="1" applyBorder="1" applyAlignment="1">
      <alignment horizontal="center" vertical="center" wrapText="1"/>
    </xf>
    <xf numFmtId="0" fontId="275" fillId="0" borderId="53" xfId="4264" applyNumberFormat="1" applyFont="1" applyFill="1" applyBorder="1" applyAlignment="1">
      <alignment horizontal="center" vertical="center" wrapText="1"/>
    </xf>
    <xf numFmtId="179" fontId="275" fillId="0" borderId="53" xfId="4282" applyNumberFormat="1" applyFont="1" applyFill="1" applyBorder="1" applyAlignment="1">
      <alignment horizontal="right" vertical="center"/>
    </xf>
    <xf numFmtId="3" fontId="275" fillId="0" borderId="53" xfId="4304" applyNumberFormat="1" applyFont="1" applyFill="1" applyBorder="1" applyAlignment="1">
      <alignment horizontal="right" vertical="center" wrapText="1"/>
    </xf>
    <xf numFmtId="3" fontId="278" fillId="0" borderId="53" xfId="4288" applyNumberFormat="1" applyFont="1" applyFill="1" applyBorder="1" applyAlignment="1">
      <alignment horizontal="center" vertical="center" wrapText="1"/>
    </xf>
    <xf numFmtId="3" fontId="275" fillId="0" borderId="53" xfId="4304" applyNumberFormat="1" applyFont="1" applyFill="1" applyBorder="1" applyAlignment="1">
      <alignment horizontal="center" vertical="center" wrapText="1"/>
    </xf>
    <xf numFmtId="1" fontId="31" fillId="0" borderId="53" xfId="4288" applyNumberFormat="1" applyFont="1" applyFill="1" applyBorder="1" applyAlignment="1">
      <alignment horizontal="left" vertical="center" wrapText="1"/>
    </xf>
    <xf numFmtId="3" fontId="276" fillId="0" borderId="53" xfId="4288" applyNumberFormat="1" applyFont="1" applyFill="1" applyBorder="1" applyAlignment="1">
      <alignment horizontal="center" vertical="center" wrapText="1"/>
    </xf>
    <xf numFmtId="1" fontId="31" fillId="51" borderId="53" xfId="4288" applyNumberFormat="1" applyFont="1" applyFill="1" applyBorder="1" applyAlignment="1">
      <alignment vertical="center"/>
    </xf>
    <xf numFmtId="0" fontId="279" fillId="51" borderId="0" xfId="0" applyFont="1" applyFill="1"/>
    <xf numFmtId="0" fontId="279" fillId="51" borderId="53" xfId="0" applyFont="1" applyFill="1" applyBorder="1" applyAlignment="1">
      <alignment horizontal="left" vertical="center"/>
    </xf>
    <xf numFmtId="0" fontId="279" fillId="51" borderId="53" xfId="0" applyFont="1" applyFill="1" applyBorder="1"/>
    <xf numFmtId="324" fontId="31" fillId="0" borderId="53" xfId="4292" applyNumberFormat="1" applyFont="1" applyFill="1" applyBorder="1" applyAlignment="1">
      <alignment horizontal="left" vertical="center" wrapText="1"/>
    </xf>
    <xf numFmtId="324" fontId="31" fillId="0" borderId="53" xfId="4292" applyNumberFormat="1" applyFont="1" applyFill="1" applyBorder="1" applyAlignment="1">
      <alignment horizontal="right" vertical="center" wrapText="1"/>
    </xf>
    <xf numFmtId="324" fontId="31" fillId="0" borderId="53" xfId="4292" applyNumberFormat="1" applyFont="1" applyFill="1" applyBorder="1" applyAlignment="1">
      <alignment horizontal="center" vertical="center" wrapText="1"/>
    </xf>
    <xf numFmtId="17" fontId="31" fillId="0" borderId="53" xfId="4284" quotePrefix="1" applyNumberFormat="1" applyFont="1" applyFill="1" applyBorder="1" applyAlignment="1">
      <alignment horizontal="center" vertical="center" wrapText="1"/>
    </xf>
    <xf numFmtId="324" fontId="31" fillId="51" borderId="53" xfId="4292" applyNumberFormat="1" applyFont="1" applyFill="1" applyBorder="1" applyAlignment="1">
      <alignment horizontal="left" vertical="center" wrapText="1"/>
    </xf>
    <xf numFmtId="324" fontId="31" fillId="51" borderId="53" xfId="4292" applyNumberFormat="1" applyFont="1" applyFill="1" applyBorder="1" applyAlignment="1">
      <alignment horizontal="right" vertical="center" wrapText="1"/>
    </xf>
    <xf numFmtId="0" fontId="31" fillId="51" borderId="53" xfId="4264" applyNumberFormat="1" applyFont="1" applyFill="1" applyBorder="1" applyAlignment="1">
      <alignment horizontal="center" vertical="center" wrapText="1"/>
    </xf>
    <xf numFmtId="0" fontId="31" fillId="51" borderId="53" xfId="4264" applyFont="1" applyFill="1" applyBorder="1" applyAlignment="1">
      <alignment horizontal="center" vertical="center" wrapText="1"/>
    </xf>
    <xf numFmtId="324" fontId="31" fillId="51" borderId="53" xfId="4292" applyNumberFormat="1" applyFont="1" applyFill="1" applyBorder="1" applyAlignment="1">
      <alignment horizontal="center" vertical="center" wrapText="1"/>
    </xf>
    <xf numFmtId="0" fontId="31" fillId="51" borderId="7" xfId="4264" applyNumberFormat="1" applyFont="1" applyFill="1" applyBorder="1" applyAlignment="1">
      <alignment horizontal="center" vertical="center" wrapText="1"/>
    </xf>
    <xf numFmtId="43" fontId="42" fillId="0" borderId="53" xfId="4282" applyFont="1" applyFill="1" applyBorder="1" applyAlignment="1">
      <alignment horizontal="left" vertical="center" wrapText="1"/>
    </xf>
    <xf numFmtId="179" fontId="42" fillId="0" borderId="53" xfId="4282" applyNumberFormat="1" applyFont="1" applyFill="1" applyBorder="1" applyAlignment="1">
      <alignment horizontal="left" vertical="center" wrapText="1"/>
    </xf>
    <xf numFmtId="1" fontId="42" fillId="0" borderId="53" xfId="4285" applyNumberFormat="1" applyFont="1" applyFill="1" applyBorder="1" applyAlignment="1">
      <alignment horizontal="center" vertical="center" wrapText="1"/>
    </xf>
    <xf numFmtId="43" fontId="42" fillId="0" borderId="53" xfId="4282" quotePrefix="1" applyFont="1" applyFill="1" applyBorder="1" applyAlignment="1">
      <alignment horizontal="center" vertical="center" wrapText="1"/>
    </xf>
    <xf numFmtId="237" fontId="42" fillId="0" borderId="53" xfId="4282" applyNumberFormat="1" applyFont="1" applyFill="1" applyBorder="1" applyAlignment="1">
      <alignment horizontal="center" vertical="center" wrapText="1"/>
    </xf>
    <xf numFmtId="0" fontId="42" fillId="0" borderId="0" xfId="2613" applyFont="1" applyFill="1" applyAlignment="1">
      <alignment vertical="center"/>
    </xf>
    <xf numFmtId="179" fontId="42" fillId="0" borderId="0" xfId="2613" applyNumberFormat="1" applyFont="1" applyFill="1" applyAlignment="1">
      <alignment vertical="center"/>
    </xf>
    <xf numFmtId="0" fontId="42" fillId="0" borderId="53" xfId="2613" applyFont="1" applyFill="1" applyBorder="1" applyAlignment="1">
      <alignment horizontal="left" vertical="center"/>
    </xf>
    <xf numFmtId="0" fontId="42" fillId="0" borderId="53" xfId="2613" applyFont="1" applyFill="1" applyBorder="1" applyAlignment="1">
      <alignment vertical="center"/>
    </xf>
    <xf numFmtId="0" fontId="42" fillId="0" borderId="0" xfId="4264" applyNumberFormat="1" applyFont="1" applyFill="1" applyBorder="1" applyAlignment="1">
      <alignment horizontal="center" vertical="center" wrapText="1"/>
    </xf>
    <xf numFmtId="0" fontId="31" fillId="51" borderId="53" xfId="2613" applyFont="1" applyFill="1" applyBorder="1" applyAlignment="1">
      <alignment horizontal="left" vertical="center" wrapText="1"/>
    </xf>
    <xf numFmtId="0" fontId="31" fillId="51" borderId="53" xfId="2613" applyFont="1" applyFill="1" applyBorder="1" applyAlignment="1">
      <alignment horizontal="right" vertical="center" wrapText="1"/>
    </xf>
    <xf numFmtId="3" fontId="31" fillId="51" borderId="53" xfId="4307" applyNumberFormat="1" applyFont="1" applyFill="1" applyBorder="1" applyAlignment="1">
      <alignment horizontal="center" vertical="center" wrapText="1"/>
    </xf>
    <xf numFmtId="179" fontId="31" fillId="51" borderId="53" xfId="2613" applyNumberFormat="1" applyFont="1" applyFill="1" applyBorder="1" applyAlignment="1">
      <alignment horizontal="right" vertical="center" wrapText="1"/>
    </xf>
    <xf numFmtId="3" fontId="31" fillId="51" borderId="53" xfId="2613" applyNumberFormat="1" applyFont="1" applyFill="1" applyBorder="1" applyAlignment="1">
      <alignment horizontal="right" vertical="center"/>
    </xf>
    <xf numFmtId="237" fontId="31" fillId="0" borderId="53" xfId="2613" applyNumberFormat="1" applyFont="1" applyFill="1" applyBorder="1" applyAlignment="1">
      <alignment horizontal="right" vertical="center"/>
    </xf>
    <xf numFmtId="3" fontId="31" fillId="51" borderId="53" xfId="4308" applyNumberFormat="1" applyFont="1" applyFill="1" applyBorder="1" applyAlignment="1">
      <alignment horizontal="center" vertical="center" wrapText="1"/>
    </xf>
    <xf numFmtId="0" fontId="42" fillId="51" borderId="0" xfId="2613" applyFont="1" applyFill="1" applyAlignment="1">
      <alignment vertical="center"/>
    </xf>
    <xf numFmtId="179" fontId="42" fillId="51" borderId="0" xfId="2613" applyNumberFormat="1" applyFont="1" applyFill="1" applyAlignment="1">
      <alignment vertical="center"/>
    </xf>
    <xf numFmtId="0" fontId="42" fillId="51" borderId="53" xfId="2613" applyFont="1" applyFill="1" applyBorder="1" applyAlignment="1">
      <alignment horizontal="left" vertical="center"/>
    </xf>
    <xf numFmtId="0" fontId="42" fillId="51" borderId="53" xfId="2613" applyFont="1" applyFill="1" applyBorder="1" applyAlignment="1">
      <alignment vertical="center"/>
    </xf>
    <xf numFmtId="3" fontId="37" fillId="0" borderId="53" xfId="2613" applyNumberFormat="1" applyFont="1" applyFill="1" applyBorder="1" applyAlignment="1">
      <alignment horizontal="center" vertical="center"/>
    </xf>
    <xf numFmtId="0" fontId="42" fillId="51" borderId="0" xfId="4264" applyNumberFormat="1" applyFont="1" applyFill="1" applyBorder="1" applyAlignment="1">
      <alignment horizontal="center" vertical="center" wrapText="1"/>
    </xf>
    <xf numFmtId="3" fontId="31" fillId="0" borderId="53" xfId="4308" applyNumberFormat="1" applyFont="1" applyFill="1" applyBorder="1" applyAlignment="1">
      <alignment horizontal="left" vertical="center" wrapText="1"/>
    </xf>
    <xf numFmtId="3" fontId="31" fillId="0" borderId="53" xfId="4308" applyNumberFormat="1" applyFont="1" applyFill="1" applyBorder="1" applyAlignment="1">
      <alignment horizontal="right" vertical="center" wrapText="1"/>
    </xf>
    <xf numFmtId="3" fontId="31" fillId="0" borderId="53" xfId="4308" applyNumberFormat="1" applyFont="1" applyFill="1" applyBorder="1" applyAlignment="1">
      <alignment horizontal="center" vertical="center" wrapText="1"/>
    </xf>
    <xf numFmtId="308" fontId="276" fillId="51" borderId="53" xfId="4309" applyNumberFormat="1" applyFont="1" applyFill="1" applyBorder="1" applyAlignment="1">
      <alignment horizontal="center" vertical="center" wrapText="1"/>
    </xf>
    <xf numFmtId="3" fontId="31" fillId="0" borderId="53" xfId="4285" quotePrefix="1" applyNumberFormat="1" applyFont="1" applyFill="1" applyBorder="1" applyAlignment="1">
      <alignment horizontal="right" vertical="center" wrapText="1"/>
    </xf>
    <xf numFmtId="179" fontId="31" fillId="0" borderId="53" xfId="2613" applyNumberFormat="1" applyFont="1" applyFill="1" applyBorder="1" applyAlignment="1">
      <alignment horizontal="right" vertical="center" wrapText="1"/>
    </xf>
    <xf numFmtId="3" fontId="276" fillId="0" borderId="53" xfId="2613" applyNumberFormat="1" applyFont="1" applyFill="1" applyBorder="1" applyAlignment="1">
      <alignment horizontal="right" vertical="center"/>
    </xf>
    <xf numFmtId="237" fontId="31" fillId="51" borderId="53" xfId="2613" applyNumberFormat="1" applyFont="1" applyFill="1" applyBorder="1" applyAlignment="1">
      <alignment horizontal="right" vertical="center"/>
    </xf>
    <xf numFmtId="0" fontId="31" fillId="0" borderId="53" xfId="4307" applyFont="1" applyFill="1" applyBorder="1" applyAlignment="1">
      <alignment horizontal="center" vertical="center" wrapText="1"/>
    </xf>
    <xf numFmtId="308" fontId="31" fillId="0" borderId="53" xfId="4309" applyNumberFormat="1" applyFont="1" applyFill="1" applyBorder="1" applyAlignment="1">
      <alignment horizontal="center" vertical="center" wrapText="1"/>
    </xf>
    <xf numFmtId="179" fontId="276" fillId="61" borderId="53" xfId="2613" applyNumberFormat="1" applyFont="1" applyFill="1" applyBorder="1" applyAlignment="1">
      <alignment horizontal="right" vertical="center" wrapText="1"/>
    </xf>
    <xf numFmtId="3" fontId="31" fillId="0" borderId="53" xfId="2613" applyNumberFormat="1" applyFont="1" applyFill="1" applyBorder="1" applyAlignment="1">
      <alignment horizontal="center" vertical="center"/>
    </xf>
    <xf numFmtId="0" fontId="31" fillId="51" borderId="53" xfId="4307" applyFont="1" applyFill="1" applyBorder="1" applyAlignment="1">
      <alignment horizontal="center" vertical="center" wrapText="1"/>
    </xf>
    <xf numFmtId="0" fontId="31" fillId="0" borderId="53" xfId="2613" applyFont="1" applyFill="1" applyBorder="1" applyAlignment="1">
      <alignment horizontal="left" vertical="center" wrapText="1"/>
    </xf>
    <xf numFmtId="0" fontId="31" fillId="0" borderId="53" xfId="2613" applyFont="1" applyFill="1" applyBorder="1" applyAlignment="1">
      <alignment horizontal="right" vertical="center" wrapText="1"/>
    </xf>
    <xf numFmtId="3" fontId="31" fillId="61" borderId="53" xfId="4307" applyNumberFormat="1" applyFont="1" applyFill="1" applyBorder="1" applyAlignment="1">
      <alignment horizontal="center" vertical="center" wrapText="1"/>
    </xf>
    <xf numFmtId="237" fontId="31" fillId="0" borderId="53" xfId="4273" applyNumberFormat="1" applyFont="1" applyFill="1" applyBorder="1" applyAlignment="1">
      <alignment horizontal="center" vertical="center" wrapText="1"/>
    </xf>
    <xf numFmtId="237" fontId="37" fillId="0" borderId="53" xfId="4273" applyNumberFormat="1" applyFont="1" applyFill="1" applyBorder="1" applyAlignment="1">
      <alignment horizontal="center" vertical="center" wrapText="1"/>
    </xf>
    <xf numFmtId="308" fontId="31" fillId="0" borderId="53" xfId="4309" applyNumberFormat="1" applyFont="1" applyFill="1" applyBorder="1" applyAlignment="1">
      <alignment horizontal="right" vertical="center" wrapText="1"/>
    </xf>
    <xf numFmtId="1" fontId="31" fillId="0" borderId="53" xfId="4285" applyNumberFormat="1" applyFont="1" applyFill="1" applyBorder="1" applyAlignment="1">
      <alignment horizontal="right" vertical="center"/>
    </xf>
    <xf numFmtId="3" fontId="31" fillId="0" borderId="53" xfId="2613" applyNumberFormat="1" applyFont="1" applyFill="1" applyBorder="1" applyAlignment="1">
      <alignment horizontal="right" vertical="center"/>
    </xf>
    <xf numFmtId="3" fontId="31" fillId="51" borderId="53" xfId="4308" applyNumberFormat="1" applyFont="1" applyFill="1" applyBorder="1" applyAlignment="1">
      <alignment horizontal="left" vertical="center" wrapText="1"/>
    </xf>
    <xf numFmtId="3" fontId="31" fillId="51" borderId="53" xfId="4308" applyNumberFormat="1" applyFont="1" applyFill="1" applyBorder="1" applyAlignment="1">
      <alignment horizontal="right" vertical="center" wrapText="1"/>
    </xf>
    <xf numFmtId="308" fontId="31" fillId="51" borderId="53" xfId="4309" applyNumberFormat="1" applyFont="1" applyFill="1" applyBorder="1" applyAlignment="1">
      <alignment horizontal="center" vertical="center" wrapText="1"/>
    </xf>
    <xf numFmtId="3" fontId="31" fillId="51" borderId="53" xfId="4285" quotePrefix="1" applyNumberFormat="1" applyFont="1" applyFill="1" applyBorder="1" applyAlignment="1">
      <alignment horizontal="right" vertical="center" wrapText="1"/>
    </xf>
    <xf numFmtId="3" fontId="31" fillId="51" borderId="53" xfId="2613" applyNumberFormat="1" applyFont="1" applyFill="1" applyBorder="1" applyAlignment="1">
      <alignment horizontal="center" vertical="center"/>
    </xf>
    <xf numFmtId="3" fontId="31" fillId="51" borderId="53" xfId="4307" applyNumberFormat="1" applyFont="1" applyFill="1" applyBorder="1" applyAlignment="1">
      <alignment horizontal="left" vertical="center" wrapText="1"/>
    </xf>
    <xf numFmtId="3" fontId="31" fillId="51" borderId="53" xfId="4307" applyNumberFormat="1" applyFont="1" applyFill="1" applyBorder="1" applyAlignment="1">
      <alignment horizontal="right" vertical="center" wrapText="1"/>
    </xf>
    <xf numFmtId="237" fontId="31" fillId="50" borderId="53" xfId="2613" applyNumberFormat="1" applyFont="1" applyFill="1" applyBorder="1" applyAlignment="1">
      <alignment horizontal="right" vertical="center"/>
    </xf>
    <xf numFmtId="0" fontId="31" fillId="51" borderId="0" xfId="4264" applyNumberFormat="1" applyFont="1" applyFill="1" applyBorder="1" applyAlignment="1">
      <alignment horizontal="center" vertical="center" wrapText="1"/>
    </xf>
    <xf numFmtId="3" fontId="31" fillId="51" borderId="53" xfId="4285" applyNumberFormat="1" applyFont="1" applyFill="1" applyBorder="1" applyAlignment="1">
      <alignment horizontal="left" vertical="center" wrapText="1"/>
    </xf>
    <xf numFmtId="3" fontId="31" fillId="51" borderId="53" xfId="4285" applyNumberFormat="1" applyFont="1" applyFill="1" applyBorder="1" applyAlignment="1">
      <alignment horizontal="right" vertical="center" wrapText="1"/>
    </xf>
    <xf numFmtId="1" fontId="31" fillId="51" borderId="53" xfId="4285" applyNumberFormat="1" applyFont="1" applyFill="1" applyBorder="1" applyAlignment="1">
      <alignment horizontal="right" vertical="center"/>
    </xf>
    <xf numFmtId="179" fontId="31" fillId="61" borderId="53" xfId="2613" applyNumberFormat="1" applyFont="1" applyFill="1" applyBorder="1" applyAlignment="1">
      <alignment horizontal="right" vertical="center" wrapText="1"/>
    </xf>
    <xf numFmtId="0" fontId="42" fillId="51" borderId="0" xfId="0" applyNumberFormat="1" applyFont="1" applyFill="1" applyAlignment="1">
      <alignment horizontal="center" vertical="center" wrapText="1"/>
    </xf>
    <xf numFmtId="0" fontId="42" fillId="51" borderId="53" xfId="0" applyNumberFormat="1" applyFont="1" applyFill="1" applyBorder="1" applyAlignment="1">
      <alignment horizontal="center" vertical="center" wrapText="1"/>
    </xf>
    <xf numFmtId="43" fontId="42" fillId="51" borderId="53" xfId="4282" applyFont="1" applyFill="1" applyBorder="1" applyAlignment="1">
      <alignment horizontal="left" vertical="center" wrapText="1"/>
    </xf>
    <xf numFmtId="179" fontId="42" fillId="51" borderId="53" xfId="4282" applyNumberFormat="1" applyFont="1" applyFill="1" applyBorder="1" applyAlignment="1">
      <alignment horizontal="left" vertical="center" wrapText="1"/>
    </xf>
    <xf numFmtId="1" fontId="42" fillId="51" borderId="53" xfId="4285" applyNumberFormat="1" applyFont="1" applyFill="1" applyBorder="1" applyAlignment="1">
      <alignment horizontal="center" vertical="center" wrapText="1"/>
    </xf>
    <xf numFmtId="43" fontId="42" fillId="51" borderId="53" xfId="4282" quotePrefix="1" applyFont="1" applyFill="1" applyBorder="1" applyAlignment="1">
      <alignment horizontal="center" vertical="center" wrapText="1"/>
    </xf>
    <xf numFmtId="3" fontId="273" fillId="51" borderId="53" xfId="4288" applyNumberFormat="1" applyFont="1" applyFill="1" applyBorder="1" applyAlignment="1">
      <alignment horizontal="left" vertical="center" wrapText="1"/>
    </xf>
    <xf numFmtId="0" fontId="42" fillId="51" borderId="53" xfId="2613" applyFont="1" applyFill="1" applyBorder="1" applyAlignment="1">
      <alignment horizontal="left" vertical="center" wrapText="1"/>
    </xf>
    <xf numFmtId="0" fontId="42" fillId="51" borderId="53" xfId="2613" applyFont="1" applyFill="1" applyBorder="1" applyAlignment="1">
      <alignment horizontal="center" vertical="center" wrapText="1"/>
    </xf>
    <xf numFmtId="1" fontId="42" fillId="51" borderId="53" xfId="4288" applyNumberFormat="1" applyFont="1" applyFill="1" applyBorder="1" applyAlignment="1">
      <alignment horizontal="center" vertical="center" wrapText="1"/>
    </xf>
    <xf numFmtId="179" fontId="42" fillId="51" borderId="53" xfId="4282" applyNumberFormat="1" applyFont="1" applyFill="1" applyBorder="1" applyAlignment="1">
      <alignment horizontal="right" vertical="center"/>
    </xf>
    <xf numFmtId="1" fontId="42" fillId="51" borderId="53" xfId="4288" applyNumberFormat="1" applyFont="1" applyFill="1" applyBorder="1" applyAlignment="1">
      <alignment vertical="center"/>
    </xf>
    <xf numFmtId="1" fontId="31" fillId="51" borderId="53" xfId="4288" quotePrefix="1" applyNumberFormat="1" applyFont="1" applyFill="1" applyBorder="1" applyAlignment="1">
      <alignment horizontal="center" vertical="center" wrapText="1"/>
    </xf>
    <xf numFmtId="179" fontId="31" fillId="51" borderId="53" xfId="0" applyNumberFormat="1" applyFont="1" applyFill="1" applyBorder="1" applyAlignment="1">
      <alignment horizontal="center" vertical="center" wrapText="1"/>
    </xf>
    <xf numFmtId="1" fontId="273" fillId="51" borderId="53" xfId="4285" applyNumberFormat="1" applyFont="1" applyFill="1" applyBorder="1" applyAlignment="1">
      <alignment horizontal="left" vertical="center" wrapText="1"/>
    </xf>
    <xf numFmtId="1" fontId="273" fillId="51" borderId="53" xfId="4285" applyNumberFormat="1" applyFont="1" applyFill="1" applyBorder="1" applyAlignment="1">
      <alignment horizontal="center" vertical="center" wrapText="1"/>
    </xf>
    <xf numFmtId="0" fontId="282" fillId="51" borderId="53" xfId="4284" applyNumberFormat="1" applyFont="1" applyFill="1" applyBorder="1" applyAlignment="1">
      <alignment horizontal="center" vertical="center" wrapText="1"/>
    </xf>
    <xf numFmtId="179" fontId="273" fillId="51" borderId="53" xfId="4282" applyNumberFormat="1" applyFont="1" applyFill="1" applyBorder="1" applyAlignment="1">
      <alignment horizontal="right" vertical="center"/>
    </xf>
    <xf numFmtId="179" fontId="273" fillId="51" borderId="53" xfId="0" applyNumberFormat="1" applyFont="1" applyFill="1" applyBorder="1" applyAlignment="1">
      <alignment horizontal="center" vertical="center" wrapText="1"/>
    </xf>
    <xf numFmtId="179" fontId="42" fillId="51" borderId="53" xfId="4282" applyNumberFormat="1" applyFont="1" applyFill="1" applyBorder="1" applyAlignment="1">
      <alignment vertical="center"/>
    </xf>
    <xf numFmtId="0" fontId="273" fillId="50" borderId="53" xfId="4284" applyNumberFormat="1" applyFont="1" applyFill="1" applyBorder="1" applyAlignment="1">
      <alignment horizontal="center" vertical="center"/>
    </xf>
    <xf numFmtId="0" fontId="273" fillId="50" borderId="53" xfId="0" applyNumberFormat="1" applyFont="1" applyFill="1" applyBorder="1" applyAlignment="1">
      <alignment horizontal="left" vertical="center" wrapText="1"/>
    </xf>
    <xf numFmtId="0" fontId="273" fillId="50" borderId="53" xfId="0" applyNumberFormat="1" applyFont="1" applyFill="1" applyBorder="1" applyAlignment="1">
      <alignment horizontal="right" vertical="center" wrapText="1"/>
    </xf>
    <xf numFmtId="324" fontId="273" fillId="50" borderId="53" xfId="4285" applyNumberFormat="1" applyFont="1" applyFill="1" applyBorder="1" applyAlignment="1">
      <alignment horizontal="center" vertical="center"/>
    </xf>
    <xf numFmtId="310" fontId="273" fillId="50" borderId="53" xfId="0" applyNumberFormat="1" applyFont="1" applyFill="1" applyBorder="1" applyAlignment="1">
      <alignment horizontal="center" vertical="center" wrapText="1"/>
    </xf>
    <xf numFmtId="0" fontId="273" fillId="50" borderId="53" xfId="0" applyNumberFormat="1" applyFont="1" applyFill="1" applyBorder="1" applyAlignment="1">
      <alignment horizontal="center" vertical="center" wrapText="1"/>
    </xf>
    <xf numFmtId="0" fontId="273" fillId="50" borderId="53" xfId="4284" applyNumberFormat="1" applyFont="1" applyFill="1" applyBorder="1" applyAlignment="1">
      <alignment horizontal="center" vertical="center" wrapText="1"/>
    </xf>
    <xf numFmtId="3" fontId="273" fillId="50" borderId="53" xfId="0" applyNumberFormat="1" applyFont="1" applyFill="1" applyBorder="1" applyAlignment="1">
      <alignment horizontal="center" vertical="center" wrapText="1"/>
    </xf>
    <xf numFmtId="0" fontId="273" fillId="50" borderId="53" xfId="2565" applyFont="1" applyFill="1" applyBorder="1" applyAlignment="1">
      <alignment horizontal="left" vertical="center" wrapText="1"/>
    </xf>
    <xf numFmtId="0" fontId="273" fillId="50" borderId="53" xfId="4264" applyNumberFormat="1" applyFont="1" applyFill="1" applyBorder="1" applyAlignment="1">
      <alignment horizontal="center" vertical="center" wrapText="1"/>
    </xf>
    <xf numFmtId="322" fontId="273" fillId="50" borderId="53" xfId="4284" applyNumberFormat="1" applyFont="1" applyFill="1" applyBorder="1" applyAlignment="1">
      <alignment horizontal="center" vertical="center" wrapText="1"/>
    </xf>
    <xf numFmtId="49" fontId="273" fillId="50" borderId="53" xfId="4284" applyNumberFormat="1" applyFont="1" applyFill="1" applyBorder="1" applyAlignment="1">
      <alignment horizontal="center" vertical="center" wrapText="1"/>
    </xf>
    <xf numFmtId="324" fontId="273" fillId="50" borderId="53" xfId="4285" applyNumberFormat="1" applyFont="1" applyFill="1" applyBorder="1" applyAlignment="1">
      <alignment horizontal="center" vertical="center" wrapText="1"/>
    </xf>
    <xf numFmtId="0" fontId="273" fillId="50" borderId="53" xfId="4264" applyFont="1" applyFill="1" applyBorder="1" applyAlignment="1">
      <alignment horizontal="left" vertical="center" wrapText="1"/>
    </xf>
    <xf numFmtId="237" fontId="42" fillId="51" borderId="53" xfId="4282" applyNumberFormat="1" applyFont="1" applyFill="1" applyBorder="1" applyAlignment="1">
      <alignment vertical="center"/>
    </xf>
    <xf numFmtId="3" fontId="31" fillId="0" borderId="53" xfId="2565" applyNumberFormat="1" applyFont="1" applyFill="1" applyBorder="1" applyAlignment="1">
      <alignment horizontal="center" vertical="center" wrapText="1"/>
    </xf>
    <xf numFmtId="179" fontId="31" fillId="0" borderId="53" xfId="0" quotePrefix="1" applyNumberFormat="1" applyFont="1" applyFill="1" applyBorder="1" applyAlignment="1">
      <alignment horizontal="left" vertical="center" wrapText="1"/>
    </xf>
    <xf numFmtId="3" fontId="31" fillId="0" borderId="53" xfId="4310" applyNumberFormat="1" applyFont="1" applyFill="1" applyBorder="1" applyAlignment="1">
      <alignment horizontal="center" vertical="center" wrapText="1"/>
    </xf>
    <xf numFmtId="3" fontId="31" fillId="0" borderId="53" xfId="4285" applyNumberFormat="1" applyFont="1" applyFill="1" applyBorder="1" applyAlignment="1">
      <alignment horizontal="left" vertical="center"/>
    </xf>
    <xf numFmtId="0" fontId="31" fillId="50" borderId="53" xfId="0" applyFont="1" applyFill="1" applyBorder="1" applyAlignment="1">
      <alignment horizontal="left"/>
    </xf>
    <xf numFmtId="0" fontId="31" fillId="50" borderId="53" xfId="0" applyFont="1" applyFill="1" applyBorder="1" applyAlignment="1">
      <alignment horizontal="right"/>
    </xf>
    <xf numFmtId="49" fontId="31" fillId="50" borderId="53" xfId="0" applyNumberFormat="1" applyFont="1" applyFill="1" applyBorder="1"/>
    <xf numFmtId="0" fontId="31" fillId="50" borderId="53" xfId="0" applyFont="1" applyFill="1" applyBorder="1" applyAlignment="1">
      <alignment horizontal="center" vertical="center"/>
    </xf>
    <xf numFmtId="237" fontId="31" fillId="50" borderId="53" xfId="4282" applyNumberFormat="1" applyFont="1" applyFill="1" applyBorder="1"/>
    <xf numFmtId="0" fontId="31" fillId="50" borderId="53" xfId="4284" quotePrefix="1" applyNumberFormat="1" applyFont="1" applyFill="1" applyBorder="1" applyAlignment="1">
      <alignment horizontal="center" vertical="center"/>
    </xf>
    <xf numFmtId="0" fontId="31" fillId="50" borderId="7" xfId="0" applyFont="1" applyFill="1" applyBorder="1" applyAlignment="1">
      <alignment horizontal="left"/>
    </xf>
    <xf numFmtId="0" fontId="31" fillId="50" borderId="7" xfId="0" applyFont="1" applyFill="1" applyBorder="1" applyAlignment="1">
      <alignment horizontal="right"/>
    </xf>
    <xf numFmtId="237" fontId="42" fillId="51" borderId="53" xfId="4264" applyNumberFormat="1" applyFont="1" applyFill="1" applyBorder="1" applyAlignment="1">
      <alignment horizontal="center" vertical="center" wrapText="1"/>
    </xf>
    <xf numFmtId="179" fontId="42" fillId="51" borderId="53" xfId="4264" applyNumberFormat="1" applyFont="1" applyFill="1" applyBorder="1" applyAlignment="1">
      <alignment horizontal="center" vertical="center" wrapText="1"/>
    </xf>
    <xf numFmtId="0" fontId="31" fillId="0" borderId="53" xfId="4284" applyNumberFormat="1" applyFont="1" applyFill="1" applyBorder="1" applyAlignment="1">
      <alignment horizontal="right" vertical="center" wrapText="1"/>
    </xf>
    <xf numFmtId="179" fontId="31" fillId="0" borderId="53" xfId="4264" quotePrefix="1" applyNumberFormat="1" applyFont="1" applyFill="1" applyBorder="1" applyAlignment="1">
      <alignment horizontal="left" vertical="center" wrapText="1"/>
    </xf>
    <xf numFmtId="169" fontId="31" fillId="0" borderId="53" xfId="4264" quotePrefix="1" applyNumberFormat="1" applyFont="1" applyFill="1" applyBorder="1" applyAlignment="1">
      <alignment horizontal="left" vertical="center" wrapText="1"/>
    </xf>
    <xf numFmtId="0" fontId="31" fillId="0" borderId="53" xfId="0" applyFont="1" applyFill="1" applyBorder="1" applyAlignment="1">
      <alignment horizontal="right" vertical="center" wrapText="1"/>
    </xf>
    <xf numFmtId="1" fontId="31" fillId="0" borderId="53" xfId="4285" applyNumberFormat="1" applyFont="1" applyFill="1" applyBorder="1" applyAlignment="1">
      <alignment horizontal="right" vertical="center" wrapText="1"/>
    </xf>
    <xf numFmtId="1" fontId="31" fillId="0" borderId="53" xfId="4297" applyNumberFormat="1" applyFont="1" applyFill="1" applyBorder="1" applyAlignment="1">
      <alignment horizontal="center" vertical="center" wrapText="1"/>
    </xf>
    <xf numFmtId="0" fontId="31" fillId="0" borderId="53" xfId="4304" applyNumberFormat="1" applyFont="1" applyFill="1" applyBorder="1" applyAlignment="1">
      <alignment horizontal="center" vertical="center" wrapText="1"/>
    </xf>
    <xf numFmtId="0" fontId="31" fillId="51" borderId="53" xfId="4284" applyNumberFormat="1" applyFont="1" applyFill="1" applyBorder="1" applyAlignment="1">
      <alignment horizontal="right" vertical="center" wrapText="1"/>
    </xf>
    <xf numFmtId="0" fontId="31" fillId="51" borderId="53" xfId="4264" quotePrefix="1" applyNumberFormat="1" applyFont="1" applyFill="1" applyBorder="1" applyAlignment="1">
      <alignment horizontal="center" vertical="center" wrapText="1"/>
    </xf>
    <xf numFmtId="179" fontId="31" fillId="51" borderId="53" xfId="4264" quotePrefix="1" applyNumberFormat="1" applyFont="1" applyFill="1" applyBorder="1" applyAlignment="1">
      <alignment horizontal="left" vertical="center" wrapText="1"/>
    </xf>
    <xf numFmtId="0" fontId="31" fillId="0" borderId="53" xfId="4264" quotePrefix="1" applyNumberFormat="1" applyFont="1" applyFill="1" applyBorder="1" applyAlignment="1">
      <alignment horizontal="center" vertical="center" wrapText="1"/>
    </xf>
    <xf numFmtId="49" fontId="31" fillId="0" borderId="53" xfId="4264" applyNumberFormat="1" applyFont="1" applyFill="1" applyBorder="1" applyAlignment="1">
      <alignment horizontal="left" vertical="center" wrapText="1"/>
    </xf>
    <xf numFmtId="49" fontId="31" fillId="0" borderId="53" xfId="4264" applyNumberFormat="1" applyFont="1" applyFill="1" applyBorder="1" applyAlignment="1">
      <alignment horizontal="right" vertical="center" wrapText="1"/>
    </xf>
    <xf numFmtId="49" fontId="31" fillId="0" borderId="53" xfId="4264" applyNumberFormat="1" applyFont="1" applyFill="1" applyBorder="1" applyAlignment="1">
      <alignment horizontal="center" vertical="center" wrapText="1"/>
    </xf>
    <xf numFmtId="169" fontId="31" fillId="0" borderId="53" xfId="4291" applyFont="1" applyFill="1" applyBorder="1" applyAlignment="1">
      <alignment horizontal="left" vertical="center" wrapText="1"/>
    </xf>
    <xf numFmtId="169" fontId="31" fillId="0" borderId="53" xfId="4291" applyFont="1" applyFill="1" applyBorder="1" applyAlignment="1">
      <alignment horizontal="right" vertical="center" wrapText="1"/>
    </xf>
    <xf numFmtId="169" fontId="31" fillId="0" borderId="53" xfId="4291" applyFont="1" applyFill="1" applyBorder="1" applyAlignment="1">
      <alignment horizontal="center" vertical="center" wrapText="1"/>
    </xf>
    <xf numFmtId="179" fontId="31" fillId="0" borderId="53" xfId="4291" quotePrefix="1" applyNumberFormat="1" applyFont="1" applyFill="1" applyBorder="1" applyAlignment="1">
      <alignment horizontal="center" vertical="center" wrapText="1"/>
    </xf>
    <xf numFmtId="324" fontId="31" fillId="0" borderId="53" xfId="4311" applyNumberFormat="1" applyFont="1" applyFill="1" applyBorder="1" applyAlignment="1">
      <alignment horizontal="left" vertical="center" wrapText="1"/>
    </xf>
    <xf numFmtId="324" fontId="31" fillId="0" borderId="53" xfId="4311" applyNumberFormat="1" applyFont="1" applyFill="1" applyBorder="1" applyAlignment="1">
      <alignment horizontal="right" vertical="center" wrapText="1"/>
    </xf>
    <xf numFmtId="324" fontId="31" fillId="0" borderId="53" xfId="4285" quotePrefix="1" applyNumberFormat="1" applyFont="1" applyFill="1" applyBorder="1" applyAlignment="1">
      <alignment horizontal="center" vertical="center" wrapText="1"/>
    </xf>
    <xf numFmtId="175" fontId="31" fillId="0" borderId="53" xfId="4265" applyNumberFormat="1" applyFont="1" applyFill="1" applyBorder="1" applyAlignment="1">
      <alignment horizontal="left" vertical="center" wrapText="1"/>
    </xf>
    <xf numFmtId="175" fontId="31" fillId="0" borderId="53" xfId="4265" applyNumberFormat="1" applyFont="1" applyFill="1" applyBorder="1" applyAlignment="1">
      <alignment horizontal="right" vertical="center" wrapText="1"/>
    </xf>
    <xf numFmtId="175" fontId="31" fillId="0" borderId="53" xfId="4265" applyNumberFormat="1" applyFont="1" applyFill="1" applyBorder="1" applyAlignment="1">
      <alignment horizontal="center" vertical="center" wrapText="1"/>
    </xf>
    <xf numFmtId="0" fontId="31" fillId="0" borderId="53" xfId="4264" applyNumberFormat="1" applyFont="1" applyFill="1" applyBorder="1" applyAlignment="1">
      <alignment horizontal="right" vertical="center" wrapText="1"/>
    </xf>
    <xf numFmtId="0" fontId="31" fillId="0" borderId="53" xfId="4301" quotePrefix="1" applyNumberFormat="1" applyFont="1" applyFill="1" applyBorder="1" applyAlignment="1">
      <alignment horizontal="center" vertical="center" wrapText="1"/>
    </xf>
    <xf numFmtId="1" fontId="31" fillId="0" borderId="53" xfId="4302" applyNumberFormat="1" applyFont="1" applyFill="1" applyBorder="1" applyAlignment="1">
      <alignment horizontal="left" vertical="center" wrapText="1"/>
    </xf>
    <xf numFmtId="1" fontId="31" fillId="0" borderId="53" xfId="4302" applyNumberFormat="1" applyFont="1" applyFill="1" applyBorder="1" applyAlignment="1">
      <alignment horizontal="right" vertical="center" wrapText="1"/>
    </xf>
    <xf numFmtId="0" fontId="31" fillId="0" borderId="53" xfId="4276" applyNumberFormat="1" applyFont="1" applyFill="1" applyBorder="1" applyAlignment="1">
      <alignment horizontal="center" vertical="center" wrapText="1"/>
    </xf>
    <xf numFmtId="0" fontId="31" fillId="0" borderId="53" xfId="4276" applyNumberFormat="1" applyFont="1" applyFill="1" applyBorder="1" applyAlignment="1">
      <alignment horizontal="right" vertical="center" wrapText="1"/>
    </xf>
    <xf numFmtId="179" fontId="31" fillId="0" borderId="53" xfId="4312" applyNumberFormat="1" applyFont="1" applyFill="1" applyBorder="1" applyAlignment="1">
      <alignment horizontal="center" vertical="center" wrapText="1"/>
    </xf>
    <xf numFmtId="3" fontId="31" fillId="0" borderId="53" xfId="16" applyNumberFormat="1" applyFont="1" applyFill="1" applyBorder="1" applyAlignment="1">
      <alignment horizontal="center" vertical="center" wrapText="1"/>
    </xf>
    <xf numFmtId="324" fontId="31" fillId="0" borderId="53" xfId="4292" applyNumberFormat="1" applyFont="1" applyFill="1" applyBorder="1" applyAlignment="1">
      <alignment vertical="center" wrapText="1"/>
    </xf>
    <xf numFmtId="0" fontId="31" fillId="0" borderId="53" xfId="4292" applyNumberFormat="1" applyFont="1" applyFill="1" applyBorder="1" applyAlignment="1">
      <alignment horizontal="center" vertical="center" wrapText="1"/>
    </xf>
    <xf numFmtId="0" fontId="31" fillId="0" borderId="53" xfId="4311" applyNumberFormat="1" applyFont="1" applyFill="1" applyBorder="1" applyAlignment="1">
      <alignment horizontal="right" vertical="center" wrapText="1"/>
    </xf>
    <xf numFmtId="0" fontId="31" fillId="0" borderId="53" xfId="4311" applyNumberFormat="1" applyFont="1" applyFill="1" applyBorder="1" applyAlignment="1">
      <alignment horizontal="center" vertical="center" wrapText="1"/>
    </xf>
    <xf numFmtId="0" fontId="273" fillId="0" borderId="53" xfId="16" applyFont="1" applyBorder="1" applyAlignment="1">
      <alignment vertical="center" wrapText="1"/>
    </xf>
    <xf numFmtId="0" fontId="273" fillId="0" borderId="53" xfId="16" applyFont="1" applyBorder="1" applyAlignment="1">
      <alignment horizontal="center" vertical="center" wrapText="1"/>
    </xf>
    <xf numFmtId="0" fontId="273" fillId="0" borderId="53" xfId="16" applyNumberFormat="1" applyFont="1" applyBorder="1" applyAlignment="1">
      <alignment horizontal="center" vertical="center" wrapText="1"/>
    </xf>
    <xf numFmtId="1" fontId="31" fillId="0" borderId="53" xfId="4285" applyNumberFormat="1" applyFont="1" applyFill="1" applyBorder="1" applyAlignment="1">
      <alignment vertical="center" wrapText="1"/>
    </xf>
    <xf numFmtId="0" fontId="31" fillId="0" borderId="53" xfId="16" applyNumberFormat="1" applyFont="1" applyFill="1" applyBorder="1" applyAlignment="1">
      <alignment horizontal="center" vertical="center" wrapText="1"/>
    </xf>
    <xf numFmtId="49" fontId="31" fillId="0" borderId="53" xfId="4273" applyNumberFormat="1" applyFont="1" applyFill="1" applyBorder="1" applyAlignment="1">
      <alignment horizontal="center" vertical="center" wrapText="1"/>
    </xf>
    <xf numFmtId="169" fontId="31" fillId="0" borderId="53" xfId="4273" quotePrefix="1" applyNumberFormat="1" applyFont="1" applyFill="1" applyBorder="1" applyAlignment="1">
      <alignment horizontal="center" vertical="center" wrapText="1"/>
    </xf>
    <xf numFmtId="237" fontId="31" fillId="0" borderId="53" xfId="4273" applyNumberFormat="1" applyFont="1" applyFill="1" applyBorder="1" applyAlignment="1">
      <alignment vertical="center"/>
    </xf>
    <xf numFmtId="3" fontId="31" fillId="0" borderId="53" xfId="4273" applyNumberFormat="1" applyFont="1" applyFill="1" applyBorder="1" applyAlignment="1">
      <alignment horizontal="center" vertical="center" wrapText="1"/>
    </xf>
    <xf numFmtId="1" fontId="291" fillId="0" borderId="53" xfId="4285" applyNumberFormat="1" applyFont="1" applyFill="1" applyBorder="1" applyAlignment="1">
      <alignment vertical="center" wrapText="1"/>
    </xf>
    <xf numFmtId="0" fontId="291" fillId="0" borderId="53" xfId="16" applyFont="1" applyFill="1" applyBorder="1" applyAlignment="1">
      <alignment horizontal="center" vertical="center" wrapText="1"/>
    </xf>
    <xf numFmtId="179" fontId="291" fillId="0" borderId="53" xfId="6" quotePrefix="1" applyNumberFormat="1" applyFont="1" applyFill="1" applyBorder="1" applyAlignment="1">
      <alignment horizontal="center" vertical="center" wrapText="1"/>
    </xf>
    <xf numFmtId="237" fontId="31" fillId="50" borderId="53" xfId="4273" applyNumberFormat="1" applyFont="1" applyFill="1" applyBorder="1" applyAlignment="1">
      <alignment vertical="center"/>
    </xf>
    <xf numFmtId="268" fontId="273" fillId="0" borderId="0" xfId="0" applyNumberFormat="1" applyFont="1" applyFill="1"/>
    <xf numFmtId="324" fontId="31" fillId="50" borderId="53" xfId="4292" applyNumberFormat="1" applyFont="1" applyFill="1" applyBorder="1" applyAlignment="1">
      <alignment horizontal="left" vertical="center" wrapText="1"/>
    </xf>
    <xf numFmtId="324" fontId="31" fillId="50" borderId="53" xfId="4292" applyNumberFormat="1" applyFont="1" applyFill="1" applyBorder="1" applyAlignment="1">
      <alignment horizontal="center" vertical="center" wrapText="1"/>
    </xf>
    <xf numFmtId="0" fontId="31" fillId="50" borderId="53" xfId="16" applyNumberFormat="1" applyFont="1" applyFill="1" applyBorder="1" applyAlignment="1">
      <alignment horizontal="center" vertical="center" wrapText="1"/>
    </xf>
    <xf numFmtId="49" fontId="31" fillId="50" borderId="53" xfId="4273" applyNumberFormat="1" applyFont="1" applyFill="1" applyBorder="1" applyAlignment="1">
      <alignment horizontal="center" vertical="center" wrapText="1"/>
    </xf>
    <xf numFmtId="0" fontId="31" fillId="50" borderId="53" xfId="4264" quotePrefix="1" applyNumberFormat="1" applyFont="1" applyFill="1" applyBorder="1" applyAlignment="1">
      <alignment horizontal="center" vertical="center" wrapText="1"/>
    </xf>
    <xf numFmtId="0" fontId="31" fillId="50" borderId="53" xfId="4264" applyFont="1" applyFill="1" applyBorder="1" applyAlignment="1">
      <alignment horizontal="center" vertical="center" wrapText="1"/>
    </xf>
    <xf numFmtId="43" fontId="31" fillId="0" borderId="53" xfId="4265" quotePrefix="1" applyFont="1" applyFill="1" applyBorder="1" applyAlignment="1">
      <alignment horizontal="center" vertical="center" wrapText="1"/>
    </xf>
    <xf numFmtId="268" fontId="273" fillId="0" borderId="0" xfId="0" applyNumberFormat="1" applyFont="1"/>
    <xf numFmtId="179" fontId="31" fillId="0" borderId="53" xfId="4291" applyNumberFormat="1" applyFont="1" applyFill="1" applyBorder="1" applyAlignment="1">
      <alignment horizontal="center" vertical="center" wrapText="1"/>
    </xf>
    <xf numFmtId="0" fontId="37" fillId="0" borderId="53" xfId="0" applyFont="1" applyFill="1" applyBorder="1" applyAlignment="1">
      <alignment horizontal="center"/>
    </xf>
    <xf numFmtId="1" fontId="31" fillId="51" borderId="53" xfId="4302" applyNumberFormat="1" applyFont="1" applyFill="1" applyBorder="1" applyAlignment="1">
      <alignment horizontal="left" vertical="center" wrapText="1"/>
    </xf>
    <xf numFmtId="1" fontId="31" fillId="51" borderId="53" xfId="4302" applyNumberFormat="1" applyFont="1" applyFill="1" applyBorder="1" applyAlignment="1">
      <alignment horizontal="right" vertical="center" wrapText="1"/>
    </xf>
    <xf numFmtId="179" fontId="31" fillId="51" borderId="53" xfId="4291" quotePrefix="1" applyNumberFormat="1" applyFont="1" applyFill="1" applyBorder="1" applyAlignment="1">
      <alignment horizontal="center" vertical="center" wrapText="1"/>
    </xf>
    <xf numFmtId="268" fontId="273" fillId="51" borderId="0" xfId="0" applyNumberFormat="1" applyFont="1" applyFill="1"/>
    <xf numFmtId="0" fontId="276" fillId="60" borderId="0" xfId="0" applyFont="1" applyFill="1"/>
    <xf numFmtId="0" fontId="31" fillId="0" borderId="53" xfId="0" applyFont="1" applyFill="1" applyBorder="1" applyAlignment="1">
      <alignment wrapText="1"/>
    </xf>
    <xf numFmtId="2" fontId="273" fillId="0" borderId="0" xfId="0" applyNumberFormat="1" applyFont="1" applyFill="1"/>
    <xf numFmtId="0" fontId="276" fillId="0" borderId="53" xfId="4276" applyNumberFormat="1" applyFont="1" applyFill="1" applyBorder="1" applyAlignment="1">
      <alignment horizontal="center" vertical="center" wrapText="1"/>
    </xf>
    <xf numFmtId="0" fontId="276" fillId="0" borderId="53" xfId="4276" applyNumberFormat="1" applyFont="1" applyFill="1" applyBorder="1" applyAlignment="1">
      <alignment horizontal="right" vertical="center" wrapText="1"/>
    </xf>
    <xf numFmtId="179" fontId="46" fillId="0" borderId="53" xfId="4273" applyNumberFormat="1" applyFont="1" applyBorder="1" applyAlignment="1">
      <alignment horizontal="center" vertical="center" wrapText="1"/>
    </xf>
    <xf numFmtId="3" fontId="276" fillId="0" borderId="53" xfId="16" applyNumberFormat="1" applyFont="1" applyFill="1" applyBorder="1" applyAlignment="1">
      <alignment horizontal="center" vertical="center" wrapText="1"/>
    </xf>
    <xf numFmtId="0" fontId="291" fillId="0" borderId="53" xfId="16" applyNumberFormat="1" applyFont="1" applyFill="1" applyBorder="1" applyAlignment="1">
      <alignment horizontal="center" vertical="center" wrapText="1"/>
    </xf>
    <xf numFmtId="0" fontId="291" fillId="0" borderId="53" xfId="4285" quotePrefix="1" applyNumberFormat="1" applyFont="1" applyFill="1" applyBorder="1" applyAlignment="1">
      <alignment horizontal="right" vertical="center" wrapText="1"/>
    </xf>
    <xf numFmtId="0" fontId="291" fillId="0" borderId="53" xfId="4285" quotePrefix="1" applyNumberFormat="1" applyFont="1" applyFill="1" applyBorder="1" applyAlignment="1">
      <alignment horizontal="center" vertical="center" wrapText="1"/>
    </xf>
    <xf numFmtId="179" fontId="291" fillId="0" borderId="53" xfId="6" applyNumberFormat="1" applyFont="1" applyFill="1" applyBorder="1" applyAlignment="1">
      <alignment horizontal="center" vertical="center" wrapText="1"/>
    </xf>
    <xf numFmtId="237" fontId="291" fillId="0" borderId="53" xfId="4273" applyNumberFormat="1" applyFont="1" applyFill="1" applyBorder="1" applyAlignment="1">
      <alignment horizontal="right" vertical="center"/>
    </xf>
    <xf numFmtId="0" fontId="31" fillId="0" borderId="53" xfId="4285" applyNumberFormat="1" applyFont="1" applyFill="1" applyBorder="1" applyAlignment="1">
      <alignment horizontal="center" vertical="center" wrapText="1"/>
    </xf>
    <xf numFmtId="0" fontId="291" fillId="0" borderId="53" xfId="4285" applyNumberFormat="1" applyFont="1" applyFill="1" applyBorder="1" applyAlignment="1">
      <alignment horizontal="right" vertical="center" wrapText="1"/>
    </xf>
    <xf numFmtId="0" fontId="291" fillId="0" borderId="53" xfId="4285" applyNumberFormat="1" applyFont="1" applyFill="1" applyBorder="1" applyAlignment="1">
      <alignment horizontal="center" vertical="center" wrapText="1"/>
    </xf>
    <xf numFmtId="0" fontId="31" fillId="0" borderId="53" xfId="4313" applyFont="1" applyFill="1" applyBorder="1" applyAlignment="1">
      <alignment horizontal="center" vertical="center" wrapText="1"/>
    </xf>
    <xf numFmtId="0" fontId="31" fillId="0" borderId="53" xfId="4314" applyNumberFormat="1" applyFont="1" applyFill="1" applyBorder="1" applyAlignment="1">
      <alignment horizontal="left" vertical="center" wrapText="1"/>
    </xf>
    <xf numFmtId="0" fontId="31" fillId="0" borderId="53" xfId="4315" applyNumberFormat="1" applyFont="1" applyFill="1" applyBorder="1" applyAlignment="1">
      <alignment horizontal="right" vertical="center" wrapText="1"/>
    </xf>
    <xf numFmtId="0" fontId="31" fillId="0" borderId="53" xfId="4315" applyNumberFormat="1" applyFont="1" applyFill="1" applyBorder="1" applyAlignment="1">
      <alignment horizontal="center" vertical="center" wrapText="1"/>
    </xf>
    <xf numFmtId="2" fontId="31" fillId="0" borderId="53" xfId="4292" applyNumberFormat="1" applyFont="1" applyFill="1" applyBorder="1" applyAlignment="1">
      <alignment horizontal="center" vertical="center" wrapText="1"/>
    </xf>
    <xf numFmtId="0" fontId="276" fillId="0" borderId="53" xfId="2569" applyFont="1" applyFill="1" applyBorder="1" applyAlignment="1">
      <alignment horizontal="center" vertical="center" wrapText="1"/>
    </xf>
    <xf numFmtId="3" fontId="31" fillId="0" borderId="53" xfId="4304" applyNumberFormat="1" applyFont="1" applyFill="1" applyBorder="1" applyAlignment="1">
      <alignment horizontal="right" vertical="center" wrapText="1"/>
    </xf>
    <xf numFmtId="324" fontId="31" fillId="51" borderId="53" xfId="4292" applyNumberFormat="1" applyFont="1" applyFill="1" applyBorder="1" applyAlignment="1">
      <alignment vertical="center" wrapText="1"/>
    </xf>
    <xf numFmtId="324" fontId="31" fillId="51" borderId="53" xfId="4285" applyNumberFormat="1" applyFont="1" applyFill="1" applyBorder="1" applyAlignment="1">
      <alignment horizontal="center" vertical="center" wrapText="1"/>
    </xf>
    <xf numFmtId="0" fontId="31" fillId="51" borderId="53" xfId="4285" applyNumberFormat="1" applyFont="1" applyFill="1" applyBorder="1" applyAlignment="1">
      <alignment horizontal="center" vertical="center" wrapText="1"/>
    </xf>
    <xf numFmtId="0" fontId="31" fillId="51" borderId="53" xfId="4285" applyNumberFormat="1" applyFont="1" applyFill="1" applyBorder="1" applyAlignment="1">
      <alignment horizontal="right" vertical="center" wrapText="1"/>
    </xf>
    <xf numFmtId="0" fontId="37" fillId="51" borderId="53" xfId="0" applyFont="1" applyFill="1" applyBorder="1" applyAlignment="1">
      <alignment horizontal="center"/>
    </xf>
    <xf numFmtId="3" fontId="31" fillId="56" borderId="53" xfId="16" applyNumberFormat="1" applyFont="1" applyFill="1" applyBorder="1" applyAlignment="1">
      <alignment horizontal="center" vertical="center" wrapText="1"/>
    </xf>
    <xf numFmtId="169" fontId="274" fillId="0" borderId="53" xfId="4273" applyNumberFormat="1" applyFont="1" applyFill="1" applyBorder="1" applyAlignment="1">
      <alignment horizontal="center" vertical="center" wrapText="1"/>
    </xf>
    <xf numFmtId="0" fontId="273" fillId="56" borderId="0" xfId="0" applyFont="1" applyFill="1"/>
    <xf numFmtId="0" fontId="273" fillId="56" borderId="53" xfId="0" applyFont="1" applyFill="1" applyBorder="1" applyAlignment="1">
      <alignment horizontal="left" vertical="center"/>
    </xf>
    <xf numFmtId="0" fontId="273" fillId="56" borderId="53" xfId="0" applyFont="1" applyFill="1" applyBorder="1"/>
    <xf numFmtId="0" fontId="275" fillId="0" borderId="54" xfId="4276" applyFont="1" applyFill="1" applyBorder="1" applyAlignment="1">
      <alignment horizontal="center" vertical="center" wrapText="1"/>
    </xf>
    <xf numFmtId="324" fontId="275" fillId="51" borderId="53" xfId="4316" applyNumberFormat="1" applyFont="1" applyFill="1" applyBorder="1" applyAlignment="1">
      <alignment vertical="center" wrapText="1"/>
    </xf>
    <xf numFmtId="0" fontId="282" fillId="51" borderId="53" xfId="0" applyFont="1" applyFill="1" applyBorder="1" applyAlignment="1">
      <alignment horizontal="center" vertical="center" wrapText="1"/>
    </xf>
    <xf numFmtId="237" fontId="275" fillId="51" borderId="53" xfId="4273" applyNumberFormat="1" applyFont="1" applyFill="1" applyBorder="1" applyAlignment="1">
      <alignment horizontal="right" vertical="center" wrapText="1"/>
    </xf>
    <xf numFmtId="237" fontId="282" fillId="51" borderId="53" xfId="0" applyNumberFormat="1" applyFont="1" applyFill="1" applyBorder="1"/>
    <xf numFmtId="0" fontId="31" fillId="51" borderId="53" xfId="2569" applyFont="1" applyFill="1" applyBorder="1" applyAlignment="1">
      <alignment horizontal="center" vertical="center" wrapText="1"/>
    </xf>
    <xf numFmtId="0" fontId="31" fillId="0" borderId="54" xfId="4276" applyFont="1" applyFill="1" applyBorder="1" applyAlignment="1">
      <alignment horizontal="center" vertical="center" wrapText="1"/>
    </xf>
    <xf numFmtId="324" fontId="31" fillId="0" borderId="54" xfId="4316" applyNumberFormat="1" applyFont="1" applyFill="1" applyBorder="1" applyAlignment="1">
      <alignment vertical="center" wrapText="1"/>
    </xf>
    <xf numFmtId="2" fontId="31" fillId="0" borderId="54" xfId="4316" applyNumberFormat="1" applyFont="1" applyFill="1" applyBorder="1" applyAlignment="1">
      <alignment horizontal="center" vertical="center" wrapText="1"/>
    </xf>
    <xf numFmtId="0" fontId="31" fillId="0" borderId="54" xfId="4276" applyFont="1" applyFill="1" applyBorder="1" applyAlignment="1">
      <alignment horizontal="center" vertical="center"/>
    </xf>
    <xf numFmtId="0" fontId="31" fillId="0" borderId="54" xfId="4273" applyNumberFormat="1" applyFont="1" applyFill="1" applyBorder="1" applyAlignment="1">
      <alignment horizontal="center" vertical="center"/>
    </xf>
    <xf numFmtId="237" fontId="31" fillId="0" borderId="54" xfId="4273" applyNumberFormat="1" applyFont="1" applyFill="1" applyBorder="1" applyAlignment="1">
      <alignment horizontal="right" vertical="center" wrapText="1"/>
    </xf>
    <xf numFmtId="0" fontId="42" fillId="51" borderId="53" xfId="4276" applyFont="1" applyFill="1" applyBorder="1" applyAlignment="1">
      <alignment horizontal="center" vertical="center" wrapText="1"/>
    </xf>
    <xf numFmtId="0" fontId="42" fillId="51" borderId="53" xfId="4276" applyFont="1" applyFill="1" applyBorder="1" applyAlignment="1">
      <alignment horizontal="left" vertical="center" wrapText="1"/>
    </xf>
    <xf numFmtId="237" fontId="42" fillId="51" borderId="53" xfId="4273" applyNumberFormat="1" applyFont="1" applyFill="1" applyBorder="1" applyAlignment="1">
      <alignment horizontal="right" vertical="center" wrapText="1"/>
    </xf>
    <xf numFmtId="0" fontId="42" fillId="0" borderId="53" xfId="4276" applyFont="1" applyFill="1" applyBorder="1" applyAlignment="1">
      <alignment horizontal="center" vertical="center" wrapText="1"/>
    </xf>
    <xf numFmtId="0" fontId="42" fillId="0" borderId="53" xfId="4276" applyFont="1" applyFill="1" applyBorder="1" applyAlignment="1">
      <alignment horizontal="left" vertical="center" wrapText="1"/>
    </xf>
    <xf numFmtId="237" fontId="42" fillId="0" borderId="53" xfId="4273" applyNumberFormat="1" applyFont="1" applyFill="1" applyBorder="1" applyAlignment="1">
      <alignment horizontal="right" vertical="center" wrapText="1"/>
    </xf>
    <xf numFmtId="0" fontId="37" fillId="0" borderId="53" xfId="4276" applyFont="1" applyFill="1" applyBorder="1" applyAlignment="1">
      <alignment horizontal="center" vertical="center" wrapText="1"/>
    </xf>
    <xf numFmtId="324" fontId="31" fillId="0" borderId="53" xfId="4316" applyNumberFormat="1" applyFont="1" applyFill="1" applyBorder="1" applyAlignment="1">
      <alignment vertical="center" wrapText="1"/>
    </xf>
    <xf numFmtId="324" fontId="31" fillId="0" borderId="53" xfId="4316" applyNumberFormat="1" applyFont="1" applyFill="1" applyBorder="1" applyAlignment="1">
      <alignment horizontal="center" vertical="center" wrapText="1"/>
    </xf>
    <xf numFmtId="324" fontId="31" fillId="51" borderId="53" xfId="4316" applyNumberFormat="1" applyFont="1" applyFill="1" applyBorder="1" applyAlignment="1">
      <alignment horizontal="center" vertical="center" wrapText="1"/>
    </xf>
    <xf numFmtId="324" fontId="31" fillId="56" borderId="53" xfId="4316" applyNumberFormat="1" applyFont="1" applyFill="1" applyBorder="1" applyAlignment="1">
      <alignment horizontal="center" vertical="center" wrapText="1"/>
    </xf>
    <xf numFmtId="2" fontId="31" fillId="0" borderId="53" xfId="4316" applyNumberFormat="1" applyFont="1" applyFill="1" applyBorder="1" applyAlignment="1">
      <alignment horizontal="center" vertical="center" wrapText="1"/>
    </xf>
    <xf numFmtId="179" fontId="31" fillId="0" borderId="53" xfId="4273" applyNumberFormat="1" applyFont="1" applyFill="1" applyBorder="1" applyAlignment="1">
      <alignment horizontal="center" vertical="center" wrapText="1"/>
    </xf>
    <xf numFmtId="0" fontId="31" fillId="56" borderId="53" xfId="4276" applyFont="1" applyFill="1" applyBorder="1" applyAlignment="1">
      <alignment horizontal="center" vertical="center" wrapText="1"/>
    </xf>
    <xf numFmtId="324" fontId="42" fillId="0" borderId="53" xfId="4316" applyNumberFormat="1" applyFont="1" applyFill="1" applyBorder="1" applyAlignment="1">
      <alignment vertical="center" wrapText="1"/>
    </xf>
    <xf numFmtId="2" fontId="42" fillId="0" borderId="53" xfId="4316" applyNumberFormat="1" applyFont="1" applyFill="1" applyBorder="1" applyAlignment="1">
      <alignment horizontal="center" vertical="center" wrapText="1"/>
    </xf>
    <xf numFmtId="0" fontId="277" fillId="0" borderId="53" xfId="4276" applyFont="1" applyFill="1" applyBorder="1" applyAlignment="1">
      <alignment horizontal="center" vertical="center"/>
    </xf>
    <xf numFmtId="0" fontId="277" fillId="0" borderId="53" xfId="4273" applyNumberFormat="1" applyFont="1" applyFill="1" applyBorder="1" applyAlignment="1">
      <alignment horizontal="center" vertical="center"/>
    </xf>
    <xf numFmtId="237" fontId="42" fillId="0" borderId="53" xfId="4282" applyNumberFormat="1" applyFont="1" applyFill="1" applyBorder="1" applyAlignment="1">
      <alignment horizontal="right" vertical="center"/>
    </xf>
    <xf numFmtId="3" fontId="42" fillId="0" borderId="53" xfId="16" applyNumberFormat="1" applyFont="1" applyFill="1" applyBorder="1" applyAlignment="1">
      <alignment horizontal="center" vertical="center" wrapText="1"/>
    </xf>
    <xf numFmtId="0" fontId="279" fillId="0" borderId="0" xfId="0" applyFont="1" applyFill="1"/>
    <xf numFmtId="0" fontId="279" fillId="0" borderId="53" xfId="0" applyFont="1" applyFill="1" applyBorder="1" applyAlignment="1">
      <alignment horizontal="left" vertical="center"/>
    </xf>
    <xf numFmtId="0" fontId="279" fillId="0" borderId="53" xfId="0" applyFont="1" applyFill="1" applyBorder="1"/>
    <xf numFmtId="0" fontId="273" fillId="0" borderId="53" xfId="16" applyFont="1" applyFill="1" applyBorder="1" applyAlignment="1">
      <alignment vertical="center" wrapText="1"/>
    </xf>
    <xf numFmtId="0" fontId="31" fillId="0" borderId="53" xfId="4276" applyFont="1" applyFill="1" applyBorder="1" applyAlignment="1">
      <alignment horizontal="center" vertical="center"/>
    </xf>
    <xf numFmtId="0" fontId="31" fillId="0" borderId="53" xfId="4273" applyNumberFormat="1" applyFont="1" applyFill="1" applyBorder="1" applyAlignment="1">
      <alignment horizontal="center" vertical="center"/>
    </xf>
    <xf numFmtId="0" fontId="31" fillId="51" borderId="54" xfId="4276" applyFont="1" applyFill="1" applyBorder="1" applyAlignment="1">
      <alignment horizontal="center" vertical="center" wrapText="1"/>
    </xf>
    <xf numFmtId="324" fontId="31" fillId="51" borderId="53" xfId="4316" applyNumberFormat="1" applyFont="1" applyFill="1" applyBorder="1" applyAlignment="1">
      <alignment vertical="center" wrapText="1"/>
    </xf>
    <xf numFmtId="2" fontId="31" fillId="51" borderId="54" xfId="4316" applyNumberFormat="1" applyFont="1" applyFill="1" applyBorder="1" applyAlignment="1">
      <alignment horizontal="center" vertical="center" wrapText="1"/>
    </xf>
    <xf numFmtId="0" fontId="31" fillId="51" borderId="54" xfId="4276" applyFont="1" applyFill="1" applyBorder="1" applyAlignment="1">
      <alignment horizontal="center" vertical="center"/>
    </xf>
    <xf numFmtId="0" fontId="31" fillId="51" borderId="54" xfId="4273" applyNumberFormat="1" applyFont="1" applyFill="1" applyBorder="1" applyAlignment="1">
      <alignment horizontal="center" vertical="center"/>
    </xf>
    <xf numFmtId="0" fontId="273" fillId="51" borderId="53" xfId="0" applyFont="1" applyFill="1" applyBorder="1" applyAlignment="1">
      <alignment horizontal="center" vertical="center" wrapText="1"/>
    </xf>
    <xf numFmtId="237" fontId="31" fillId="51" borderId="54" xfId="4273" applyNumberFormat="1" applyFont="1" applyFill="1" applyBorder="1" applyAlignment="1">
      <alignment horizontal="right" vertical="center" wrapText="1"/>
    </xf>
    <xf numFmtId="237" fontId="273" fillId="51" borderId="53" xfId="0" applyNumberFormat="1" applyFont="1" applyFill="1" applyBorder="1"/>
    <xf numFmtId="1" fontId="42" fillId="50" borderId="53" xfId="4287" applyNumberFormat="1" applyFont="1" applyFill="1" applyBorder="1" applyAlignment="1">
      <alignment horizontal="left" vertical="center" wrapText="1"/>
    </xf>
    <xf numFmtId="1" fontId="42" fillId="50" borderId="53" xfId="4287" applyNumberFormat="1" applyFont="1" applyFill="1" applyBorder="1" applyAlignment="1">
      <alignment horizontal="center" vertical="center" wrapText="1"/>
    </xf>
    <xf numFmtId="1" fontId="42" fillId="0" borderId="53" xfId="4288" applyNumberFormat="1" applyFont="1" applyFill="1" applyBorder="1" applyAlignment="1">
      <alignment horizontal="center" vertical="center" wrapText="1"/>
    </xf>
    <xf numFmtId="3" fontId="42" fillId="0" borderId="53" xfId="0" applyNumberFormat="1" applyFont="1" applyFill="1" applyBorder="1" applyAlignment="1">
      <alignment horizontal="right" vertical="center" wrapText="1"/>
    </xf>
    <xf numFmtId="0" fontId="31" fillId="0" borderId="0" xfId="0" applyFont="1"/>
    <xf numFmtId="0" fontId="31" fillId="0" borderId="53" xfId="0" applyFont="1" applyBorder="1" applyAlignment="1">
      <alignment horizontal="left" vertical="center"/>
    </xf>
    <xf numFmtId="0" fontId="31" fillId="0" borderId="53" xfId="0" applyFont="1" applyBorder="1"/>
    <xf numFmtId="3" fontId="42" fillId="51" borderId="53" xfId="0" applyNumberFormat="1" applyFont="1" applyFill="1" applyBorder="1" applyAlignment="1">
      <alignment horizontal="right" vertical="center" wrapText="1"/>
    </xf>
    <xf numFmtId="0" fontId="281" fillId="0" borderId="53" xfId="4284" applyNumberFormat="1" applyFont="1" applyFill="1" applyBorder="1" applyAlignment="1">
      <alignment horizontal="center" vertical="center"/>
    </xf>
    <xf numFmtId="1" fontId="281" fillId="0" borderId="53" xfId="4287" applyNumberFormat="1" applyFont="1" applyFill="1" applyBorder="1" applyAlignment="1">
      <alignment horizontal="left" vertical="center" wrapText="1"/>
    </xf>
    <xf numFmtId="1" fontId="281" fillId="0" borderId="53" xfId="4287" applyNumberFormat="1" applyFont="1" applyFill="1" applyBorder="1" applyAlignment="1">
      <alignment horizontal="center" vertical="center" wrapText="1"/>
    </xf>
    <xf numFmtId="3" fontId="281" fillId="0" borderId="53" xfId="0" applyNumberFormat="1" applyFont="1" applyFill="1" applyBorder="1" applyAlignment="1">
      <alignment horizontal="right" vertical="center" wrapText="1"/>
    </xf>
    <xf numFmtId="3" fontId="281" fillId="51" borderId="53" xfId="0" applyNumberFormat="1" applyFont="1" applyFill="1" applyBorder="1" applyAlignment="1">
      <alignment horizontal="right" vertical="center" wrapText="1"/>
    </xf>
    <xf numFmtId="0" fontId="31" fillId="0" borderId="7" xfId="0" applyFont="1" applyFill="1" applyBorder="1" applyAlignment="1">
      <alignment horizontal="left" vertical="center" wrapText="1"/>
    </xf>
    <xf numFmtId="0" fontId="280" fillId="0" borderId="7" xfId="4281" applyFont="1" applyFill="1" applyBorder="1" applyAlignment="1">
      <alignment horizontal="center" vertical="center" wrapText="1"/>
    </xf>
    <xf numFmtId="3" fontId="31" fillId="0" borderId="7" xfId="0" applyNumberFormat="1" applyFont="1" applyFill="1" applyBorder="1" applyAlignment="1">
      <alignment horizontal="right" vertical="center" wrapText="1"/>
    </xf>
    <xf numFmtId="0" fontId="273" fillId="51" borderId="53" xfId="0" applyFont="1" applyFill="1" applyBorder="1" applyAlignment="1">
      <alignment horizontal="center"/>
    </xf>
    <xf numFmtId="0" fontId="276" fillId="51" borderId="53" xfId="0" applyFont="1" applyFill="1" applyBorder="1" applyAlignment="1">
      <alignment horizontal="center" vertical="center" wrapText="1"/>
    </xf>
    <xf numFmtId="0" fontId="280" fillId="0" borderId="7" xfId="4281" applyFont="1" applyFill="1" applyBorder="1" applyAlignment="1">
      <alignment horizontal="left" vertical="center" wrapText="1"/>
    </xf>
    <xf numFmtId="3" fontId="280" fillId="0" borderId="7" xfId="0" applyNumberFormat="1" applyFont="1" applyFill="1" applyBorder="1" applyAlignment="1">
      <alignment horizontal="right" vertical="center"/>
    </xf>
    <xf numFmtId="179" fontId="280" fillId="54" borderId="53" xfId="4282" applyNumberFormat="1" applyFont="1" applyFill="1" applyBorder="1" applyAlignment="1">
      <alignment horizontal="right" vertical="center"/>
    </xf>
    <xf numFmtId="0" fontId="273" fillId="54" borderId="0" xfId="0" applyFont="1" applyFill="1"/>
    <xf numFmtId="237" fontId="280" fillId="0" borderId="53" xfId="1682" applyNumberFormat="1" applyFont="1" applyFill="1" applyBorder="1" applyAlignment="1">
      <alignment vertical="center"/>
    </xf>
    <xf numFmtId="0" fontId="280" fillId="50" borderId="53" xfId="4281" applyFont="1" applyFill="1" applyBorder="1" applyAlignment="1">
      <alignment horizontal="center" vertical="center" wrapText="1"/>
    </xf>
    <xf numFmtId="324" fontId="31" fillId="62" borderId="53" xfId="4292" applyNumberFormat="1" applyFont="1" applyFill="1" applyBorder="1" applyAlignment="1">
      <alignment horizontal="center" vertical="center" wrapText="1"/>
    </xf>
    <xf numFmtId="237" fontId="31" fillId="50" borderId="0" xfId="4282" applyNumberFormat="1" applyFont="1" applyFill="1" applyBorder="1" applyAlignment="1">
      <alignment horizontal="right" vertical="center"/>
    </xf>
    <xf numFmtId="0" fontId="273" fillId="60" borderId="0" xfId="0" applyFont="1" applyFill="1" applyAlignment="1">
      <alignment wrapText="1"/>
    </xf>
    <xf numFmtId="3" fontId="280" fillId="0" borderId="53" xfId="0" applyNumberFormat="1" applyFont="1" applyFill="1" applyBorder="1" applyAlignment="1">
      <alignment horizontal="right" vertical="center"/>
    </xf>
    <xf numFmtId="1" fontId="280" fillId="0" borderId="53" xfId="4285" quotePrefix="1" applyNumberFormat="1" applyFont="1" applyFill="1" applyBorder="1" applyAlignment="1">
      <alignment horizontal="center" vertical="center" wrapText="1"/>
    </xf>
    <xf numFmtId="324" fontId="280" fillId="63" borderId="53" xfId="4292" applyNumberFormat="1" applyFont="1" applyFill="1" applyBorder="1" applyAlignment="1">
      <alignment horizontal="center" vertical="center" wrapText="1"/>
    </xf>
    <xf numFmtId="179" fontId="280" fillId="51" borderId="53" xfId="4282" applyNumberFormat="1" applyFont="1" applyFill="1" applyBorder="1" applyAlignment="1">
      <alignment horizontal="right" vertical="center" wrapText="1"/>
    </xf>
    <xf numFmtId="0" fontId="31" fillId="52" borderId="53" xfId="4284" applyNumberFormat="1" applyFont="1" applyFill="1" applyBorder="1" applyAlignment="1">
      <alignment horizontal="center" vertical="center"/>
    </xf>
    <xf numFmtId="0" fontId="280" fillId="52" borderId="53" xfId="0" applyFont="1" applyFill="1" applyBorder="1" applyAlignment="1">
      <alignment horizontal="left" vertical="center" wrapText="1"/>
    </xf>
    <xf numFmtId="0" fontId="280" fillId="52" borderId="53" xfId="4281" applyFont="1" applyFill="1" applyBorder="1" applyAlignment="1">
      <alignment horizontal="center" vertical="center" wrapText="1"/>
    </xf>
    <xf numFmtId="1" fontId="280" fillId="52" borderId="53" xfId="4288" applyNumberFormat="1" applyFont="1" applyFill="1" applyBorder="1" applyAlignment="1">
      <alignment horizontal="center" vertical="center" wrapText="1"/>
    </xf>
    <xf numFmtId="324" fontId="280" fillId="57" borderId="53" xfId="4292" applyNumberFormat="1" applyFont="1" applyFill="1" applyBorder="1" applyAlignment="1">
      <alignment horizontal="center" vertical="center" wrapText="1"/>
    </xf>
    <xf numFmtId="3" fontId="280" fillId="62" borderId="7" xfId="0" applyNumberFormat="1" applyFont="1" applyFill="1" applyBorder="1" applyAlignment="1">
      <alignment horizontal="right" vertical="center"/>
    </xf>
    <xf numFmtId="3" fontId="280" fillId="62" borderId="53" xfId="0" applyNumberFormat="1" applyFont="1" applyFill="1" applyBorder="1" applyAlignment="1">
      <alignment horizontal="right" vertical="center"/>
    </xf>
    <xf numFmtId="3" fontId="280" fillId="52" borderId="53" xfId="0" applyNumberFormat="1" applyFont="1" applyFill="1" applyBorder="1" applyAlignment="1">
      <alignment horizontal="right" vertical="center"/>
    </xf>
    <xf numFmtId="3" fontId="31" fillId="52" borderId="53" xfId="0" applyNumberFormat="1" applyFont="1" applyFill="1" applyBorder="1" applyAlignment="1">
      <alignment horizontal="right" vertical="center"/>
    </xf>
    <xf numFmtId="0" fontId="273" fillId="52" borderId="0" xfId="0" applyFont="1" applyFill="1" applyAlignment="1">
      <alignment wrapText="1"/>
    </xf>
    <xf numFmtId="179" fontId="31" fillId="52" borderId="53" xfId="4282" applyNumberFormat="1" applyFont="1" applyFill="1" applyBorder="1" applyAlignment="1">
      <alignment horizontal="center" vertical="center" wrapText="1"/>
    </xf>
    <xf numFmtId="324" fontId="280" fillId="52" borderId="53" xfId="4292" applyNumberFormat="1" applyFont="1" applyFill="1" applyBorder="1" applyAlignment="1">
      <alignment horizontal="center" vertical="center" wrapText="1"/>
    </xf>
    <xf numFmtId="0" fontId="276" fillId="52" borderId="53" xfId="4284" applyNumberFormat="1" applyFont="1" applyFill="1" applyBorder="1" applyAlignment="1">
      <alignment horizontal="center" vertical="center"/>
    </xf>
    <xf numFmtId="0" fontId="280" fillId="52" borderId="53" xfId="4281" applyFont="1" applyFill="1" applyBorder="1" applyAlignment="1">
      <alignment vertical="center" wrapText="1"/>
    </xf>
    <xf numFmtId="179" fontId="280" fillId="62" borderId="7" xfId="4281" applyNumberFormat="1" applyFont="1" applyFill="1" applyBorder="1" applyAlignment="1">
      <alignment horizontal="right" vertical="center" wrapText="1"/>
    </xf>
    <xf numFmtId="324" fontId="280" fillId="62" borderId="53" xfId="4292" applyNumberFormat="1" applyFont="1" applyFill="1" applyBorder="1" applyAlignment="1">
      <alignment horizontal="center" vertical="center" wrapText="1"/>
    </xf>
    <xf numFmtId="0" fontId="280" fillId="0" borderId="7" xfId="0" applyFont="1" applyFill="1" applyBorder="1" applyAlignment="1">
      <alignment horizontal="left" vertical="center" wrapText="1"/>
    </xf>
    <xf numFmtId="3" fontId="280" fillId="0" borderId="7" xfId="0" applyNumberFormat="1" applyFont="1" applyFill="1" applyBorder="1" applyAlignment="1">
      <alignment horizontal="right" vertical="center" wrapText="1"/>
    </xf>
    <xf numFmtId="3" fontId="280" fillId="0" borderId="53" xfId="0" applyNumberFormat="1" applyFont="1" applyFill="1" applyBorder="1" applyAlignment="1">
      <alignment horizontal="right" vertical="center" wrapText="1"/>
    </xf>
    <xf numFmtId="0" fontId="278" fillId="50" borderId="53" xfId="4284" applyNumberFormat="1" applyFont="1" applyFill="1" applyBorder="1" applyAlignment="1">
      <alignment horizontal="center" vertical="center"/>
    </xf>
    <xf numFmtId="1" fontId="278" fillId="50" borderId="53" xfId="4287" applyNumberFormat="1" applyFont="1" applyFill="1" applyBorder="1" applyAlignment="1">
      <alignment horizontal="left" vertical="center" wrapText="1"/>
    </xf>
    <xf numFmtId="1" fontId="278" fillId="50" borderId="53" xfId="4287" applyNumberFormat="1" applyFont="1" applyFill="1" applyBorder="1" applyAlignment="1">
      <alignment horizontal="center" vertical="center" wrapText="1"/>
    </xf>
    <xf numFmtId="3" fontId="278" fillId="50" borderId="53" xfId="4288" quotePrefix="1" applyNumberFormat="1" applyFont="1" applyFill="1" applyBorder="1" applyAlignment="1">
      <alignment horizontal="center" vertical="center" wrapText="1"/>
    </xf>
    <xf numFmtId="179" fontId="278" fillId="50" borderId="53" xfId="4282" applyNumberFormat="1" applyFont="1" applyFill="1" applyBorder="1" applyAlignment="1">
      <alignment horizontal="right" vertical="center"/>
    </xf>
    <xf numFmtId="1" fontId="276" fillId="50" borderId="53" xfId="4288" applyNumberFormat="1" applyFont="1" applyFill="1" applyBorder="1" applyAlignment="1">
      <alignment horizontal="center" vertical="center"/>
    </xf>
    <xf numFmtId="0" fontId="276" fillId="0" borderId="0" xfId="0" applyFont="1"/>
    <xf numFmtId="0" fontId="276" fillId="0" borderId="53" xfId="0" applyFont="1" applyBorder="1" applyAlignment="1">
      <alignment horizontal="left" vertical="center"/>
    </xf>
    <xf numFmtId="0" fontId="276" fillId="0" borderId="53" xfId="0" applyFont="1" applyBorder="1"/>
    <xf numFmtId="1" fontId="276" fillId="50" borderId="53" xfId="4288" applyNumberFormat="1" applyFont="1" applyFill="1" applyBorder="1" applyAlignment="1">
      <alignment vertical="center"/>
    </xf>
    <xf numFmtId="0" fontId="276" fillId="51" borderId="53" xfId="0" applyFont="1" applyFill="1" applyBorder="1" applyAlignment="1">
      <alignment horizontal="center"/>
    </xf>
    <xf numFmtId="3" fontId="278" fillId="51" borderId="53" xfId="4288" quotePrefix="1" applyNumberFormat="1" applyFont="1" applyFill="1" applyBorder="1" applyAlignment="1">
      <alignment horizontal="center" vertical="center" wrapText="1"/>
    </xf>
    <xf numFmtId="0" fontId="276" fillId="51" borderId="53" xfId="0" applyFont="1" applyFill="1" applyBorder="1"/>
    <xf numFmtId="4" fontId="276" fillId="51" borderId="53" xfId="0" applyNumberFormat="1" applyFont="1" applyFill="1" applyBorder="1"/>
    <xf numFmtId="1" fontId="276" fillId="0" borderId="53" xfId="4287" applyNumberFormat="1" applyFont="1" applyFill="1" applyBorder="1" applyAlignment="1">
      <alignment horizontal="left" vertical="center" wrapText="1"/>
    </xf>
    <xf numFmtId="1" fontId="276" fillId="0" borderId="53" xfId="4287" applyNumberFormat="1" applyFont="1" applyFill="1" applyBorder="1" applyAlignment="1">
      <alignment horizontal="center" vertical="center" wrapText="1"/>
    </xf>
    <xf numFmtId="3" fontId="276" fillId="0" borderId="53" xfId="0" applyNumberFormat="1" applyFont="1" applyFill="1" applyBorder="1" applyAlignment="1">
      <alignment horizontal="right" vertical="center" wrapText="1"/>
    </xf>
    <xf numFmtId="3" fontId="276" fillId="51" borderId="53" xfId="0" applyNumberFormat="1" applyFont="1" applyFill="1" applyBorder="1" applyAlignment="1">
      <alignment horizontal="right" vertical="center" wrapText="1"/>
    </xf>
    <xf numFmtId="0" fontId="31" fillId="50" borderId="53" xfId="4281" applyFont="1" applyFill="1" applyBorder="1" applyAlignment="1">
      <alignment vertical="center" wrapText="1"/>
    </xf>
    <xf numFmtId="1" fontId="31" fillId="50" borderId="53" xfId="4288" applyNumberFormat="1" applyFont="1" applyFill="1" applyBorder="1" applyAlignment="1">
      <alignment horizontal="center" vertical="center" wrapText="1"/>
    </xf>
    <xf numFmtId="179" fontId="31" fillId="50" borderId="53" xfId="4281" applyNumberFormat="1" applyFont="1" applyFill="1" applyBorder="1" applyAlignment="1">
      <alignment horizontal="right" vertical="center" wrapText="1"/>
    </xf>
    <xf numFmtId="237" fontId="31" fillId="50" borderId="53" xfId="1682" applyNumberFormat="1" applyFont="1" applyFill="1" applyBorder="1" applyAlignment="1">
      <alignment vertical="center"/>
    </xf>
    <xf numFmtId="0" fontId="31" fillId="50" borderId="53" xfId="4281" applyFont="1" applyFill="1" applyBorder="1" applyAlignment="1">
      <alignment horizontal="center" vertical="center" wrapText="1"/>
    </xf>
    <xf numFmtId="0" fontId="31" fillId="0" borderId="53" xfId="4281" applyFont="1" applyFill="1" applyBorder="1" applyAlignment="1">
      <alignment horizontal="left" vertical="center" wrapText="1"/>
    </xf>
    <xf numFmtId="3" fontId="31" fillId="50" borderId="53" xfId="0" applyNumberFormat="1" applyFont="1" applyFill="1" applyBorder="1" applyAlignment="1">
      <alignment horizontal="right" vertical="center" wrapText="1"/>
    </xf>
    <xf numFmtId="1" fontId="31" fillId="50" borderId="53" xfId="4288" applyNumberFormat="1" applyFont="1" applyFill="1" applyBorder="1" applyAlignment="1">
      <alignment vertical="center"/>
    </xf>
    <xf numFmtId="0" fontId="273" fillId="0" borderId="53" xfId="0" applyFont="1" applyFill="1" applyBorder="1" applyAlignment="1">
      <alignment horizontal="left" vertical="center" wrapText="1"/>
    </xf>
    <xf numFmtId="237" fontId="31" fillId="0" borderId="53" xfId="1682" applyNumberFormat="1" applyFont="1" applyFill="1" applyBorder="1" applyAlignment="1">
      <alignment vertical="center"/>
    </xf>
    <xf numFmtId="1" fontId="292" fillId="50" borderId="53" xfId="4288" applyNumberFormat="1" applyFont="1" applyFill="1" applyBorder="1" applyAlignment="1">
      <alignment horizontal="center" vertical="center" wrapText="1"/>
    </xf>
    <xf numFmtId="3" fontId="31" fillId="50" borderId="53" xfId="0" applyNumberFormat="1" applyFont="1" applyFill="1" applyBorder="1" applyAlignment="1">
      <alignment horizontal="right" vertical="center"/>
    </xf>
    <xf numFmtId="179" fontId="31" fillId="50" borderId="53" xfId="4290" applyNumberFormat="1" applyFont="1" applyFill="1" applyBorder="1" applyAlignment="1">
      <alignment horizontal="center" vertical="center" wrapText="1"/>
    </xf>
    <xf numFmtId="0" fontId="280" fillId="62" borderId="53" xfId="4281" applyFont="1" applyFill="1" applyBorder="1" applyAlignment="1">
      <alignment horizontal="center" vertical="center" wrapText="1"/>
    </xf>
    <xf numFmtId="1" fontId="292" fillId="0" borderId="53" xfId="4288" applyNumberFormat="1" applyFont="1" applyFill="1" applyBorder="1" applyAlignment="1">
      <alignment horizontal="center" vertical="center" wrapText="1"/>
    </xf>
    <xf numFmtId="0" fontId="31" fillId="64" borderId="53" xfId="0" applyFont="1" applyFill="1" applyBorder="1" applyAlignment="1">
      <alignment horizontal="left" vertical="center" wrapText="1"/>
    </xf>
    <xf numFmtId="324" fontId="31" fillId="57" borderId="53" xfId="4292" applyNumberFormat="1" applyFont="1" applyFill="1" applyBorder="1" applyAlignment="1">
      <alignment horizontal="center" vertical="center" wrapText="1"/>
    </xf>
    <xf numFmtId="0" fontId="31" fillId="50" borderId="53" xfId="4281" applyFont="1" applyFill="1" applyBorder="1" applyAlignment="1">
      <alignment horizontal="left" vertical="center" wrapText="1"/>
    </xf>
    <xf numFmtId="237" fontId="31" fillId="50" borderId="53" xfId="1682" applyNumberFormat="1" applyFont="1" applyFill="1" applyBorder="1" applyAlignment="1">
      <alignment horizontal="center" vertical="center" wrapText="1"/>
    </xf>
    <xf numFmtId="0" fontId="31" fillId="60" borderId="53" xfId="4281" applyFont="1" applyFill="1" applyBorder="1" applyAlignment="1">
      <alignment vertical="center" wrapText="1"/>
    </xf>
    <xf numFmtId="1" fontId="31" fillId="50" borderId="53" xfId="4285" quotePrefix="1" applyNumberFormat="1" applyFont="1" applyFill="1" applyBorder="1" applyAlignment="1">
      <alignment horizontal="center" vertical="center" wrapText="1"/>
    </xf>
    <xf numFmtId="3" fontId="31" fillId="50" borderId="53" xfId="4291" applyNumberFormat="1" applyFont="1" applyFill="1" applyBorder="1" applyAlignment="1">
      <alignment horizontal="center" vertical="center" wrapText="1"/>
    </xf>
    <xf numFmtId="0" fontId="31" fillId="51" borderId="53" xfId="4281" applyFont="1" applyFill="1" applyBorder="1" applyAlignment="1">
      <alignment vertical="center" wrapText="1"/>
    </xf>
    <xf numFmtId="1" fontId="292" fillId="51" borderId="53" xfId="4288" applyNumberFormat="1" applyFont="1" applyFill="1" applyBorder="1" applyAlignment="1">
      <alignment horizontal="center" vertical="center" wrapText="1"/>
    </xf>
    <xf numFmtId="0" fontId="31" fillId="56" borderId="53" xfId="0" applyFont="1" applyFill="1" applyBorder="1" applyAlignment="1">
      <alignment horizontal="center" vertical="center" wrapText="1"/>
    </xf>
    <xf numFmtId="179" fontId="31" fillId="51" borderId="53" xfId="4281" applyNumberFormat="1" applyFont="1" applyFill="1" applyBorder="1" applyAlignment="1">
      <alignment horizontal="right" vertical="center" wrapText="1"/>
    </xf>
    <xf numFmtId="3" fontId="31" fillId="51" borderId="53" xfId="0" applyNumberFormat="1" applyFont="1" applyFill="1" applyBorder="1" applyAlignment="1">
      <alignment horizontal="right" vertical="center"/>
    </xf>
    <xf numFmtId="0" fontId="31" fillId="51" borderId="53" xfId="4281" applyFont="1" applyFill="1" applyBorder="1" applyAlignment="1">
      <alignment horizontal="center" vertical="center" wrapText="1"/>
    </xf>
    <xf numFmtId="0" fontId="291" fillId="0" borderId="53" xfId="0" applyFont="1" applyFill="1" applyBorder="1" applyAlignment="1">
      <alignment horizontal="left" vertical="center" wrapText="1"/>
    </xf>
    <xf numFmtId="0" fontId="291" fillId="0" borderId="54" xfId="0" applyFont="1" applyFill="1" applyBorder="1" applyAlignment="1">
      <alignment horizontal="left" vertical="center" wrapText="1"/>
    </xf>
    <xf numFmtId="1" fontId="292" fillId="0" borderId="54" xfId="4288" applyNumberFormat="1" applyFont="1" applyFill="1" applyBorder="1" applyAlignment="1">
      <alignment horizontal="center" vertical="center" wrapText="1"/>
    </xf>
    <xf numFmtId="324" fontId="31" fillId="53" borderId="54" xfId="4292" applyNumberFormat="1" applyFont="1" applyFill="1" applyBorder="1" applyAlignment="1">
      <alignment horizontal="center" vertical="center" wrapText="1"/>
    </xf>
    <xf numFmtId="237" fontId="31" fillId="0" borderId="54" xfId="1682" applyNumberFormat="1" applyFont="1" applyFill="1" applyBorder="1" applyAlignment="1">
      <alignment vertical="center"/>
    </xf>
    <xf numFmtId="0" fontId="276" fillId="0" borderId="54" xfId="4281" applyFont="1" applyFill="1" applyBorder="1" applyAlignment="1">
      <alignment vertical="center" wrapText="1"/>
    </xf>
    <xf numFmtId="0" fontId="280" fillId="0" borderId="54" xfId="4281" applyFont="1" applyFill="1" applyBorder="1" applyAlignment="1">
      <alignment horizontal="center" vertical="center" wrapText="1"/>
    </xf>
    <xf numFmtId="1" fontId="276" fillId="0" borderId="54" xfId="4288" applyNumberFormat="1" applyFont="1" applyFill="1" applyBorder="1" applyAlignment="1">
      <alignment horizontal="center" vertical="center" wrapText="1"/>
    </xf>
    <xf numFmtId="324" fontId="276" fillId="53" borderId="54" xfId="4292" applyNumberFormat="1" applyFont="1" applyFill="1" applyBorder="1" applyAlignment="1">
      <alignment horizontal="center" vertical="center" wrapText="1"/>
    </xf>
    <xf numFmtId="237" fontId="276" fillId="0" borderId="54" xfId="1682" applyNumberFormat="1" applyFont="1" applyFill="1" applyBorder="1" applyAlignment="1">
      <alignment vertical="center"/>
    </xf>
    <xf numFmtId="179" fontId="276" fillId="0" borderId="53" xfId="4282" applyNumberFormat="1" applyFont="1" applyFill="1" applyBorder="1" applyAlignment="1">
      <alignment horizontal="center" vertical="center" wrapText="1"/>
    </xf>
    <xf numFmtId="0" fontId="275" fillId="0" borderId="53" xfId="4284" applyNumberFormat="1" applyFont="1" applyFill="1" applyBorder="1" applyAlignment="1">
      <alignment horizontal="center" vertical="center"/>
    </xf>
    <xf numFmtId="0" fontId="275" fillId="0" borderId="53" xfId="4281" applyFont="1" applyFill="1" applyBorder="1" applyAlignment="1">
      <alignment vertical="center" wrapText="1"/>
    </xf>
    <xf numFmtId="0" fontId="275" fillId="0" borderId="53" xfId="4281" applyFont="1" applyFill="1" applyBorder="1" applyAlignment="1">
      <alignment horizontal="center" vertical="center" wrapText="1"/>
    </xf>
    <xf numFmtId="1" fontId="281" fillId="0" borderId="53" xfId="4285" quotePrefix="1" applyNumberFormat="1" applyFont="1" applyFill="1" applyBorder="1" applyAlignment="1">
      <alignment horizontal="center" vertical="center" wrapText="1"/>
    </xf>
    <xf numFmtId="179" fontId="281" fillId="0" borderId="53" xfId="4282" applyNumberFormat="1" applyFont="1" applyFill="1" applyBorder="1" applyAlignment="1">
      <alignment horizontal="right" vertical="center"/>
    </xf>
    <xf numFmtId="179" fontId="281" fillId="51" borderId="53" xfId="4282" applyNumberFormat="1" applyFont="1" applyFill="1" applyBorder="1" applyAlignment="1">
      <alignment horizontal="right" vertical="center"/>
    </xf>
    <xf numFmtId="324" fontId="31" fillId="52" borderId="53" xfId="4292" applyNumberFormat="1" applyFont="1" applyFill="1" applyBorder="1" applyAlignment="1">
      <alignment horizontal="center" vertical="center" wrapText="1"/>
    </xf>
    <xf numFmtId="3" fontId="280" fillId="50" borderId="53" xfId="0" applyNumberFormat="1" applyFont="1" applyFill="1" applyBorder="1" applyAlignment="1">
      <alignment horizontal="right" vertical="center"/>
    </xf>
    <xf numFmtId="0" fontId="288" fillId="0" borderId="53" xfId="4264" applyNumberFormat="1" applyFont="1" applyFill="1" applyBorder="1" applyAlignment="1">
      <alignment horizontal="center" vertical="center" wrapText="1"/>
    </xf>
    <xf numFmtId="237" fontId="31" fillId="0" borderId="53" xfId="1682" applyNumberFormat="1" applyFont="1" applyFill="1" applyBorder="1" applyAlignment="1">
      <alignment horizontal="center" vertical="center" wrapText="1"/>
    </xf>
    <xf numFmtId="0" fontId="280" fillId="0" borderId="7" xfId="4281" applyFont="1" applyFill="1" applyBorder="1" applyAlignment="1">
      <alignment vertical="center" wrapText="1"/>
    </xf>
    <xf numFmtId="179" fontId="280" fillId="51" borderId="53" xfId="4282" applyNumberFormat="1" applyFont="1" applyFill="1" applyBorder="1" applyAlignment="1">
      <alignment horizontal="right" vertical="center"/>
    </xf>
    <xf numFmtId="0" fontId="280" fillId="50" borderId="53" xfId="4281" applyFont="1" applyFill="1" applyBorder="1" applyAlignment="1">
      <alignment vertical="center" wrapText="1"/>
    </xf>
    <xf numFmtId="1" fontId="280" fillId="50" borderId="53" xfId="4288" applyNumberFormat="1" applyFont="1" applyFill="1" applyBorder="1" applyAlignment="1">
      <alignment horizontal="center" vertical="center" wrapText="1"/>
    </xf>
    <xf numFmtId="1" fontId="280" fillId="50" borderId="53" xfId="4285" quotePrefix="1" applyNumberFormat="1" applyFont="1" applyFill="1" applyBorder="1" applyAlignment="1">
      <alignment horizontal="center" vertical="center" wrapText="1"/>
    </xf>
    <xf numFmtId="179" fontId="280" fillId="50" borderId="7" xfId="4281" applyNumberFormat="1" applyFont="1" applyFill="1" applyBorder="1" applyAlignment="1">
      <alignment horizontal="right" vertical="center" wrapText="1"/>
    </xf>
    <xf numFmtId="0" fontId="273" fillId="51" borderId="53" xfId="0" applyFont="1" applyFill="1" applyBorder="1" applyAlignment="1">
      <alignment horizontal="center" wrapText="1"/>
    </xf>
    <xf numFmtId="0" fontId="31" fillId="64" borderId="53" xfId="4281" applyFont="1" applyFill="1" applyBorder="1" applyAlignment="1">
      <alignment vertical="center" wrapText="1"/>
    </xf>
    <xf numFmtId="0" fontId="31" fillId="62" borderId="54" xfId="0" applyFont="1" applyFill="1" applyBorder="1" applyAlignment="1">
      <alignment horizontal="center" vertical="center" wrapText="1"/>
    </xf>
    <xf numFmtId="0" fontId="31" fillId="0" borderId="54" xfId="0" applyFont="1" applyFill="1" applyBorder="1" applyAlignment="1">
      <alignment horizontal="left" vertical="center" wrapText="1"/>
    </xf>
    <xf numFmtId="1" fontId="31" fillId="0" borderId="54" xfId="4288" applyNumberFormat="1" applyFont="1" applyFill="1" applyBorder="1" applyAlignment="1">
      <alignment horizontal="center" vertical="center" wrapText="1"/>
    </xf>
    <xf numFmtId="3" fontId="31" fillId="0" borderId="54" xfId="0" applyNumberFormat="1" applyFont="1" applyFill="1" applyBorder="1" applyAlignment="1">
      <alignment horizontal="right" vertical="center" wrapText="1"/>
    </xf>
    <xf numFmtId="3" fontId="31" fillId="0" borderId="54" xfId="0" applyNumberFormat="1" applyFont="1" applyFill="1" applyBorder="1" applyAlignment="1">
      <alignment horizontal="right" vertical="center"/>
    </xf>
    <xf numFmtId="237" fontId="280" fillId="0" borderId="54" xfId="1682" applyNumberFormat="1" applyFont="1" applyFill="1" applyBorder="1" applyAlignment="1">
      <alignment vertical="center"/>
    </xf>
    <xf numFmtId="179" fontId="31" fillId="0" borderId="54" xfId="4282" applyNumberFormat="1" applyFont="1" applyFill="1" applyBorder="1" applyAlignment="1">
      <alignment horizontal="center" vertical="center" wrapText="1"/>
    </xf>
    <xf numFmtId="0" fontId="31" fillId="0" borderId="54" xfId="4281" applyFont="1" applyFill="1" applyBorder="1" applyAlignment="1">
      <alignment horizontal="center" vertical="center" wrapText="1"/>
    </xf>
    <xf numFmtId="0" fontId="31" fillId="50" borderId="54" xfId="0" applyFont="1" applyFill="1" applyBorder="1" applyAlignment="1">
      <alignment horizontal="left" vertical="center" wrapText="1"/>
    </xf>
    <xf numFmtId="0" fontId="280" fillId="50" borderId="54" xfId="4281" applyFont="1" applyFill="1" applyBorder="1" applyAlignment="1">
      <alignment horizontal="center" vertical="center" wrapText="1"/>
    </xf>
    <xf numFmtId="1" fontId="31" fillId="50" borderId="54" xfId="4288" applyNumberFormat="1" applyFont="1" applyFill="1" applyBorder="1" applyAlignment="1">
      <alignment horizontal="center" vertical="center" wrapText="1"/>
    </xf>
    <xf numFmtId="1" fontId="31" fillId="50" borderId="54" xfId="4285" quotePrefix="1" applyNumberFormat="1" applyFont="1" applyFill="1" applyBorder="1" applyAlignment="1">
      <alignment horizontal="center" vertical="center" wrapText="1"/>
    </xf>
    <xf numFmtId="3" fontId="31" fillId="50" borderId="54" xfId="0" applyNumberFormat="1" applyFont="1" applyFill="1" applyBorder="1" applyAlignment="1">
      <alignment horizontal="right" vertical="center" wrapText="1"/>
    </xf>
    <xf numFmtId="3" fontId="31" fillId="50" borderId="54" xfId="0" applyNumberFormat="1" applyFont="1" applyFill="1" applyBorder="1" applyAlignment="1">
      <alignment horizontal="right" vertical="center"/>
    </xf>
    <xf numFmtId="0" fontId="31" fillId="50" borderId="54" xfId="0" applyFont="1" applyFill="1" applyBorder="1" applyAlignment="1">
      <alignment horizontal="center" vertical="center" wrapText="1"/>
    </xf>
    <xf numFmtId="179" fontId="31" fillId="50" borderId="54" xfId="4282" applyNumberFormat="1" applyFont="1" applyFill="1" applyBorder="1" applyAlignment="1">
      <alignment horizontal="center" vertical="center" wrapText="1"/>
    </xf>
    <xf numFmtId="0" fontId="31" fillId="57" borderId="54" xfId="0" applyFont="1" applyFill="1" applyBorder="1" applyAlignment="1">
      <alignment horizontal="center" vertical="center" wrapText="1"/>
    </xf>
    <xf numFmtId="3" fontId="273" fillId="51" borderId="53" xfId="0" applyNumberFormat="1" applyFont="1" applyFill="1" applyBorder="1" applyAlignment="1">
      <alignment horizontal="center" vertical="center" wrapText="1"/>
    </xf>
    <xf numFmtId="0" fontId="31" fillId="51" borderId="7" xfId="0" applyFont="1" applyFill="1" applyBorder="1" applyAlignment="1">
      <alignment horizontal="center" vertical="center" wrapText="1"/>
    </xf>
    <xf numFmtId="179" fontId="31" fillId="62" borderId="53" xfId="4281" applyNumberFormat="1" applyFont="1" applyFill="1" applyBorder="1" applyAlignment="1">
      <alignment horizontal="right" vertical="center" wrapText="1"/>
    </xf>
    <xf numFmtId="237" fontId="280" fillId="51" borderId="53" xfId="1682" applyNumberFormat="1" applyFont="1" applyFill="1" applyBorder="1" applyAlignment="1">
      <alignment horizontal="center" vertical="center" wrapText="1"/>
    </xf>
    <xf numFmtId="0" fontId="31" fillId="62" borderId="53" xfId="4281" applyFont="1" applyFill="1" applyBorder="1" applyAlignment="1">
      <alignment vertical="center" wrapText="1"/>
    </xf>
    <xf numFmtId="237" fontId="31" fillId="51" borderId="53" xfId="1682" applyNumberFormat="1" applyFont="1" applyFill="1" applyBorder="1" applyAlignment="1">
      <alignment horizontal="center" vertical="center" wrapText="1"/>
    </xf>
    <xf numFmtId="1" fontId="31" fillId="0" borderId="0" xfId="4288" applyNumberFormat="1" applyFont="1" applyFill="1" applyBorder="1" applyAlignment="1">
      <alignment horizontal="center" vertical="center"/>
    </xf>
    <xf numFmtId="179" fontId="292" fillId="51" borderId="53" xfId="4282" applyNumberFormat="1" applyFont="1" applyFill="1" applyBorder="1" applyAlignment="1">
      <alignment horizontal="center" vertical="center"/>
    </xf>
    <xf numFmtId="179" fontId="292" fillId="0" borderId="53" xfId="4282" applyNumberFormat="1" applyFont="1" applyFill="1" applyBorder="1" applyAlignment="1">
      <alignment horizontal="center" vertical="center"/>
    </xf>
    <xf numFmtId="4" fontId="273" fillId="0" borderId="53" xfId="0" applyNumberFormat="1" applyFont="1" applyFill="1" applyBorder="1"/>
    <xf numFmtId="3" fontId="273" fillId="0" borderId="53" xfId="0" applyNumberFormat="1" applyFont="1" applyFill="1" applyBorder="1" applyAlignment="1">
      <alignment horizontal="center" vertical="center" wrapText="1"/>
    </xf>
    <xf numFmtId="179" fontId="273" fillId="0" borderId="53" xfId="0" applyNumberFormat="1" applyFont="1" applyFill="1" applyBorder="1"/>
    <xf numFmtId="0" fontId="273" fillId="0" borderId="0" xfId="0" applyFont="1" applyFill="1" applyBorder="1"/>
    <xf numFmtId="4" fontId="273" fillId="0" borderId="0" xfId="0" applyNumberFormat="1" applyFont="1" applyFill="1" applyBorder="1"/>
    <xf numFmtId="0" fontId="273" fillId="51" borderId="53" xfId="0" applyFont="1" applyFill="1" applyBorder="1" applyAlignment="1">
      <alignment horizontal="center" vertical="center"/>
    </xf>
    <xf numFmtId="0" fontId="31" fillId="51" borderId="54" xfId="4284" applyNumberFormat="1" applyFont="1" applyFill="1" applyBorder="1" applyAlignment="1">
      <alignment horizontal="center" vertical="center"/>
    </xf>
    <xf numFmtId="0" fontId="276" fillId="51" borderId="54" xfId="0" applyFont="1" applyFill="1" applyBorder="1" applyAlignment="1">
      <alignment horizontal="left" vertical="center" wrapText="1"/>
    </xf>
    <xf numFmtId="0" fontId="280" fillId="51" borderId="54" xfId="4281" applyFont="1" applyFill="1" applyBorder="1" applyAlignment="1">
      <alignment horizontal="center" vertical="center" wrapText="1"/>
    </xf>
    <xf numFmtId="1" fontId="276" fillId="51" borderId="54" xfId="4288" applyNumberFormat="1" applyFont="1" applyFill="1" applyBorder="1" applyAlignment="1">
      <alignment horizontal="center" vertical="center" wrapText="1"/>
    </xf>
    <xf numFmtId="179" fontId="276" fillId="51" borderId="54" xfId="4281" applyNumberFormat="1" applyFont="1" applyFill="1" applyBorder="1" applyAlignment="1">
      <alignment horizontal="right" vertical="center" wrapText="1"/>
    </xf>
    <xf numFmtId="3" fontId="276" fillId="51" borderId="54" xfId="0" applyNumberFormat="1" applyFont="1" applyFill="1" applyBorder="1" applyAlignment="1">
      <alignment horizontal="right" vertical="center"/>
    </xf>
    <xf numFmtId="0" fontId="273" fillId="51" borderId="54" xfId="0" applyFont="1" applyFill="1" applyBorder="1"/>
    <xf numFmtId="237" fontId="273" fillId="51" borderId="54" xfId="0" applyNumberFormat="1" applyFont="1" applyFill="1" applyBorder="1"/>
    <xf numFmtId="0" fontId="0" fillId="0" borderId="53" xfId="0" applyBorder="1" applyAlignment="1">
      <alignment horizontal="center" vertical="center"/>
    </xf>
    <xf numFmtId="179" fontId="37" fillId="0" borderId="53" xfId="4282" applyNumberFormat="1" applyFont="1" applyFill="1" applyBorder="1" applyAlignment="1">
      <alignment horizontal="right" vertical="center"/>
    </xf>
    <xf numFmtId="0" fontId="273" fillId="0" borderId="0" xfId="0" applyFont="1" applyBorder="1" applyAlignment="1">
      <alignment horizontal="left" vertical="center"/>
    </xf>
    <xf numFmtId="0" fontId="273" fillId="0" borderId="0" xfId="0" applyFont="1" applyBorder="1"/>
    <xf numFmtId="0" fontId="273" fillId="0" borderId="53" xfId="0" applyFont="1" applyBorder="1" applyAlignment="1">
      <alignment horizontal="center" vertical="center"/>
    </xf>
    <xf numFmtId="237" fontId="273" fillId="0" borderId="53" xfId="0" applyNumberFormat="1" applyFont="1" applyBorder="1"/>
    <xf numFmtId="0" fontId="40" fillId="62" borderId="53" xfId="4264" applyNumberFormat="1" applyFont="1" applyFill="1" applyBorder="1" applyAlignment="1">
      <alignment horizontal="left" vertical="center" wrapText="1"/>
    </xf>
    <xf numFmtId="3" fontId="273" fillId="0" borderId="53" xfId="0" applyNumberFormat="1" applyFont="1" applyBorder="1" applyAlignment="1">
      <alignment vertical="center"/>
    </xf>
    <xf numFmtId="0" fontId="37" fillId="0" borderId="53" xfId="0" applyFont="1" applyFill="1" applyBorder="1" applyAlignment="1">
      <alignment vertical="center" wrapText="1"/>
    </xf>
    <xf numFmtId="179" fontId="293" fillId="0" borderId="53" xfId="4294" applyNumberFormat="1" applyFont="1" applyFill="1" applyBorder="1" applyAlignment="1">
      <alignment horizontal="right" vertical="center"/>
    </xf>
    <xf numFmtId="3" fontId="37" fillId="0" borderId="53" xfId="0" applyNumberFormat="1" applyFont="1" applyFill="1" applyBorder="1" applyAlignment="1">
      <alignment horizontal="right" vertical="center"/>
    </xf>
    <xf numFmtId="1" fontId="37" fillId="0" borderId="53" xfId="4288" applyNumberFormat="1" applyFont="1" applyFill="1" applyBorder="1" applyAlignment="1">
      <alignment horizontal="center" vertical="center"/>
    </xf>
    <xf numFmtId="1" fontId="37" fillId="0" borderId="53" xfId="4288" applyNumberFormat="1" applyFont="1" applyFill="1" applyBorder="1" applyAlignment="1">
      <alignment vertical="center" wrapText="1"/>
    </xf>
    <xf numFmtId="0" fontId="40" fillId="0" borderId="53" xfId="0" applyFont="1" applyFill="1" applyBorder="1" applyAlignment="1">
      <alignment horizontal="center" vertical="center"/>
    </xf>
    <xf numFmtId="1" fontId="37" fillId="0" borderId="53" xfId="4288" applyNumberFormat="1" applyFont="1" applyFill="1" applyBorder="1" applyAlignment="1">
      <alignment horizontal="center" vertical="center" wrapText="1"/>
    </xf>
    <xf numFmtId="3" fontId="37" fillId="0" borderId="53" xfId="4288" applyNumberFormat="1" applyFont="1" applyFill="1" applyBorder="1" applyAlignment="1">
      <alignment horizontal="right" vertical="center" wrapText="1"/>
    </xf>
    <xf numFmtId="1" fontId="8" fillId="0" borderId="53" xfId="1" applyNumberFormat="1" applyFont="1" applyFill="1" applyBorder="1" applyAlignment="1">
      <alignment vertical="center"/>
    </xf>
    <xf numFmtId="1" fontId="132" fillId="0" borderId="53" xfId="1" applyNumberFormat="1" applyFont="1" applyFill="1" applyBorder="1" applyAlignment="1">
      <alignment vertical="center"/>
    </xf>
    <xf numFmtId="1" fontId="8" fillId="0" borderId="53" xfId="1" applyNumberFormat="1" applyFont="1" applyFill="1" applyBorder="1" applyAlignment="1">
      <alignment horizontal="center" vertical="center"/>
    </xf>
    <xf numFmtId="3" fontId="37" fillId="0" borderId="53" xfId="4288" applyNumberFormat="1" applyFont="1" applyFill="1" applyBorder="1" applyAlignment="1">
      <alignment horizontal="center" vertical="center" wrapText="1"/>
    </xf>
    <xf numFmtId="3" fontId="37" fillId="0" borderId="53" xfId="4291" applyNumberFormat="1" applyFont="1" applyFill="1" applyBorder="1" applyAlignment="1">
      <alignment horizontal="center" vertical="center" wrapText="1"/>
    </xf>
    <xf numFmtId="237" fontId="37" fillId="0" borderId="53" xfId="1682" applyNumberFormat="1" applyFont="1" applyFill="1" applyBorder="1" applyAlignment="1">
      <alignment horizontal="center" vertical="center" wrapText="1"/>
    </xf>
    <xf numFmtId="179" fontId="37" fillId="0" borderId="53" xfId="4294" applyNumberFormat="1" applyFont="1" applyFill="1" applyBorder="1" applyAlignment="1">
      <alignment horizontal="center" vertical="center" wrapText="1"/>
    </xf>
    <xf numFmtId="0" fontId="37" fillId="0" borderId="0" xfId="0" applyFont="1" applyFill="1" applyBorder="1"/>
    <xf numFmtId="0" fontId="37" fillId="0" borderId="0" xfId="0" applyFont="1" applyFill="1" applyBorder="1" applyAlignment="1">
      <alignment vertical="center"/>
    </xf>
    <xf numFmtId="3" fontId="37" fillId="0" borderId="53" xfId="1" quotePrefix="1" applyNumberFormat="1" applyFont="1" applyFill="1" applyBorder="1" applyAlignment="1">
      <alignment horizontal="center" vertical="center" wrapText="1"/>
    </xf>
    <xf numFmtId="3" fontId="40" fillId="0" borderId="53" xfId="1" applyNumberFormat="1" applyFont="1" applyFill="1" applyBorder="1" applyAlignment="1">
      <alignment horizontal="center" vertical="center" wrapText="1"/>
    </xf>
    <xf numFmtId="1" fontId="37" fillId="0" borderId="53" xfId="1" applyNumberFormat="1" applyFont="1" applyFill="1" applyBorder="1" applyAlignment="1">
      <alignment vertical="center"/>
    </xf>
    <xf numFmtId="1" fontId="37" fillId="0" borderId="53" xfId="1" applyNumberFormat="1" applyFont="1" applyFill="1" applyBorder="1" applyAlignment="1">
      <alignment horizontal="center" vertical="center"/>
    </xf>
    <xf numFmtId="3" fontId="8" fillId="0" borderId="53" xfId="1" applyNumberFormat="1" applyFont="1" applyFill="1" applyBorder="1" applyAlignment="1">
      <alignment vertical="center" wrapText="1"/>
    </xf>
    <xf numFmtId="1" fontId="37" fillId="0" borderId="53" xfId="4285" applyNumberFormat="1" applyFont="1" applyFill="1" applyBorder="1" applyAlignment="1">
      <alignment horizontal="left" vertical="center" wrapText="1"/>
    </xf>
    <xf numFmtId="0" fontId="40" fillId="0" borderId="0" xfId="2612" applyFont="1" applyFill="1" applyAlignment="1">
      <alignment horizontal="left" vertical="center"/>
    </xf>
    <xf numFmtId="0" fontId="40" fillId="0" borderId="0" xfId="2612" applyFont="1" applyFill="1" applyAlignment="1">
      <alignment vertical="center"/>
    </xf>
    <xf numFmtId="0" fontId="37" fillId="0" borderId="0" xfId="2612" applyFont="1" applyFill="1" applyAlignment="1">
      <alignment vertical="center"/>
    </xf>
    <xf numFmtId="0" fontId="37" fillId="0" borderId="0" xfId="0" applyFont="1" applyFill="1" applyBorder="1" applyAlignment="1">
      <alignment horizontal="left" vertical="center"/>
    </xf>
    <xf numFmtId="0" fontId="37" fillId="0" borderId="0" xfId="0" applyFont="1" applyFill="1" applyBorder="1" applyAlignment="1">
      <alignment horizontal="center" vertical="center"/>
    </xf>
    <xf numFmtId="49" fontId="37" fillId="0" borderId="0" xfId="0" applyNumberFormat="1" applyFont="1" applyFill="1" applyBorder="1" applyAlignment="1">
      <alignment vertical="center"/>
    </xf>
    <xf numFmtId="0" fontId="25" fillId="0" borderId="0" xfId="0" applyFont="1" applyFill="1" applyBorder="1" applyAlignment="1">
      <alignment horizontal="center" vertical="center"/>
    </xf>
    <xf numFmtId="0" fontId="25" fillId="0" borderId="0" xfId="0" applyFont="1" applyFill="1" applyBorder="1" applyAlignment="1">
      <alignment horizontal="left" vertical="center"/>
    </xf>
    <xf numFmtId="49" fontId="25" fillId="0" borderId="0" xfId="0" applyNumberFormat="1" applyFont="1" applyFill="1" applyBorder="1" applyAlignment="1">
      <alignment vertical="center"/>
    </xf>
    <xf numFmtId="0" fontId="25" fillId="0" borderId="0" xfId="0" applyFont="1" applyFill="1" applyBorder="1" applyAlignment="1">
      <alignment horizontal="right" vertical="center"/>
    </xf>
    <xf numFmtId="0" fontId="25" fillId="0" borderId="0" xfId="0" applyFont="1" applyFill="1" applyBorder="1" applyAlignment="1">
      <alignment vertical="center"/>
    </xf>
    <xf numFmtId="0" fontId="40" fillId="0" borderId="53" xfId="2612" applyFont="1" applyFill="1" applyBorder="1" applyAlignment="1">
      <alignment horizontal="center" vertical="center"/>
    </xf>
    <xf numFmtId="0" fontId="40" fillId="0" borderId="53" xfId="2612" applyFont="1" applyFill="1" applyBorder="1" applyAlignment="1">
      <alignment vertical="center"/>
    </xf>
    <xf numFmtId="324" fontId="25" fillId="0" borderId="53" xfId="4282" applyNumberFormat="1" applyFont="1" applyFill="1" applyBorder="1" applyAlignment="1">
      <alignment horizontal="center" vertical="center" wrapText="1"/>
    </xf>
    <xf numFmtId="0" fontId="25" fillId="0" borderId="0" xfId="2612" applyFont="1" applyFill="1" applyAlignment="1">
      <alignment vertical="center"/>
    </xf>
    <xf numFmtId="324" fontId="40" fillId="0" borderId="53" xfId="4282" applyNumberFormat="1" applyFont="1" applyFill="1" applyBorder="1" applyAlignment="1">
      <alignment horizontal="center" vertical="center" wrapText="1"/>
    </xf>
    <xf numFmtId="0" fontId="37" fillId="0" borderId="0" xfId="2612" applyFont="1" applyFill="1" applyAlignment="1">
      <alignment horizontal="center" vertical="center"/>
    </xf>
    <xf numFmtId="0" fontId="37" fillId="0" borderId="0" xfId="2612" applyFont="1" applyFill="1" applyAlignment="1">
      <alignment horizontal="left" vertical="center"/>
    </xf>
    <xf numFmtId="179" fontId="37" fillId="0" borderId="0" xfId="4282" applyNumberFormat="1" applyFont="1" applyFill="1" applyAlignment="1">
      <alignment horizontal="center" vertical="center"/>
    </xf>
    <xf numFmtId="179" fontId="37" fillId="0" borderId="0" xfId="4282" applyNumberFormat="1" applyFont="1" applyFill="1" applyAlignment="1">
      <alignment horizontal="right" vertical="center"/>
    </xf>
    <xf numFmtId="0" fontId="40" fillId="0" borderId="0" xfId="2612" applyFont="1" applyFill="1" applyAlignment="1"/>
    <xf numFmtId="179" fontId="40" fillId="0" borderId="0" xfId="4282" applyNumberFormat="1" applyFont="1" applyFill="1" applyAlignment="1">
      <alignment horizontal="center"/>
    </xf>
    <xf numFmtId="9" fontId="40" fillId="0" borderId="0" xfId="4283" applyFont="1" applyFill="1" applyAlignment="1">
      <alignment horizontal="center"/>
    </xf>
    <xf numFmtId="179" fontId="37" fillId="0" borderId="0" xfId="4282" applyNumberFormat="1" applyFont="1" applyFill="1" applyBorder="1"/>
    <xf numFmtId="0" fontId="37" fillId="0" borderId="0" xfId="2612" applyFont="1" applyFill="1"/>
    <xf numFmtId="0" fontId="37" fillId="0" borderId="0" xfId="0" applyFont="1" applyFill="1" applyBorder="1" applyAlignment="1">
      <alignment horizontal="left"/>
    </xf>
    <xf numFmtId="0" fontId="37" fillId="0" borderId="0" xfId="0" applyFont="1" applyFill="1" applyBorder="1" applyAlignment="1">
      <alignment horizontal="center"/>
    </xf>
    <xf numFmtId="179" fontId="37" fillId="0" borderId="0" xfId="4282" applyNumberFormat="1" applyFont="1" applyFill="1" applyBorder="1" applyAlignment="1">
      <alignment horizontal="center"/>
    </xf>
    <xf numFmtId="9" fontId="37" fillId="0" borderId="0" xfId="4283" applyFont="1" applyFill="1" applyBorder="1" applyAlignment="1">
      <alignment horizontal="center"/>
    </xf>
    <xf numFmtId="49" fontId="37" fillId="0" borderId="0" xfId="0" applyNumberFormat="1" applyFont="1" applyFill="1" applyBorder="1"/>
    <xf numFmtId="0" fontId="25" fillId="0" borderId="0" xfId="0" applyFont="1" applyFill="1" applyBorder="1"/>
    <xf numFmtId="0" fontId="25" fillId="0" borderId="0" xfId="0" applyFont="1" applyFill="1" applyBorder="1" applyAlignment="1">
      <alignment horizontal="left"/>
    </xf>
    <xf numFmtId="0" fontId="25" fillId="0" borderId="0" xfId="0" applyFont="1" applyFill="1" applyBorder="1" applyAlignment="1">
      <alignment horizontal="center"/>
    </xf>
    <xf numFmtId="9" fontId="25" fillId="0" borderId="0" xfId="4283" applyFont="1" applyFill="1" applyBorder="1" applyAlignment="1">
      <alignment horizontal="center"/>
    </xf>
    <xf numFmtId="49" fontId="25" fillId="0" borderId="0" xfId="0" applyNumberFormat="1" applyFont="1" applyFill="1" applyBorder="1"/>
    <xf numFmtId="0" fontId="25" fillId="0" borderId="0" xfId="0" applyFont="1" applyFill="1" applyBorder="1" applyAlignment="1">
      <alignment horizontal="right"/>
    </xf>
    <xf numFmtId="0" fontId="40" fillId="0" borderId="53" xfId="0" applyFont="1" applyFill="1" applyBorder="1" applyAlignment="1">
      <alignment horizontal="center" vertical="center" wrapText="1"/>
    </xf>
    <xf numFmtId="179" fontId="40" fillId="0" borderId="53" xfId="4282" applyNumberFormat="1" applyFont="1" applyFill="1" applyBorder="1" applyAlignment="1">
      <alignment horizontal="center" vertical="center" wrapText="1"/>
    </xf>
    <xf numFmtId="0" fontId="37" fillId="0" borderId="0" xfId="0" applyFont="1" applyFill="1" applyAlignment="1">
      <alignment vertical="center"/>
    </xf>
    <xf numFmtId="0" fontId="40" fillId="0" borderId="53" xfId="0" applyFont="1" applyFill="1" applyBorder="1" applyAlignment="1">
      <alignment horizontal="left" vertical="center" wrapText="1"/>
    </xf>
    <xf numFmtId="0" fontId="40" fillId="0" borderId="0" xfId="0" applyFont="1" applyFill="1" applyAlignment="1">
      <alignment vertical="center"/>
    </xf>
    <xf numFmtId="0" fontId="37" fillId="0" borderId="53" xfId="0" applyFont="1" applyFill="1" applyBorder="1" applyAlignment="1">
      <alignment horizontal="center" vertical="center"/>
    </xf>
    <xf numFmtId="0" fontId="37" fillId="0" borderId="53" xfId="0" applyFont="1" applyBorder="1" applyAlignment="1">
      <alignment horizontal="left" vertical="center" wrapText="1"/>
    </xf>
    <xf numFmtId="179" fontId="25" fillId="0" borderId="53" xfId="4282" applyNumberFormat="1" applyFont="1" applyFill="1" applyBorder="1" applyAlignment="1">
      <alignment horizontal="center" vertical="center" wrapText="1"/>
    </xf>
    <xf numFmtId="0" fontId="25" fillId="0" borderId="0" xfId="0" applyFont="1" applyFill="1" applyAlignment="1">
      <alignment vertical="center"/>
    </xf>
    <xf numFmtId="0" fontId="37" fillId="0" borderId="0" xfId="0" applyFont="1" applyFill="1" applyAlignment="1">
      <alignment horizontal="center" vertical="center"/>
    </xf>
    <xf numFmtId="0" fontId="37" fillId="0" borderId="0" xfId="0" applyFont="1" applyFill="1" applyBorder="1" applyAlignment="1">
      <alignment horizontal="left" vertical="center" wrapText="1"/>
    </xf>
    <xf numFmtId="9" fontId="37" fillId="0" borderId="0" xfId="4283" applyFont="1" applyFill="1" applyAlignment="1">
      <alignment horizontal="center" vertical="center"/>
    </xf>
    <xf numFmtId="179" fontId="37" fillId="0" borderId="0" xfId="4282" applyNumberFormat="1" applyFont="1" applyFill="1" applyBorder="1" applyAlignment="1">
      <alignment horizontal="left"/>
    </xf>
    <xf numFmtId="179" fontId="25" fillId="0" borderId="0" xfId="4282" applyNumberFormat="1" applyFont="1" applyFill="1" applyBorder="1" applyAlignment="1">
      <alignment horizontal="left"/>
    </xf>
    <xf numFmtId="9" fontId="25" fillId="0" borderId="53" xfId="4283" applyFont="1" applyFill="1" applyBorder="1" applyAlignment="1">
      <alignment horizontal="left" vertical="center" wrapText="1"/>
    </xf>
    <xf numFmtId="0" fontId="297" fillId="0" borderId="0" xfId="0" applyFont="1" applyAlignment="1">
      <alignment horizontal="left" vertical="center"/>
    </xf>
    <xf numFmtId="3" fontId="37" fillId="0" borderId="53" xfId="4308" applyNumberFormat="1" applyFont="1" applyFill="1" applyBorder="1" applyAlignment="1">
      <alignment horizontal="left" vertical="center" wrapText="1"/>
    </xf>
    <xf numFmtId="0" fontId="37" fillId="0" borderId="53" xfId="2613" applyFont="1" applyFill="1" applyBorder="1" applyAlignment="1">
      <alignment horizontal="left" vertical="center" wrapText="1"/>
    </xf>
    <xf numFmtId="324" fontId="37" fillId="0" borderId="53" xfId="4300" applyNumberFormat="1" applyFont="1" applyFill="1" applyBorder="1" applyAlignment="1">
      <alignment horizontal="left" vertical="center" wrapText="1"/>
    </xf>
    <xf numFmtId="0" fontId="37" fillId="0" borderId="53" xfId="2565" applyFont="1" applyFill="1" applyBorder="1" applyAlignment="1">
      <alignment horizontal="left" vertical="center" wrapText="1"/>
    </xf>
    <xf numFmtId="324" fontId="37" fillId="0" borderId="53" xfId="4301" applyNumberFormat="1" applyFont="1" applyFill="1" applyBorder="1" applyAlignment="1">
      <alignment horizontal="left" vertical="center" wrapText="1"/>
    </xf>
    <xf numFmtId="1" fontId="37" fillId="0" borderId="0" xfId="1" applyNumberFormat="1" applyFont="1" applyFill="1" applyAlignment="1">
      <alignment vertical="center"/>
    </xf>
    <xf numFmtId="1" fontId="38" fillId="0" borderId="0" xfId="1" applyNumberFormat="1" applyFont="1" applyFill="1" applyAlignment="1">
      <alignment vertical="center"/>
    </xf>
    <xf numFmtId="3" fontId="37" fillId="0" borderId="0" xfId="1" applyNumberFormat="1" applyFont="1" applyFill="1" applyBorder="1" applyAlignment="1">
      <alignment horizontal="center" vertical="center" wrapText="1"/>
    </xf>
    <xf numFmtId="3" fontId="37" fillId="0" borderId="0" xfId="1" applyNumberFormat="1" applyFont="1" applyFill="1" applyBorder="1" applyAlignment="1">
      <alignment vertical="center" wrapText="1"/>
    </xf>
    <xf numFmtId="0" fontId="31" fillId="0" borderId="0" xfId="0" applyFont="1" applyFill="1" applyBorder="1" applyAlignment="1">
      <alignment horizontal="center" vertical="center"/>
    </xf>
    <xf numFmtId="0" fontId="42" fillId="0" borderId="0" xfId="0" applyFont="1" applyFill="1" applyBorder="1" applyAlignment="1">
      <alignment horizontal="left" vertical="center"/>
    </xf>
    <xf numFmtId="179" fontId="31" fillId="0" borderId="1" xfId="4280" applyNumberFormat="1" applyFont="1" applyFill="1" applyBorder="1" applyAlignment="1">
      <alignment horizontal="right" vertical="center"/>
    </xf>
    <xf numFmtId="179" fontId="31" fillId="0" borderId="1" xfId="4280" applyNumberFormat="1" applyFont="1" applyFill="1" applyBorder="1" applyAlignment="1">
      <alignment vertical="center"/>
    </xf>
    <xf numFmtId="9" fontId="31" fillId="0" borderId="1" xfId="4283" applyFont="1" applyFill="1" applyBorder="1" applyAlignment="1">
      <alignment vertical="center"/>
    </xf>
    <xf numFmtId="179" fontId="31" fillId="0" borderId="1" xfId="4283" applyNumberFormat="1" applyFont="1" applyFill="1" applyBorder="1" applyAlignment="1">
      <alignment vertical="center"/>
    </xf>
    <xf numFmtId="0" fontId="31" fillId="0" borderId="1" xfId="0" applyFont="1" applyFill="1" applyBorder="1" applyAlignment="1">
      <alignment horizontal="center" vertical="center"/>
    </xf>
    <xf numFmtId="0" fontId="31" fillId="0" borderId="0" xfId="0" applyFont="1" applyFill="1" applyBorder="1" applyAlignment="1">
      <alignment vertical="center"/>
    </xf>
    <xf numFmtId="0" fontId="31" fillId="0" borderId="0" xfId="0" applyFont="1" applyFill="1" applyBorder="1" applyAlignment="1">
      <alignment horizontal="left" vertical="center"/>
    </xf>
    <xf numFmtId="179" fontId="31" fillId="0" borderId="59" xfId="4280" applyNumberFormat="1" applyFont="1" applyFill="1" applyBorder="1" applyAlignment="1">
      <alignment horizontal="right" vertical="center"/>
    </xf>
    <xf numFmtId="9" fontId="31" fillId="0" borderId="59" xfId="4283" applyFont="1" applyFill="1" applyBorder="1" applyAlignment="1">
      <alignment vertical="center"/>
    </xf>
    <xf numFmtId="179" fontId="31" fillId="0" borderId="0" xfId="0" applyNumberFormat="1" applyFont="1" applyFill="1" applyBorder="1" applyAlignment="1">
      <alignment vertical="center"/>
    </xf>
    <xf numFmtId="179" fontId="42" fillId="0" borderId="59" xfId="0" applyNumberFormat="1" applyFont="1" applyFill="1" applyBorder="1" applyAlignment="1">
      <alignment horizontal="center" vertical="center"/>
    </xf>
    <xf numFmtId="179" fontId="42" fillId="0" borderId="0" xfId="0" applyNumberFormat="1" applyFont="1" applyFill="1" applyBorder="1" applyAlignment="1">
      <alignment vertical="center"/>
    </xf>
    <xf numFmtId="0" fontId="31" fillId="0" borderId="59" xfId="0" applyFont="1" applyFill="1" applyBorder="1" applyAlignment="1">
      <alignment horizontal="center" vertical="center"/>
    </xf>
    <xf numFmtId="0" fontId="42" fillId="0" borderId="0" xfId="0" applyFont="1" applyFill="1" applyAlignment="1">
      <alignment horizontal="center" vertical="center"/>
    </xf>
    <xf numFmtId="0" fontId="42" fillId="0" borderId="0" xfId="0" applyFont="1" applyFill="1" applyAlignment="1">
      <alignment horizontal="left" vertical="center"/>
    </xf>
    <xf numFmtId="0" fontId="42" fillId="0" borderId="0" xfId="0" applyFont="1" applyFill="1" applyAlignment="1">
      <alignment horizontal="right" vertical="center"/>
    </xf>
    <xf numFmtId="179" fontId="42" fillId="0" borderId="0" xfId="4280" applyNumberFormat="1" applyFont="1" applyFill="1" applyAlignment="1">
      <alignment horizontal="center" vertical="center"/>
    </xf>
    <xf numFmtId="0" fontId="42" fillId="0" borderId="0" xfId="0" applyFont="1" applyFill="1" applyAlignment="1">
      <alignment vertical="center"/>
    </xf>
    <xf numFmtId="0" fontId="31" fillId="0" borderId="0" xfId="0" applyFont="1" applyFill="1" applyAlignment="1">
      <alignment horizontal="center" vertical="center"/>
    </xf>
    <xf numFmtId="0" fontId="31" fillId="0" borderId="0" xfId="0" applyFont="1" applyFill="1" applyAlignment="1">
      <alignment horizontal="left" vertical="center"/>
    </xf>
    <xf numFmtId="0" fontId="31" fillId="0" borderId="0" xfId="0" applyFont="1" applyFill="1" applyAlignment="1">
      <alignment horizontal="right" vertical="center"/>
    </xf>
    <xf numFmtId="179" fontId="31" fillId="0" borderId="0" xfId="4280" applyNumberFormat="1" applyFont="1" applyFill="1" applyAlignment="1">
      <alignment horizontal="center" vertical="center"/>
    </xf>
    <xf numFmtId="9" fontId="31" fillId="0" borderId="0" xfId="4283" applyFont="1" applyFill="1" applyAlignment="1">
      <alignment vertical="center"/>
    </xf>
    <xf numFmtId="179" fontId="31" fillId="0" borderId="0" xfId="4280" applyNumberFormat="1" applyFont="1" applyFill="1" applyAlignment="1">
      <alignment vertical="center"/>
    </xf>
    <xf numFmtId="9" fontId="31" fillId="0" borderId="0" xfId="0" applyNumberFormat="1" applyFont="1" applyFill="1" applyAlignment="1">
      <alignment horizontal="center" vertical="center"/>
    </xf>
    <xf numFmtId="0" fontId="31" fillId="0" borderId="0" xfId="0" applyFont="1" applyFill="1" applyAlignment="1">
      <alignment vertical="center"/>
    </xf>
    <xf numFmtId="0" fontId="42" fillId="0" borderId="53" xfId="0" applyFont="1" applyFill="1" applyBorder="1" applyAlignment="1">
      <alignment horizontal="center" vertical="center" wrapText="1"/>
    </xf>
    <xf numFmtId="0" fontId="42" fillId="0" borderId="53" xfId="0" applyFont="1" applyFill="1" applyBorder="1" applyAlignment="1">
      <alignment horizontal="left" vertical="center" wrapText="1"/>
    </xf>
    <xf numFmtId="0" fontId="42" fillId="0" borderId="53" xfId="0" applyFont="1" applyFill="1" applyBorder="1" applyAlignment="1">
      <alignment horizontal="right" vertical="center" wrapText="1"/>
    </xf>
    <xf numFmtId="179" fontId="42" fillId="0" borderId="53" xfId="4280" applyNumberFormat="1" applyFont="1" applyFill="1" applyBorder="1" applyAlignment="1">
      <alignment horizontal="right" vertical="center" wrapText="1"/>
    </xf>
    <xf numFmtId="9" fontId="42" fillId="0" borderId="53" xfId="4283" applyFont="1" applyFill="1" applyBorder="1" applyAlignment="1">
      <alignment horizontal="right" vertical="center" wrapText="1"/>
    </xf>
    <xf numFmtId="179" fontId="31" fillId="0" borderId="53" xfId="4280" applyNumberFormat="1" applyFont="1" applyFill="1" applyBorder="1" applyAlignment="1">
      <alignment horizontal="right" vertical="center" wrapText="1"/>
    </xf>
    <xf numFmtId="37" fontId="42" fillId="0" borderId="53" xfId="0" applyNumberFormat="1" applyFont="1" applyFill="1" applyBorder="1" applyAlignment="1">
      <alignment horizontal="right" vertical="center" wrapText="1"/>
    </xf>
    <xf numFmtId="179" fontId="42" fillId="0" borderId="53" xfId="4280" applyNumberFormat="1" applyFont="1" applyFill="1" applyBorder="1" applyAlignment="1">
      <alignment horizontal="center" vertical="center" wrapText="1"/>
    </xf>
    <xf numFmtId="179" fontId="42" fillId="0" borderId="53" xfId="0" applyNumberFormat="1" applyFont="1" applyFill="1" applyBorder="1" applyAlignment="1">
      <alignment horizontal="center" vertical="center" wrapText="1"/>
    </xf>
    <xf numFmtId="0" fontId="42" fillId="0" borderId="0" xfId="0" applyFont="1" applyFill="1" applyAlignment="1">
      <alignment horizontal="center" vertical="center" wrapText="1"/>
    </xf>
    <xf numFmtId="0" fontId="42" fillId="65" borderId="53" xfId="0" applyFont="1" applyFill="1" applyBorder="1" applyAlignment="1">
      <alignment horizontal="center" vertical="center" wrapText="1"/>
    </xf>
    <xf numFmtId="0" fontId="42" fillId="65" borderId="53" xfId="0" applyFont="1" applyFill="1" applyBorder="1" applyAlignment="1">
      <alignment horizontal="left" vertical="center" wrapText="1"/>
    </xf>
    <xf numFmtId="179" fontId="42" fillId="65" borderId="53" xfId="4280" applyNumberFormat="1" applyFont="1" applyFill="1" applyBorder="1" applyAlignment="1">
      <alignment horizontal="right" vertical="center"/>
    </xf>
    <xf numFmtId="179" fontId="42" fillId="65" borderId="53" xfId="4280" applyNumberFormat="1" applyFont="1" applyFill="1" applyBorder="1" applyAlignment="1">
      <alignment vertical="center" wrapText="1"/>
    </xf>
    <xf numFmtId="9" fontId="277" fillId="65" borderId="53" xfId="4283" applyFont="1" applyFill="1" applyBorder="1" applyAlignment="1">
      <alignment horizontal="right" vertical="center" wrapText="1"/>
    </xf>
    <xf numFmtId="179" fontId="42" fillId="65" borderId="53" xfId="4280" applyNumberFormat="1" applyFont="1" applyFill="1" applyBorder="1" applyAlignment="1">
      <alignment horizontal="center" vertical="center" wrapText="1"/>
    </xf>
    <xf numFmtId="1" fontId="31" fillId="0" borderId="53" xfId="10" applyNumberFormat="1" applyFont="1" applyFill="1" applyBorder="1" applyAlignment="1">
      <alignment horizontal="center" vertical="center" wrapText="1"/>
    </xf>
    <xf numFmtId="0" fontId="37" fillId="0" borderId="53" xfId="10" applyFont="1" applyBorder="1" applyAlignment="1">
      <alignment horizontal="left" vertical="center" wrapText="1"/>
    </xf>
    <xf numFmtId="179" fontId="31" fillId="0" borderId="53" xfId="4280" applyNumberFormat="1" applyFont="1" applyFill="1" applyBorder="1" applyAlignment="1">
      <alignment horizontal="right" vertical="center"/>
    </xf>
    <xf numFmtId="179" fontId="37" fillId="0" borderId="53" xfId="4280" applyNumberFormat="1" applyFont="1" applyFill="1" applyBorder="1" applyAlignment="1">
      <alignment horizontal="right" vertical="center" wrapText="1"/>
    </xf>
    <xf numFmtId="9" fontId="31" fillId="0" borderId="53" xfId="4283" applyFont="1" applyFill="1" applyBorder="1" applyAlignment="1">
      <alignment horizontal="right" vertical="center"/>
    </xf>
    <xf numFmtId="179" fontId="31" fillId="0" borderId="53" xfId="4280" applyNumberFormat="1" applyFont="1" applyFill="1" applyBorder="1" applyAlignment="1">
      <alignment vertical="center" wrapText="1"/>
    </xf>
    <xf numFmtId="9" fontId="31" fillId="0" borderId="53" xfId="4283" applyFont="1" applyFill="1" applyBorder="1" applyAlignment="1">
      <alignment horizontal="right" vertical="center" wrapText="1"/>
    </xf>
    <xf numFmtId="179" fontId="31" fillId="0" borderId="53" xfId="4280" applyNumberFormat="1" applyFont="1" applyFill="1" applyBorder="1" applyAlignment="1">
      <alignment vertical="center"/>
    </xf>
    <xf numFmtId="179" fontId="31" fillId="0" borderId="53" xfId="4280" applyNumberFormat="1" applyFont="1" applyFill="1" applyBorder="1" applyAlignment="1">
      <alignment horizontal="center" vertical="center" wrapText="1"/>
    </xf>
    <xf numFmtId="1" fontId="276" fillId="0" borderId="53" xfId="10" applyNumberFormat="1" applyFont="1" applyFill="1" applyBorder="1" applyAlignment="1">
      <alignment horizontal="center" vertical="center" wrapText="1"/>
    </xf>
    <xf numFmtId="0" fontId="206" fillId="50" borderId="53" xfId="10" applyFont="1" applyFill="1" applyBorder="1" applyAlignment="1">
      <alignment horizontal="left" vertical="center" wrapText="1"/>
    </xf>
    <xf numFmtId="1" fontId="31" fillId="51" borderId="53" xfId="10" applyNumberFormat="1" applyFont="1" applyFill="1" applyBorder="1" applyAlignment="1">
      <alignment horizontal="center" vertical="center" wrapText="1"/>
    </xf>
    <xf numFmtId="0" fontId="37" fillId="51" borderId="53" xfId="10" applyFont="1" applyFill="1" applyBorder="1" applyAlignment="1">
      <alignment horizontal="left" vertical="center" wrapText="1"/>
    </xf>
    <xf numFmtId="179" fontId="276" fillId="51" borderId="53" xfId="4280" applyNumberFormat="1" applyFont="1" applyFill="1" applyBorder="1" applyAlignment="1">
      <alignment horizontal="right" vertical="center"/>
    </xf>
    <xf numFmtId="179" fontId="37" fillId="51" borderId="53" xfId="4280" applyNumberFormat="1" applyFont="1" applyFill="1" applyBorder="1" applyAlignment="1">
      <alignment horizontal="right" vertical="center" wrapText="1"/>
    </xf>
    <xf numFmtId="9" fontId="276" fillId="51" borderId="53" xfId="4283" applyFont="1" applyFill="1" applyBorder="1" applyAlignment="1">
      <alignment horizontal="right" vertical="center"/>
    </xf>
    <xf numFmtId="179" fontId="276" fillId="51" borderId="53" xfId="4280" applyNumberFormat="1" applyFont="1" applyFill="1" applyBorder="1" applyAlignment="1">
      <alignment vertical="center" wrapText="1"/>
    </xf>
    <xf numFmtId="9" fontId="276" fillId="51" borderId="53" xfId="4283" applyFont="1" applyFill="1" applyBorder="1" applyAlignment="1">
      <alignment horizontal="right" vertical="center" wrapText="1"/>
    </xf>
    <xf numFmtId="179" fontId="276" fillId="51" borderId="53" xfId="4280" applyNumberFormat="1" applyFont="1" applyFill="1" applyBorder="1" applyAlignment="1">
      <alignment horizontal="center" vertical="center" wrapText="1"/>
    </xf>
    <xf numFmtId="0" fontId="276" fillId="51" borderId="0" xfId="0" applyFont="1" applyFill="1" applyAlignment="1">
      <alignment vertical="center"/>
    </xf>
    <xf numFmtId="179" fontId="31" fillId="51" borderId="53" xfId="4280" applyNumberFormat="1" applyFont="1" applyFill="1" applyBorder="1" applyAlignment="1">
      <alignment horizontal="right" vertical="center"/>
    </xf>
    <xf numFmtId="9" fontId="31" fillId="51" borderId="53" xfId="4283" applyFont="1" applyFill="1" applyBorder="1" applyAlignment="1">
      <alignment horizontal="right" vertical="center"/>
    </xf>
    <xf numFmtId="179" fontId="31" fillId="51" borderId="53" xfId="4280" applyNumberFormat="1" applyFont="1" applyFill="1" applyBorder="1" applyAlignment="1">
      <alignment vertical="center" wrapText="1"/>
    </xf>
    <xf numFmtId="9" fontId="31" fillId="51" borderId="53" xfId="4283" applyFont="1" applyFill="1" applyBorder="1" applyAlignment="1">
      <alignment horizontal="right" vertical="center" wrapText="1"/>
    </xf>
    <xf numFmtId="179" fontId="31" fillId="51" borderId="53" xfId="4280" applyNumberFormat="1" applyFont="1" applyFill="1" applyBorder="1" applyAlignment="1">
      <alignment horizontal="center" vertical="center" wrapText="1"/>
    </xf>
    <xf numFmtId="0" fontId="31" fillId="51" borderId="0" xfId="0" applyFont="1" applyFill="1" applyAlignment="1">
      <alignment vertical="center"/>
    </xf>
    <xf numFmtId="179" fontId="37" fillId="0" borderId="53" xfId="4280" applyNumberFormat="1" applyFont="1" applyFill="1" applyBorder="1" applyAlignment="1">
      <alignment vertical="center"/>
    </xf>
    <xf numFmtId="179" fontId="276" fillId="0" borderId="53" xfId="4280" applyNumberFormat="1" applyFont="1" applyFill="1" applyBorder="1" applyAlignment="1">
      <alignment horizontal="right" vertical="center"/>
    </xf>
    <xf numFmtId="9" fontId="276" fillId="0" borderId="53" xfId="4283" applyFont="1" applyFill="1" applyBorder="1" applyAlignment="1">
      <alignment horizontal="right" vertical="center"/>
    </xf>
    <xf numFmtId="179" fontId="276" fillId="0" borderId="53" xfId="4280" applyNumberFormat="1" applyFont="1" applyFill="1" applyBorder="1" applyAlignment="1">
      <alignment vertical="center" wrapText="1"/>
    </xf>
    <xf numFmtId="9" fontId="276" fillId="0" borderId="53" xfId="4283" applyFont="1" applyFill="1" applyBorder="1" applyAlignment="1">
      <alignment horizontal="right" vertical="center" wrapText="1"/>
    </xf>
    <xf numFmtId="179" fontId="276" fillId="0" borderId="53" xfId="4280" applyNumberFormat="1" applyFont="1" applyFill="1" applyBorder="1" applyAlignment="1">
      <alignment horizontal="center" vertical="center" wrapText="1"/>
    </xf>
    <xf numFmtId="0" fontId="276" fillId="0" borderId="0" xfId="0" applyFont="1" applyFill="1" applyAlignment="1">
      <alignment vertical="center"/>
    </xf>
    <xf numFmtId="9" fontId="42" fillId="65" borderId="53" xfId="4283" applyFont="1" applyFill="1" applyBorder="1" applyAlignment="1">
      <alignment horizontal="right" vertical="center" wrapText="1"/>
    </xf>
    <xf numFmtId="179" fontId="31" fillId="0" borderId="53" xfId="4280" applyNumberFormat="1" applyFont="1" applyFill="1" applyBorder="1" applyAlignment="1">
      <alignment horizontal="center" vertical="center"/>
    </xf>
    <xf numFmtId="3" fontId="31" fillId="0" borderId="53" xfId="4308" applyNumberFormat="1" applyFont="1" applyFill="1" applyBorder="1" applyAlignment="1">
      <alignment horizontal="left" vertical="center" wrapText="1" shrinkToFit="1"/>
    </xf>
    <xf numFmtId="179" fontId="31" fillId="0" borderId="53" xfId="5" applyNumberFormat="1" applyFont="1" applyFill="1" applyBorder="1" applyAlignment="1">
      <alignment vertical="center" wrapText="1"/>
    </xf>
    <xf numFmtId="0" fontId="40" fillId="0" borderId="53" xfId="0" applyFont="1" applyFill="1" applyBorder="1" applyAlignment="1">
      <alignment vertical="center" wrapText="1"/>
    </xf>
    <xf numFmtId="179" fontId="42" fillId="0" borderId="53" xfId="4280" applyNumberFormat="1" applyFont="1" applyFill="1" applyBorder="1" applyAlignment="1">
      <alignment horizontal="right" vertical="center"/>
    </xf>
    <xf numFmtId="179" fontId="40" fillId="0" borderId="53" xfId="4280" applyNumberFormat="1" applyFont="1" applyFill="1" applyBorder="1" applyAlignment="1">
      <alignment horizontal="right" vertical="center" wrapText="1"/>
    </xf>
    <xf numFmtId="3" fontId="40" fillId="0" borderId="53" xfId="0" applyNumberFormat="1" applyFont="1" applyFill="1" applyBorder="1" applyAlignment="1">
      <alignment horizontal="right" vertical="center" wrapText="1"/>
    </xf>
    <xf numFmtId="0" fontId="37" fillId="0" borderId="53" xfId="0" applyFont="1" applyFill="1" applyBorder="1" applyAlignment="1">
      <alignment horizontal="center" vertical="center" wrapText="1"/>
    </xf>
    <xf numFmtId="9" fontId="31" fillId="65" borderId="53" xfId="4283" applyFont="1" applyFill="1" applyBorder="1" applyAlignment="1">
      <alignment vertical="center" wrapText="1"/>
    </xf>
    <xf numFmtId="179" fontId="31" fillId="65" borderId="53" xfId="4280" applyNumberFormat="1" applyFont="1" applyFill="1" applyBorder="1" applyAlignment="1">
      <alignment vertical="center" wrapText="1"/>
    </xf>
    <xf numFmtId="9" fontId="42" fillId="0" borderId="53" xfId="4283" applyFont="1" applyFill="1" applyBorder="1" applyAlignment="1">
      <alignment horizontal="right" vertical="center"/>
    </xf>
    <xf numFmtId="0" fontId="37" fillId="2" borderId="53" xfId="0" applyFont="1" applyFill="1" applyBorder="1" applyAlignment="1">
      <alignment horizontal="center" vertical="center" wrapText="1"/>
    </xf>
    <xf numFmtId="0" fontId="297" fillId="0" borderId="53" xfId="10" applyFont="1" applyFill="1" applyBorder="1" applyAlignment="1">
      <alignment horizontal="left" vertical="center" wrapText="1"/>
    </xf>
    <xf numFmtId="179" fontId="37" fillId="0" borderId="53" xfId="4280" applyNumberFormat="1" applyFont="1" applyFill="1" applyBorder="1" applyAlignment="1">
      <alignment horizontal="center" vertical="center" wrapText="1"/>
    </xf>
    <xf numFmtId="4" fontId="297" fillId="0" borderId="53" xfId="0" applyNumberFormat="1" applyFont="1" applyFill="1" applyBorder="1" applyAlignment="1">
      <alignment vertical="center" wrapText="1"/>
    </xf>
    <xf numFmtId="179" fontId="37" fillId="50" borderId="53" xfId="4280" applyNumberFormat="1" applyFont="1" applyFill="1" applyBorder="1" applyAlignment="1">
      <alignment horizontal="right" vertical="center"/>
    </xf>
    <xf numFmtId="179" fontId="37" fillId="50" borderId="53" xfId="4280" applyNumberFormat="1" applyFont="1" applyFill="1" applyBorder="1" applyAlignment="1">
      <alignment horizontal="center" vertical="center"/>
    </xf>
    <xf numFmtId="0" fontId="297" fillId="0" borderId="53" xfId="0" applyFont="1" applyFill="1" applyBorder="1" applyAlignment="1">
      <alignment horizontal="left" vertical="center"/>
    </xf>
    <xf numFmtId="179" fontId="297" fillId="50" borderId="53" xfId="4280" applyNumberFormat="1" applyFont="1" applyFill="1" applyBorder="1" applyAlignment="1">
      <alignment horizontal="right" vertical="center"/>
    </xf>
    <xf numFmtId="179" fontId="288" fillId="50" borderId="53" xfId="4280" applyNumberFormat="1" applyFont="1" applyFill="1" applyBorder="1" applyAlignment="1">
      <alignment horizontal="center" vertical="center"/>
    </xf>
    <xf numFmtId="0" fontId="297" fillId="0" borderId="53" xfId="0" applyFont="1" applyFill="1" applyBorder="1" applyAlignment="1">
      <alignment horizontal="left" vertical="center" wrapText="1"/>
    </xf>
    <xf numFmtId="1" fontId="40" fillId="0" borderId="53" xfId="10" applyNumberFormat="1" applyFont="1" applyFill="1" applyBorder="1" applyAlignment="1">
      <alignment horizontal="center" vertical="center" wrapText="1"/>
    </xf>
    <xf numFmtId="0" fontId="296" fillId="0" borderId="53" xfId="10" applyFont="1" applyFill="1" applyBorder="1" applyAlignment="1">
      <alignment vertical="center" wrapText="1"/>
    </xf>
    <xf numFmtId="0" fontId="40" fillId="0" borderId="53" xfId="10" applyFont="1" applyFill="1" applyBorder="1" applyAlignment="1">
      <alignment horizontal="center" vertical="center" wrapText="1"/>
    </xf>
    <xf numFmtId="37" fontId="40" fillId="0" borderId="53" xfId="0" applyNumberFormat="1" applyFont="1" applyFill="1" applyBorder="1" applyAlignment="1">
      <alignment horizontal="right" vertical="center" wrapText="1"/>
    </xf>
    <xf numFmtId="179" fontId="42" fillId="0" borderId="53" xfId="4280" applyNumberFormat="1" applyFont="1" applyFill="1" applyBorder="1" applyAlignment="1">
      <alignment horizontal="center" vertical="center"/>
    </xf>
    <xf numFmtId="1" fontId="37" fillId="0" borderId="53" xfId="10" applyNumberFormat="1" applyFont="1" applyFill="1" applyBorder="1" applyAlignment="1">
      <alignment horizontal="center" vertical="center" wrapText="1"/>
    </xf>
    <xf numFmtId="327" fontId="37" fillId="50" borderId="53" xfId="0" applyNumberFormat="1" applyFont="1" applyFill="1" applyBorder="1" applyAlignment="1">
      <alignment vertical="center" wrapText="1"/>
    </xf>
    <xf numFmtId="0" fontId="40" fillId="0" borderId="53" xfId="10" applyFont="1" applyFill="1" applyBorder="1" applyAlignment="1">
      <alignment horizontal="left" vertical="center" wrapText="1"/>
    </xf>
    <xf numFmtId="179" fontId="40" fillId="0" borderId="53" xfId="4280" applyNumberFormat="1" applyFont="1" applyFill="1" applyBorder="1" applyAlignment="1">
      <alignment horizontal="center" vertical="center" wrapText="1"/>
    </xf>
    <xf numFmtId="179" fontId="40" fillId="0" borderId="53" xfId="5" applyNumberFormat="1" applyFont="1" applyFill="1" applyBorder="1" applyAlignment="1">
      <alignment horizontal="center" vertical="center" wrapText="1"/>
    </xf>
    <xf numFmtId="0" fontId="37" fillId="0" borderId="53" xfId="10" applyFont="1" applyFill="1" applyBorder="1" applyAlignment="1">
      <alignment horizontal="left" vertical="center" wrapText="1"/>
    </xf>
    <xf numFmtId="0" fontId="37" fillId="50" borderId="53" xfId="0" applyFont="1" applyFill="1" applyBorder="1" applyAlignment="1">
      <alignment horizontal="center" vertical="center" wrapText="1"/>
    </xf>
    <xf numFmtId="0" fontId="37" fillId="0" borderId="53" xfId="0" applyFont="1" applyBorder="1" applyAlignment="1">
      <alignment horizontal="justify" vertical="center"/>
    </xf>
    <xf numFmtId="179" fontId="37" fillId="2" borderId="53" xfId="4280" applyNumberFormat="1" applyFont="1" applyFill="1" applyBorder="1" applyAlignment="1">
      <alignment vertical="center" wrapText="1"/>
    </xf>
    <xf numFmtId="179" fontId="37" fillId="0" borderId="53" xfId="4280" applyNumberFormat="1" applyFont="1" applyFill="1" applyBorder="1" applyAlignment="1">
      <alignment horizontal="right" vertical="center"/>
    </xf>
    <xf numFmtId="0" fontId="206" fillId="0" borderId="53" xfId="0" applyFont="1" applyBorder="1" applyAlignment="1">
      <alignment horizontal="justify" vertical="center"/>
    </xf>
    <xf numFmtId="179" fontId="37" fillId="0" borderId="53" xfId="4280" applyNumberFormat="1" applyFont="1" applyFill="1" applyBorder="1" applyAlignment="1">
      <alignment horizontal="center" vertical="center"/>
    </xf>
    <xf numFmtId="179" fontId="37" fillId="0" borderId="53" xfId="5" applyNumberFormat="1" applyFont="1" applyFill="1" applyBorder="1" applyAlignment="1">
      <alignment horizontal="center" vertical="center"/>
    </xf>
    <xf numFmtId="0" fontId="37" fillId="0" borderId="53" xfId="0" applyNumberFormat="1" applyFont="1" applyFill="1" applyBorder="1" applyAlignment="1" applyProtection="1">
      <alignment horizontal="left" vertical="center" wrapText="1"/>
      <protection locked="0"/>
    </xf>
    <xf numFmtId="179" fontId="40" fillId="0" borderId="53" xfId="4280" applyNumberFormat="1" applyFont="1" applyFill="1" applyBorder="1" applyAlignment="1">
      <alignment horizontal="right" vertical="center"/>
    </xf>
    <xf numFmtId="179" fontId="40" fillId="0" borderId="53" xfId="5" applyNumberFormat="1" applyFont="1" applyFill="1" applyBorder="1" applyAlignment="1">
      <alignment horizontal="right" vertical="center"/>
    </xf>
    <xf numFmtId="229" fontId="37" fillId="0" borderId="53" xfId="5" applyNumberFormat="1" applyFont="1" applyFill="1" applyBorder="1" applyAlignment="1">
      <alignment horizontal="center" vertical="center" wrapText="1"/>
    </xf>
    <xf numFmtId="0" fontId="37" fillId="0" borderId="53" xfId="0" applyFont="1" applyBorder="1"/>
    <xf numFmtId="0" fontId="37" fillId="0" borderId="53" xfId="0" quotePrefix="1" applyFont="1" applyFill="1" applyBorder="1" applyAlignment="1">
      <alignment horizontal="center" vertical="center" wrapText="1"/>
    </xf>
    <xf numFmtId="0" fontId="37" fillId="50" borderId="53" xfId="0" applyFont="1" applyFill="1" applyBorder="1" applyAlignment="1">
      <alignment horizontal="left" vertical="center" wrapText="1"/>
    </xf>
    <xf numFmtId="179" fontId="37" fillId="50" borderId="53" xfId="4280" applyNumberFormat="1" applyFont="1" applyFill="1" applyBorder="1" applyAlignment="1">
      <alignment vertical="center" wrapText="1"/>
    </xf>
    <xf numFmtId="39" fontId="37" fillId="50" borderId="53" xfId="5" applyNumberFormat="1" applyFont="1" applyFill="1" applyBorder="1" applyAlignment="1">
      <alignment vertical="center" wrapText="1"/>
    </xf>
    <xf numFmtId="0" fontId="37" fillId="50" borderId="53" xfId="0" quotePrefix="1" applyFont="1" applyFill="1" applyBorder="1" applyAlignment="1">
      <alignment horizontal="center" vertical="center" wrapText="1"/>
    </xf>
    <xf numFmtId="179" fontId="37" fillId="50" borderId="53" xfId="5" applyNumberFormat="1" applyFont="1" applyFill="1" applyBorder="1" applyAlignment="1">
      <alignment horizontal="center" vertical="center" wrapText="1"/>
    </xf>
    <xf numFmtId="179" fontId="37" fillId="0" borderId="53" xfId="5" applyNumberFormat="1" applyFont="1" applyFill="1" applyBorder="1" applyAlignment="1">
      <alignment horizontal="center" vertical="center" wrapText="1"/>
    </xf>
    <xf numFmtId="9" fontId="275" fillId="0" borderId="53" xfId="4283" applyFont="1" applyFill="1" applyBorder="1" applyAlignment="1">
      <alignment horizontal="right" vertical="center"/>
    </xf>
    <xf numFmtId="179" fontId="275" fillId="0" borderId="53" xfId="4280" applyNumberFormat="1" applyFont="1" applyFill="1" applyBorder="1" applyAlignment="1">
      <alignment vertical="center" wrapText="1"/>
    </xf>
    <xf numFmtId="179" fontId="275" fillId="0" borderId="53" xfId="4280" applyNumberFormat="1" applyFont="1" applyFill="1" applyBorder="1" applyAlignment="1">
      <alignment horizontal="center" vertical="center"/>
    </xf>
    <xf numFmtId="0" fontId="275" fillId="0" borderId="0" xfId="0" applyFont="1" applyFill="1" applyAlignment="1">
      <alignment vertical="center"/>
    </xf>
    <xf numFmtId="0" fontId="40" fillId="2" borderId="53" xfId="0" applyFont="1" applyFill="1" applyBorder="1" applyAlignment="1" applyProtection="1">
      <alignment horizontal="left" vertical="center" wrapText="1"/>
    </xf>
    <xf numFmtId="179" fontId="40" fillId="2" borderId="53" xfId="4280" applyNumberFormat="1" applyFont="1" applyFill="1" applyBorder="1" applyAlignment="1" applyProtection="1">
      <alignment horizontal="right" vertical="center" wrapText="1"/>
    </xf>
    <xf numFmtId="9" fontId="42" fillId="65" borderId="53" xfId="4280" applyNumberFormat="1" applyFont="1" applyFill="1" applyBorder="1" applyAlignment="1">
      <alignment vertical="center" wrapText="1"/>
    </xf>
    <xf numFmtId="0" fontId="206" fillId="49" borderId="53" xfId="0" applyFont="1" applyFill="1" applyBorder="1" applyAlignment="1" applyProtection="1">
      <alignment vertical="center" wrapText="1"/>
    </xf>
    <xf numFmtId="179" fontId="206" fillId="49" borderId="53" xfId="4280" applyNumberFormat="1" applyFont="1" applyFill="1" applyBorder="1" applyAlignment="1" applyProtection="1">
      <alignment horizontal="right" vertical="center" wrapText="1"/>
    </xf>
    <xf numFmtId="9" fontId="136" fillId="49" borderId="53" xfId="0" applyNumberFormat="1" applyFont="1" applyFill="1" applyBorder="1" applyAlignment="1" applyProtection="1">
      <alignment vertical="center" wrapText="1"/>
    </xf>
    <xf numFmtId="9" fontId="31" fillId="65" borderId="53" xfId="4280" applyNumberFormat="1" applyFont="1" applyFill="1" applyBorder="1" applyAlignment="1">
      <alignment vertical="center" wrapText="1"/>
    </xf>
    <xf numFmtId="179" fontId="31" fillId="65" borderId="53" xfId="4280" applyNumberFormat="1" applyFont="1" applyFill="1" applyBorder="1" applyAlignment="1">
      <alignment horizontal="center" vertical="center" wrapText="1"/>
    </xf>
    <xf numFmtId="0" fontId="206" fillId="49" borderId="53" xfId="0" applyFont="1" applyFill="1" applyBorder="1" applyAlignment="1" applyProtection="1">
      <alignment horizontal="justify" vertical="center"/>
    </xf>
    <xf numFmtId="179" fontId="31" fillId="65" borderId="53" xfId="4280" applyNumberFormat="1" applyFont="1" applyFill="1" applyBorder="1" applyAlignment="1">
      <alignment horizontal="right" vertical="center"/>
    </xf>
    <xf numFmtId="179" fontId="37" fillId="50" borderId="53" xfId="4280" applyNumberFormat="1" applyFont="1" applyFill="1" applyBorder="1" applyAlignment="1">
      <alignment vertical="center"/>
    </xf>
    <xf numFmtId="9" fontId="31" fillId="65" borderId="53" xfId="4283" applyFont="1" applyFill="1" applyBorder="1" applyAlignment="1">
      <alignment horizontal="right" vertical="center" wrapText="1"/>
    </xf>
    <xf numFmtId="179" fontId="288" fillId="0" borderId="53" xfId="4280" applyNumberFormat="1" applyFont="1" applyFill="1" applyBorder="1" applyAlignment="1">
      <alignment vertical="center"/>
    </xf>
    <xf numFmtId="179" fontId="42" fillId="0" borderId="53" xfId="4280" applyNumberFormat="1" applyFont="1" applyFill="1" applyBorder="1" applyAlignment="1">
      <alignment vertical="center" wrapText="1"/>
    </xf>
    <xf numFmtId="0" fontId="40" fillId="50" borderId="53" xfId="0" applyFont="1" applyFill="1" applyBorder="1" applyAlignment="1">
      <alignment horizontal="center" vertical="center" wrapText="1"/>
    </xf>
    <xf numFmtId="1" fontId="297" fillId="0" borderId="53" xfId="10" applyNumberFormat="1" applyFont="1" applyFill="1" applyBorder="1" applyAlignment="1">
      <alignment horizontal="center" vertical="center" wrapText="1"/>
    </xf>
    <xf numFmtId="179" fontId="297" fillId="0" borderId="53" xfId="4280" applyNumberFormat="1" applyFont="1" applyFill="1" applyBorder="1" applyAlignment="1">
      <alignment horizontal="center" vertical="center" wrapText="1"/>
    </xf>
    <xf numFmtId="9" fontId="31" fillId="0" borderId="53" xfId="4283" applyFont="1" applyFill="1" applyBorder="1" applyAlignment="1">
      <alignment vertical="center"/>
    </xf>
    <xf numFmtId="0" fontId="31" fillId="0" borderId="53" xfId="0" applyFont="1" applyFill="1" applyBorder="1" applyAlignment="1">
      <alignment horizontal="center" vertical="center"/>
    </xf>
    <xf numFmtId="1" fontId="37" fillId="0" borderId="53" xfId="1" applyNumberFormat="1" applyFont="1" applyFill="1" applyBorder="1" applyAlignment="1">
      <alignment horizontal="center" vertical="center" wrapText="1"/>
    </xf>
    <xf numFmtId="1" fontId="37" fillId="0" borderId="53" xfId="4285" applyNumberFormat="1" applyFont="1" applyFill="1" applyBorder="1" applyAlignment="1">
      <alignment horizontal="center" vertical="center" wrapText="1"/>
    </xf>
    <xf numFmtId="1" fontId="298" fillId="0" borderId="53" xfId="1" applyNumberFormat="1" applyFont="1" applyFill="1" applyBorder="1" applyAlignment="1">
      <alignment vertical="center" wrapText="1"/>
    </xf>
    <xf numFmtId="0" fontId="297" fillId="0" borderId="53" xfId="4281" applyFont="1" applyFill="1" applyBorder="1" applyAlignment="1">
      <alignment vertical="center" wrapText="1"/>
    </xf>
    <xf numFmtId="1" fontId="299" fillId="0" borderId="53" xfId="1" applyNumberFormat="1" applyFont="1" applyFill="1" applyBorder="1" applyAlignment="1">
      <alignment vertical="center" wrapText="1"/>
    </xf>
    <xf numFmtId="1" fontId="299" fillId="0" borderId="53" xfId="1" applyNumberFormat="1" applyFont="1" applyFill="1" applyBorder="1" applyAlignment="1">
      <alignment horizontal="left" vertical="center" wrapText="1"/>
    </xf>
    <xf numFmtId="0" fontId="293" fillId="0" borderId="53" xfId="4281" applyFont="1" applyFill="1" applyBorder="1" applyAlignment="1">
      <alignment vertical="center" wrapText="1"/>
    </xf>
    <xf numFmtId="179" fontId="275" fillId="0" borderId="53" xfId="4294" applyNumberFormat="1" applyFont="1" applyFill="1" applyBorder="1" applyAlignment="1">
      <alignment horizontal="center" vertical="center" wrapText="1"/>
    </xf>
    <xf numFmtId="179" fontId="293" fillId="0" borderId="7" xfId="4281" applyNumberFormat="1" applyFont="1" applyFill="1" applyBorder="1" applyAlignment="1">
      <alignment horizontal="right" vertical="center" wrapText="1"/>
    </xf>
    <xf numFmtId="179" fontId="278" fillId="51" borderId="53" xfId="4281" applyNumberFormat="1" applyFont="1" applyFill="1" applyBorder="1" applyAlignment="1">
      <alignment horizontal="right" vertical="center" wrapText="1"/>
    </xf>
    <xf numFmtId="179" fontId="293" fillId="0" borderId="53" xfId="4294" applyNumberFormat="1" applyFont="1" applyFill="1" applyBorder="1" applyAlignment="1">
      <alignment horizontal="center" vertical="center" wrapText="1"/>
    </xf>
    <xf numFmtId="1" fontId="297" fillId="0" borderId="53" xfId="1" applyNumberFormat="1" applyFont="1" applyFill="1" applyBorder="1" applyAlignment="1">
      <alignment horizontal="center" vertical="center" wrapText="1"/>
    </xf>
    <xf numFmtId="179" fontId="297" fillId="0" borderId="53" xfId="4280" applyNumberFormat="1" applyFont="1" applyFill="1" applyBorder="1" applyAlignment="1">
      <alignment vertical="center"/>
    </xf>
    <xf numFmtId="1" fontId="297" fillId="0" borderId="53" xfId="4285" applyNumberFormat="1" applyFont="1" applyFill="1" applyBorder="1" applyAlignment="1">
      <alignment horizontal="center" vertical="center" wrapText="1"/>
    </xf>
    <xf numFmtId="0" fontId="288" fillId="0" borderId="53" xfId="4281" applyFont="1" applyFill="1" applyBorder="1" applyAlignment="1">
      <alignment vertical="center" wrapText="1"/>
    </xf>
    <xf numFmtId="1" fontId="276" fillId="0" borderId="0" xfId="4288" applyNumberFormat="1" applyFont="1" applyFill="1" applyBorder="1" applyAlignment="1">
      <alignment horizontal="center" vertical="center" wrapText="1"/>
    </xf>
    <xf numFmtId="179" fontId="280" fillId="0" borderId="0" xfId="4282" applyNumberFormat="1" applyFont="1" applyFill="1" applyBorder="1" applyAlignment="1">
      <alignment horizontal="center" vertical="center" wrapText="1"/>
    </xf>
    <xf numFmtId="1" fontId="276" fillId="51" borderId="0" xfId="4288" applyNumberFormat="1" applyFont="1" applyFill="1" applyBorder="1" applyAlignment="1">
      <alignment horizontal="center" vertical="center" wrapText="1"/>
    </xf>
    <xf numFmtId="1" fontId="288" fillId="0" borderId="53" xfId="4285" applyNumberFormat="1" applyFont="1" applyFill="1" applyBorder="1" applyAlignment="1">
      <alignment horizontal="center" vertical="center" wrapText="1"/>
    </xf>
    <xf numFmtId="0" fontId="132" fillId="0" borderId="7" xfId="2612" applyFont="1" applyFill="1" applyBorder="1" applyAlignment="1">
      <alignment horizontal="center" vertical="center" wrapText="1"/>
    </xf>
    <xf numFmtId="0" fontId="273" fillId="0" borderId="0" xfId="0" applyFont="1" applyBorder="1" applyAlignment="1">
      <alignment horizontal="center" vertical="center"/>
    </xf>
    <xf numFmtId="0" fontId="273" fillId="0" borderId="58" xfId="0" applyFont="1" applyFill="1" applyBorder="1"/>
    <xf numFmtId="4" fontId="279" fillId="51" borderId="53" xfId="0" applyNumberFormat="1" applyFont="1" applyFill="1" applyBorder="1"/>
    <xf numFmtId="1" fontId="31" fillId="51" borderId="7" xfId="4288" applyNumberFormat="1" applyFont="1" applyFill="1" applyBorder="1" applyAlignment="1">
      <alignment horizontal="center" vertical="center" wrapText="1"/>
    </xf>
    <xf numFmtId="179" fontId="276" fillId="0" borderId="53" xfId="2613" applyNumberFormat="1" applyFont="1" applyFill="1" applyBorder="1" applyAlignment="1">
      <alignment horizontal="right" vertical="center" wrapText="1"/>
    </xf>
    <xf numFmtId="179" fontId="31" fillId="60" borderId="53" xfId="4282" applyNumberFormat="1" applyFont="1" applyFill="1" applyBorder="1" applyAlignment="1">
      <alignment horizontal="right" vertical="center"/>
    </xf>
    <xf numFmtId="3" fontId="276" fillId="0" borderId="53" xfId="4307" applyNumberFormat="1" applyFont="1" applyFill="1" applyBorder="1" applyAlignment="1">
      <alignment horizontal="center" vertical="center" wrapText="1"/>
    </xf>
    <xf numFmtId="3" fontId="31" fillId="0" borderId="53" xfId="4307" applyNumberFormat="1" applyFont="1" applyFill="1" applyBorder="1" applyAlignment="1">
      <alignment horizontal="center" vertical="center" wrapText="1"/>
    </xf>
    <xf numFmtId="1" fontId="273" fillId="51" borderId="7" xfId="4285" applyNumberFormat="1" applyFont="1" applyFill="1" applyBorder="1" applyAlignment="1">
      <alignment horizontal="left" vertical="center" wrapText="1"/>
    </xf>
    <xf numFmtId="0" fontId="273" fillId="51" borderId="0" xfId="4284" applyNumberFormat="1" applyFont="1" applyFill="1" applyBorder="1" applyAlignment="1">
      <alignment horizontal="center" vertical="center" wrapText="1"/>
    </xf>
    <xf numFmtId="0" fontId="37" fillId="64" borderId="53" xfId="2613" applyFont="1" applyFill="1" applyBorder="1" applyAlignment="1">
      <alignment horizontal="left" vertical="center" wrapText="1"/>
    </xf>
    <xf numFmtId="0" fontId="37" fillId="64" borderId="53" xfId="4264" applyNumberFormat="1" applyFont="1" applyFill="1" applyBorder="1" applyAlignment="1">
      <alignment horizontal="center" vertical="center" wrapText="1"/>
    </xf>
    <xf numFmtId="179" fontId="37" fillId="64" borderId="53" xfId="4282" applyNumberFormat="1" applyFont="1" applyFill="1" applyBorder="1" applyAlignment="1">
      <alignment horizontal="right" vertical="center"/>
    </xf>
    <xf numFmtId="322" fontId="37" fillId="0" borderId="0" xfId="0" applyNumberFormat="1" applyFont="1" applyFill="1" applyBorder="1"/>
    <xf numFmtId="322" fontId="25" fillId="0" borderId="0" xfId="0" applyNumberFormat="1" applyFont="1" applyFill="1" applyBorder="1"/>
    <xf numFmtId="1" fontId="37" fillId="0" borderId="53" xfId="1" applyNumberFormat="1" applyFont="1" applyFill="1" applyBorder="1" applyAlignment="1">
      <alignment vertical="center" wrapText="1"/>
    </xf>
    <xf numFmtId="1" fontId="31" fillId="51" borderId="7" xfId="4288" applyNumberFormat="1" applyFont="1" applyFill="1" applyBorder="1" applyAlignment="1">
      <alignment horizontal="center" vertical="center" wrapText="1"/>
    </xf>
    <xf numFmtId="237" fontId="31" fillId="64" borderId="53" xfId="4282" applyNumberFormat="1" applyFont="1" applyFill="1" applyBorder="1" applyAlignment="1">
      <alignment horizontal="right" vertical="center"/>
    </xf>
    <xf numFmtId="0" fontId="31" fillId="64" borderId="53" xfId="2613" applyFont="1" applyFill="1" applyBorder="1" applyAlignment="1">
      <alignment horizontal="left" vertical="center" wrapText="1"/>
    </xf>
    <xf numFmtId="179" fontId="31" fillId="64" borderId="53" xfId="4282" applyNumberFormat="1" applyFont="1" applyFill="1" applyBorder="1" applyAlignment="1">
      <alignment horizontal="right" vertical="center"/>
    </xf>
    <xf numFmtId="3" fontId="31" fillId="64" borderId="53" xfId="4308" applyNumberFormat="1" applyFont="1" applyFill="1" applyBorder="1" applyAlignment="1">
      <alignment horizontal="left" vertical="center" wrapText="1"/>
    </xf>
    <xf numFmtId="0" fontId="273" fillId="0" borderId="53" xfId="0" applyFont="1" applyBorder="1" applyAlignment="1">
      <alignment horizontal="center" vertical="center"/>
    </xf>
    <xf numFmtId="179" fontId="37" fillId="0" borderId="53" xfId="5" applyNumberFormat="1" applyFont="1" applyFill="1" applyBorder="1" applyAlignment="1">
      <alignment horizontal="right" vertical="center"/>
    </xf>
    <xf numFmtId="324" fontId="37" fillId="0" borderId="0" xfId="2612" applyNumberFormat="1" applyFont="1" applyFill="1" applyAlignment="1">
      <alignment vertical="center"/>
    </xf>
    <xf numFmtId="179" fontId="37" fillId="0" borderId="7" xfId="4280" applyNumberFormat="1" applyFont="1" applyFill="1" applyBorder="1" applyAlignment="1">
      <alignment vertical="center"/>
    </xf>
    <xf numFmtId="0" fontId="37" fillId="56" borderId="53" xfId="0" applyFont="1" applyFill="1" applyBorder="1" applyAlignment="1">
      <alignment horizontal="left" vertical="center" wrapText="1"/>
    </xf>
    <xf numFmtId="0" fontId="273" fillId="0" borderId="54" xfId="0" applyFont="1" applyBorder="1"/>
    <xf numFmtId="0" fontId="297" fillId="0" borderId="54" xfId="4281" applyFont="1" applyFill="1" applyBorder="1" applyAlignment="1">
      <alignment vertical="center" wrapText="1"/>
    </xf>
    <xf numFmtId="1" fontId="37" fillId="0" borderId="54" xfId="1" applyNumberFormat="1" applyFont="1" applyFill="1" applyBorder="1" applyAlignment="1">
      <alignment horizontal="center" vertical="center"/>
    </xf>
    <xf numFmtId="179" fontId="37" fillId="0" borderId="54" xfId="4280" applyNumberFormat="1" applyFont="1" applyFill="1" applyBorder="1" applyAlignment="1">
      <alignment vertical="center"/>
    </xf>
    <xf numFmtId="237" fontId="273" fillId="0" borderId="54" xfId="0" applyNumberFormat="1" applyFont="1" applyBorder="1"/>
    <xf numFmtId="1" fontId="297" fillId="0" borderId="54" xfId="4285" applyNumberFormat="1" applyFont="1" applyFill="1" applyBorder="1" applyAlignment="1">
      <alignment horizontal="center" vertical="center" wrapText="1"/>
    </xf>
    <xf numFmtId="179" fontId="280" fillId="0" borderId="1" xfId="4280" applyNumberFormat="1" applyFont="1" applyFill="1" applyBorder="1" applyAlignment="1">
      <alignment vertical="center"/>
    </xf>
    <xf numFmtId="179" fontId="276" fillId="54" borderId="59" xfId="4280" applyNumberFormat="1" applyFont="1" applyFill="1" applyBorder="1" applyAlignment="1">
      <alignment vertical="center"/>
    </xf>
    <xf numFmtId="179" fontId="280" fillId="0" borderId="59" xfId="4280" applyNumberFormat="1" applyFont="1" applyFill="1" applyBorder="1" applyAlignment="1">
      <alignment vertical="center"/>
    </xf>
    <xf numFmtId="179" fontId="300" fillId="0" borderId="0" xfId="4280" applyNumberFormat="1" applyFont="1" applyFill="1" applyAlignment="1">
      <alignment horizontal="center" vertical="center"/>
    </xf>
    <xf numFmtId="179" fontId="277" fillId="54" borderId="0" xfId="4280" applyNumberFormat="1" applyFont="1" applyFill="1" applyAlignment="1">
      <alignment horizontal="center" vertical="center"/>
    </xf>
    <xf numFmtId="179" fontId="42" fillId="0" borderId="0" xfId="0" applyNumberFormat="1" applyFont="1" applyFill="1" applyAlignment="1">
      <alignment vertical="center"/>
    </xf>
    <xf numFmtId="3" fontId="42" fillId="0" borderId="0" xfId="0" applyNumberFormat="1" applyFont="1" applyFill="1" applyAlignment="1">
      <alignment vertical="center"/>
    </xf>
    <xf numFmtId="9" fontId="280" fillId="0" borderId="0" xfId="4283" applyFont="1" applyFill="1" applyAlignment="1">
      <alignment vertical="center"/>
    </xf>
    <xf numFmtId="9" fontId="31" fillId="54" borderId="0" xfId="4283" applyFont="1" applyFill="1" applyAlignment="1">
      <alignment vertical="center"/>
    </xf>
    <xf numFmtId="3" fontId="31" fillId="0" borderId="0" xfId="0" applyNumberFormat="1" applyFont="1" applyFill="1" applyAlignment="1">
      <alignment vertical="center"/>
    </xf>
    <xf numFmtId="179" fontId="300" fillId="0" borderId="53" xfId="4280" applyNumberFormat="1" applyFont="1" applyFill="1" applyBorder="1" applyAlignment="1">
      <alignment horizontal="right" vertical="center" wrapText="1"/>
    </xf>
    <xf numFmtId="179" fontId="42" fillId="54" borderId="53" xfId="4280" applyNumberFormat="1" applyFont="1" applyFill="1" applyBorder="1" applyAlignment="1">
      <alignment horizontal="right" vertical="center" wrapText="1"/>
    </xf>
    <xf numFmtId="179" fontId="300" fillId="0" borderId="53" xfId="4280" applyNumberFormat="1" applyFont="1" applyFill="1" applyBorder="1" applyAlignment="1">
      <alignment horizontal="center" vertical="center" wrapText="1"/>
    </xf>
    <xf numFmtId="179" fontId="42" fillId="54" borderId="53" xfId="4280" applyNumberFormat="1" applyFont="1" applyFill="1" applyBorder="1" applyAlignment="1">
      <alignment horizontal="center" vertical="center" wrapText="1"/>
    </xf>
    <xf numFmtId="179" fontId="300" fillId="65" borderId="53" xfId="4280" applyNumberFormat="1" applyFont="1" applyFill="1" applyBorder="1" applyAlignment="1">
      <alignment vertical="center" wrapText="1"/>
    </xf>
    <xf numFmtId="179" fontId="42" fillId="54" borderId="53" xfId="4280" applyNumberFormat="1" applyFont="1" applyFill="1" applyBorder="1" applyAlignment="1">
      <alignment vertical="center" wrapText="1"/>
    </xf>
    <xf numFmtId="179" fontId="280" fillId="0" borderId="53" xfId="4280" applyNumberFormat="1" applyFont="1" applyFill="1" applyBorder="1" applyAlignment="1">
      <alignment vertical="center"/>
    </xf>
    <xf numFmtId="179" fontId="276" fillId="54" borderId="53" xfId="4280" applyNumberFormat="1" applyFont="1" applyFill="1" applyBorder="1" applyAlignment="1">
      <alignment vertical="center" wrapText="1"/>
    </xf>
    <xf numFmtId="179" fontId="280" fillId="0" borderId="53" xfId="4280" applyNumberFormat="1" applyFont="1" applyFill="1" applyBorder="1" applyAlignment="1">
      <alignment vertical="center" wrapText="1"/>
    </xf>
    <xf numFmtId="179" fontId="31" fillId="54" borderId="53" xfId="4280" applyNumberFormat="1" applyFont="1" applyFill="1" applyBorder="1" applyAlignment="1">
      <alignment vertical="center" wrapText="1"/>
    </xf>
    <xf numFmtId="179" fontId="280" fillId="51" borderId="53" xfId="4280" applyNumberFormat="1" applyFont="1" applyFill="1" applyBorder="1" applyAlignment="1">
      <alignment vertical="center"/>
    </xf>
    <xf numFmtId="179" fontId="280" fillId="51" borderId="53" xfId="4280" applyNumberFormat="1" applyFont="1" applyFill="1" applyBorder="1" applyAlignment="1">
      <alignment vertical="center" wrapText="1"/>
    </xf>
    <xf numFmtId="3" fontId="301" fillId="0" borderId="53" xfId="0" applyNumberFormat="1" applyFont="1" applyFill="1" applyBorder="1" applyAlignment="1">
      <alignment horizontal="right" vertical="center" wrapText="1"/>
    </xf>
    <xf numFmtId="3" fontId="40" fillId="54" borderId="53" xfId="0" applyNumberFormat="1" applyFont="1" applyFill="1" applyBorder="1" applyAlignment="1">
      <alignment horizontal="right" vertical="center" wrapText="1"/>
    </xf>
    <xf numFmtId="179" fontId="280" fillId="65" borderId="53" xfId="4280" applyNumberFormat="1" applyFont="1" applyFill="1" applyBorder="1" applyAlignment="1">
      <alignment vertical="center" wrapText="1"/>
    </xf>
    <xf numFmtId="37" fontId="301" fillId="0" borderId="53" xfId="0" applyNumberFormat="1" applyFont="1" applyFill="1" applyBorder="1" applyAlignment="1">
      <alignment horizontal="right" vertical="center" wrapText="1"/>
    </xf>
    <xf numFmtId="37" fontId="40" fillId="54" borderId="53" xfId="0" applyNumberFormat="1" applyFont="1" applyFill="1" applyBorder="1" applyAlignment="1">
      <alignment horizontal="right" vertical="center" wrapText="1"/>
    </xf>
    <xf numFmtId="179" fontId="301" fillId="0" borderId="53" xfId="5" applyNumberFormat="1" applyFont="1" applyFill="1" applyBorder="1" applyAlignment="1">
      <alignment horizontal="center" vertical="center" wrapText="1"/>
    </xf>
    <xf numFmtId="179" fontId="40" fillId="54" borderId="53" xfId="5" applyNumberFormat="1" applyFont="1" applyFill="1" applyBorder="1" applyAlignment="1">
      <alignment horizontal="center" vertical="center" wrapText="1"/>
    </xf>
    <xf numFmtId="179" fontId="301" fillId="0" borderId="53" xfId="5" applyNumberFormat="1" applyFont="1" applyFill="1" applyBorder="1" applyAlignment="1">
      <alignment horizontal="right" vertical="center"/>
    </xf>
    <xf numFmtId="179" fontId="40" fillId="54" borderId="53" xfId="5" applyNumberFormat="1" applyFont="1" applyFill="1" applyBorder="1" applyAlignment="1">
      <alignment horizontal="right" vertical="center"/>
    </xf>
    <xf numFmtId="179" fontId="300" fillId="0" borderId="53" xfId="4280" applyNumberFormat="1" applyFont="1" applyFill="1" applyBorder="1" applyAlignment="1">
      <alignment vertical="center" wrapText="1"/>
    </xf>
    <xf numFmtId="179" fontId="280" fillId="0" borderId="0" xfId="4280" applyNumberFormat="1" applyFont="1" applyFill="1" applyAlignment="1">
      <alignment vertical="center"/>
    </xf>
    <xf numFmtId="179" fontId="31" fillId="54" borderId="0" xfId="4280" applyNumberFormat="1" applyFont="1" applyFill="1" applyAlignment="1">
      <alignment vertical="center"/>
    </xf>
    <xf numFmtId="1" fontId="37" fillId="51" borderId="53" xfId="1" applyNumberFormat="1" applyFont="1" applyFill="1" applyBorder="1" applyAlignment="1">
      <alignment vertical="center" wrapText="1"/>
    </xf>
    <xf numFmtId="0" fontId="273" fillId="0" borderId="53" xfId="0" applyFont="1" applyBorder="1" applyAlignment="1">
      <alignment horizontal="center" vertical="center"/>
    </xf>
    <xf numFmtId="3" fontId="31" fillId="51" borderId="53" xfId="4288" applyNumberFormat="1" applyFont="1" applyFill="1" applyBorder="1" applyAlignment="1">
      <alignment vertical="center"/>
    </xf>
    <xf numFmtId="4" fontId="8" fillId="0" borderId="0" xfId="1" applyNumberFormat="1" applyFont="1" applyFill="1" applyAlignment="1">
      <alignment vertical="center"/>
    </xf>
    <xf numFmtId="3" fontId="8" fillId="0" borderId="53" xfId="1" applyNumberFormat="1" applyFont="1" applyFill="1" applyBorder="1" applyAlignment="1">
      <alignment horizontal="center" vertical="center" wrapText="1"/>
    </xf>
    <xf numFmtId="0" fontId="40" fillId="0" borderId="53" xfId="4264" applyNumberFormat="1" applyFont="1" applyFill="1" applyBorder="1" applyAlignment="1">
      <alignment horizontal="center" vertical="center" wrapText="1"/>
    </xf>
    <xf numFmtId="0" fontId="40" fillId="0" borderId="53" xfId="4264" applyNumberFormat="1" applyFont="1" applyFill="1" applyBorder="1" applyAlignment="1">
      <alignment horizontal="left" vertical="center" wrapText="1"/>
    </xf>
    <xf numFmtId="1" fontId="8" fillId="0" borderId="53" xfId="1" applyNumberFormat="1" applyFont="1" applyFill="1" applyBorder="1" applyAlignment="1">
      <alignment horizontal="center" vertical="center" wrapText="1"/>
    </xf>
    <xf numFmtId="3" fontId="288" fillId="0" borderId="53" xfId="4288" applyNumberFormat="1" applyFont="1" applyFill="1" applyBorder="1" applyAlignment="1">
      <alignment horizontal="right" vertical="center" wrapText="1"/>
    </xf>
    <xf numFmtId="0" fontId="37" fillId="0" borderId="53" xfId="4281" applyFont="1" applyFill="1" applyBorder="1" applyAlignment="1">
      <alignment horizontal="left" vertical="center" wrapText="1"/>
    </xf>
    <xf numFmtId="1" fontId="288" fillId="0" borderId="53" xfId="4288" applyNumberFormat="1" applyFont="1" applyFill="1" applyBorder="1" applyAlignment="1">
      <alignment horizontal="center" vertical="center" wrapText="1"/>
    </xf>
    <xf numFmtId="1" fontId="288" fillId="0" borderId="53" xfId="1" applyNumberFormat="1" applyFont="1" applyFill="1" applyBorder="1" applyAlignment="1">
      <alignment horizontal="center" vertical="center"/>
    </xf>
    <xf numFmtId="3" fontId="37" fillId="0" borderId="0" xfId="1" quotePrefix="1" applyNumberFormat="1" applyFont="1" applyFill="1" applyBorder="1" applyAlignment="1">
      <alignment horizontal="center" vertical="center" wrapText="1"/>
    </xf>
    <xf numFmtId="1" fontId="37" fillId="0" borderId="0" xfId="1" applyNumberFormat="1" applyFont="1" applyFill="1" applyBorder="1" applyAlignment="1">
      <alignment horizontal="center" vertical="center"/>
    </xf>
    <xf numFmtId="1" fontId="37" fillId="0" borderId="53" xfId="4287" applyNumberFormat="1" applyFont="1" applyFill="1" applyBorder="1" applyAlignment="1">
      <alignment horizontal="left" vertical="center" wrapText="1"/>
    </xf>
    <xf numFmtId="0" fontId="40" fillId="0" borderId="0" xfId="4262" applyFont="1" applyFill="1" applyAlignment="1">
      <alignment vertical="center"/>
    </xf>
    <xf numFmtId="0" fontId="37" fillId="0" borderId="0" xfId="4262" applyFont="1" applyFill="1"/>
    <xf numFmtId="0" fontId="37" fillId="0" borderId="0" xfId="4262" applyFont="1" applyFill="1" applyAlignment="1">
      <alignment horizontal="left" vertical="center"/>
    </xf>
    <xf numFmtId="0" fontId="40" fillId="0" borderId="53" xfId="4262" applyFont="1" applyFill="1" applyBorder="1" applyAlignment="1">
      <alignment horizontal="center" vertical="center" wrapText="1"/>
    </xf>
    <xf numFmtId="0" fontId="40" fillId="0" borderId="53" xfId="4262" applyFont="1" applyFill="1" applyBorder="1" applyAlignment="1">
      <alignment vertical="center" wrapText="1"/>
    </xf>
    <xf numFmtId="0" fontId="37" fillId="0" borderId="53" xfId="4262" applyFont="1" applyFill="1" applyBorder="1"/>
    <xf numFmtId="0" fontId="37" fillId="0" borderId="53" xfId="4262" applyFont="1" applyFill="1" applyBorder="1" applyAlignment="1">
      <alignment horizontal="center" vertical="center" wrapText="1"/>
    </xf>
    <xf numFmtId="0" fontId="37" fillId="0" borderId="53" xfId="4262" applyFont="1" applyFill="1" applyBorder="1" applyAlignment="1">
      <alignment vertical="center" wrapText="1"/>
    </xf>
    <xf numFmtId="0" fontId="37" fillId="0" borderId="53" xfId="4262" applyFont="1" applyFill="1" applyBorder="1" applyAlignment="1">
      <alignment horizontal="left" vertical="center" wrapText="1" indent="2"/>
    </xf>
    <xf numFmtId="1" fontId="288" fillId="0" borderId="53" xfId="1" applyNumberFormat="1" applyFont="1" applyFill="1" applyBorder="1" applyAlignment="1">
      <alignment vertical="center" wrapText="1"/>
    </xf>
    <xf numFmtId="0" fontId="288" fillId="0" borderId="7" xfId="0" applyFont="1" applyFill="1" applyBorder="1" applyAlignment="1">
      <alignment horizontal="left" vertical="center" wrapText="1"/>
    </xf>
    <xf numFmtId="0" fontId="288" fillId="0" borderId="53" xfId="0" applyFont="1" applyFill="1" applyBorder="1" applyAlignment="1">
      <alignment vertical="center" wrapText="1"/>
    </xf>
    <xf numFmtId="1" fontId="302" fillId="0" borderId="53" xfId="4285" applyNumberFormat="1" applyFont="1" applyFill="1" applyBorder="1" applyAlignment="1">
      <alignment horizontal="left" vertical="center" wrapText="1"/>
    </xf>
    <xf numFmtId="3" fontId="37" fillId="0" borderId="53" xfId="1" applyNumberFormat="1" applyFont="1" applyFill="1" applyBorder="1" applyAlignment="1">
      <alignment vertical="center" wrapText="1"/>
    </xf>
    <xf numFmtId="1" fontId="288" fillId="0" borderId="53" xfId="4293" applyNumberFormat="1" applyFont="1" applyFill="1" applyBorder="1" applyAlignment="1">
      <alignment horizontal="left" vertical="center" wrapText="1"/>
    </xf>
    <xf numFmtId="0" fontId="288" fillId="0" borderId="53" xfId="4281" applyFont="1" applyFill="1" applyBorder="1" applyAlignment="1">
      <alignment horizontal="left" vertical="center" wrapText="1"/>
    </xf>
    <xf numFmtId="3" fontId="8" fillId="0" borderId="53" xfId="1" applyNumberFormat="1" applyFont="1" applyFill="1" applyBorder="1" applyAlignment="1">
      <alignment vertical="center"/>
    </xf>
    <xf numFmtId="3" fontId="8" fillId="0" borderId="53" xfId="1" applyNumberFormat="1" applyFont="1" applyFill="1" applyBorder="1" applyAlignment="1">
      <alignment horizontal="right" vertical="center" wrapText="1"/>
    </xf>
    <xf numFmtId="3" fontId="40" fillId="0" borderId="53" xfId="4264" applyNumberFormat="1" applyFont="1" applyFill="1" applyBorder="1" applyAlignment="1">
      <alignment horizontal="right" vertical="center" wrapText="1"/>
    </xf>
    <xf numFmtId="3" fontId="8" fillId="0" borderId="53" xfId="1" applyNumberFormat="1" applyFont="1" applyFill="1" applyBorder="1" applyAlignment="1">
      <alignment horizontal="right" vertical="center"/>
    </xf>
    <xf numFmtId="3" fontId="37" fillId="0" borderId="53" xfId="1" applyNumberFormat="1" applyFont="1" applyFill="1" applyBorder="1" applyAlignment="1">
      <alignment horizontal="right" vertical="center"/>
    </xf>
    <xf numFmtId="3" fontId="37" fillId="0" borderId="53" xfId="4288" applyNumberFormat="1" applyFont="1" applyFill="1" applyBorder="1" applyAlignment="1">
      <alignment vertical="center" wrapText="1"/>
    </xf>
    <xf numFmtId="3" fontId="288" fillId="0" borderId="53" xfId="4288" applyNumberFormat="1" applyFont="1" applyFill="1" applyBorder="1" applyAlignment="1">
      <alignment vertical="center" wrapText="1"/>
    </xf>
    <xf numFmtId="3" fontId="37" fillId="0" borderId="0" xfId="1" applyNumberFormat="1" applyFont="1" applyFill="1" applyBorder="1" applyAlignment="1">
      <alignment vertical="center"/>
    </xf>
    <xf numFmtId="3" fontId="37" fillId="0" borderId="53" xfId="1" applyNumberFormat="1" applyFont="1" applyFill="1" applyBorder="1" applyAlignment="1">
      <alignment vertical="center"/>
    </xf>
    <xf numFmtId="3" fontId="8" fillId="0" borderId="0" xfId="1" applyNumberFormat="1" applyFont="1" applyFill="1" applyBorder="1" applyAlignment="1">
      <alignment vertical="center"/>
    </xf>
    <xf numFmtId="3" fontId="37" fillId="0" borderId="0" xfId="4276" applyNumberFormat="1" applyFont="1" applyFill="1" applyBorder="1" applyAlignment="1">
      <alignment vertical="center" wrapText="1"/>
    </xf>
    <xf numFmtId="3" fontId="37" fillId="0" borderId="53" xfId="4276" applyNumberFormat="1" applyFont="1" applyFill="1" applyBorder="1" applyAlignment="1">
      <alignment vertical="center" wrapText="1"/>
    </xf>
    <xf numFmtId="3" fontId="288" fillId="0" borderId="0" xfId="4288" applyNumberFormat="1" applyFont="1" applyFill="1" applyBorder="1" applyAlignment="1">
      <alignment vertical="center" wrapText="1"/>
    </xf>
    <xf numFmtId="3" fontId="37" fillId="0" borderId="0" xfId="4288" applyNumberFormat="1" applyFont="1" applyFill="1" applyBorder="1" applyAlignment="1">
      <alignment vertical="center" wrapText="1"/>
    </xf>
    <xf numFmtId="1" fontId="288" fillId="51" borderId="53" xfId="1" applyNumberFormat="1" applyFont="1" applyFill="1" applyBorder="1" applyAlignment="1">
      <alignment vertical="center" wrapText="1"/>
    </xf>
    <xf numFmtId="1" fontId="293" fillId="0" borderId="53" xfId="4288" applyNumberFormat="1" applyFont="1" applyFill="1" applyBorder="1" applyAlignment="1">
      <alignment horizontal="center" vertical="center"/>
    </xf>
    <xf numFmtId="1" fontId="293" fillId="0" borderId="53" xfId="4288" applyNumberFormat="1" applyFont="1" applyFill="1" applyBorder="1" applyAlignment="1">
      <alignment horizontal="center" vertical="center" wrapText="1"/>
    </xf>
    <xf numFmtId="1" fontId="293" fillId="0" borderId="53" xfId="1" applyNumberFormat="1" applyFont="1" applyFill="1" applyBorder="1" applyAlignment="1">
      <alignment horizontal="center" vertical="center"/>
    </xf>
    <xf numFmtId="3" fontId="293" fillId="0" borderId="53" xfId="4288" applyNumberFormat="1" applyFont="1" applyFill="1" applyBorder="1" applyAlignment="1">
      <alignment vertical="center" wrapText="1"/>
    </xf>
    <xf numFmtId="0" fontId="37" fillId="51" borderId="53" xfId="4281" applyFont="1" applyFill="1" applyBorder="1" applyAlignment="1">
      <alignment vertical="center" wrapText="1"/>
    </xf>
    <xf numFmtId="0" fontId="37" fillId="51" borderId="53" xfId="0" applyFont="1" applyFill="1" applyBorder="1" applyAlignment="1">
      <alignment horizontal="left" vertical="center" wrapText="1"/>
    </xf>
    <xf numFmtId="1" fontId="40" fillId="0" borderId="0" xfId="1" applyNumberFormat="1" applyFont="1" applyFill="1" applyAlignment="1">
      <alignment horizontal="center" vertical="center" wrapText="1"/>
    </xf>
    <xf numFmtId="3" fontId="8" fillId="0" borderId="0" xfId="1" applyNumberFormat="1" applyFont="1" applyFill="1" applyBorder="1" applyAlignment="1">
      <alignment horizontal="center" vertical="center" wrapText="1"/>
    </xf>
    <xf numFmtId="0" fontId="37" fillId="0" borderId="53" xfId="0" applyFont="1" applyFill="1" applyBorder="1" applyAlignment="1">
      <alignment vertical="center"/>
    </xf>
    <xf numFmtId="0" fontId="31" fillId="0" borderId="53" xfId="0" applyFont="1" applyFill="1" applyBorder="1" applyAlignment="1">
      <alignment vertical="center" wrapText="1"/>
    </xf>
    <xf numFmtId="0" fontId="25" fillId="0" borderId="53" xfId="0" applyFont="1" applyFill="1" applyBorder="1" applyAlignment="1">
      <alignment vertical="center"/>
    </xf>
    <xf numFmtId="324" fontId="37" fillId="0" borderId="54" xfId="4282" applyNumberFormat="1" applyFont="1" applyFill="1" applyBorder="1" applyAlignment="1">
      <alignment horizontal="center" vertical="center" wrapText="1"/>
    </xf>
    <xf numFmtId="0" fontId="25" fillId="0" borderId="53" xfId="2612" applyFont="1" applyFill="1" applyBorder="1" applyAlignment="1">
      <alignment vertical="center"/>
    </xf>
    <xf numFmtId="324" fontId="25" fillId="0" borderId="53" xfId="2612" applyNumberFormat="1" applyFont="1" applyFill="1" applyBorder="1" applyAlignment="1">
      <alignment vertical="center"/>
    </xf>
    <xf numFmtId="0" fontId="288" fillId="0" borderId="0" xfId="0" applyFont="1" applyFill="1" applyAlignment="1">
      <alignment horizontal="center" vertical="center" wrapText="1"/>
    </xf>
    <xf numFmtId="0" fontId="288" fillId="0" borderId="0" xfId="0" applyFont="1" applyFill="1" applyAlignment="1">
      <alignment wrapText="1"/>
    </xf>
    <xf numFmtId="1" fontId="297" fillId="0" borderId="53" xfId="4288" applyNumberFormat="1" applyFont="1" applyFill="1" applyBorder="1" applyAlignment="1">
      <alignment horizontal="center" vertical="center" wrapText="1"/>
    </xf>
    <xf numFmtId="1" fontId="16" fillId="0" borderId="53" xfId="1" applyNumberFormat="1" applyFont="1" applyFill="1" applyBorder="1" applyAlignment="1">
      <alignment vertical="center" wrapText="1"/>
    </xf>
    <xf numFmtId="0" fontId="288" fillId="0" borderId="54" xfId="4281" applyFont="1" applyFill="1" applyBorder="1" applyAlignment="1">
      <alignment vertical="center" wrapText="1"/>
    </xf>
    <xf numFmtId="1" fontId="37" fillId="0" borderId="54" xfId="4288" applyNumberFormat="1" applyFont="1" applyFill="1" applyBorder="1" applyAlignment="1">
      <alignment horizontal="center" vertical="center" wrapText="1"/>
    </xf>
    <xf numFmtId="3" fontId="37" fillId="0" borderId="54" xfId="4288" applyNumberFormat="1" applyFont="1" applyFill="1" applyBorder="1" applyAlignment="1">
      <alignment horizontal="right" vertical="center" wrapText="1"/>
    </xf>
    <xf numFmtId="3" fontId="8" fillId="0" borderId="54" xfId="1" applyNumberFormat="1" applyFont="1" applyFill="1" applyBorder="1" applyAlignment="1">
      <alignment horizontal="right" vertical="center"/>
    </xf>
    <xf numFmtId="1" fontId="14" fillId="0" borderId="53" xfId="1" applyNumberFormat="1" applyFont="1" applyFill="1" applyBorder="1" applyAlignment="1">
      <alignment vertical="center"/>
    </xf>
    <xf numFmtId="1" fontId="303" fillId="0" borderId="53" xfId="1" applyNumberFormat="1" applyFont="1" applyFill="1" applyBorder="1" applyAlignment="1">
      <alignment vertical="center"/>
    </xf>
    <xf numFmtId="0" fontId="37" fillId="0" borderId="54" xfId="0" applyFont="1" applyFill="1" applyBorder="1" applyAlignment="1">
      <alignment horizontal="left" vertical="center" wrapText="1"/>
    </xf>
    <xf numFmtId="3" fontId="37" fillId="0" borderId="54" xfId="4288" applyNumberFormat="1" applyFont="1" applyFill="1" applyBorder="1" applyAlignment="1">
      <alignment vertical="center" wrapText="1"/>
    </xf>
    <xf numFmtId="3" fontId="8" fillId="0" borderId="54" xfId="1" applyNumberFormat="1" applyFont="1" applyFill="1" applyBorder="1" applyAlignment="1">
      <alignment vertical="center" wrapText="1"/>
    </xf>
    <xf numFmtId="3" fontId="37" fillId="0" borderId="54" xfId="1" applyNumberFormat="1" applyFont="1" applyFill="1" applyBorder="1" applyAlignment="1">
      <alignment vertical="center"/>
    </xf>
    <xf numFmtId="1" fontId="8" fillId="0" borderId="53" xfId="1" applyNumberFormat="1" applyFont="1" applyFill="1" applyBorder="1" applyAlignment="1">
      <alignment horizontal="right" vertical="center"/>
    </xf>
    <xf numFmtId="0" fontId="273" fillId="0" borderId="53" xfId="0" applyFont="1" applyBorder="1" applyAlignment="1">
      <alignment horizontal="center" vertical="center"/>
    </xf>
    <xf numFmtId="179" fontId="25" fillId="0" borderId="0" xfId="4282" applyNumberFormat="1" applyFont="1" applyFill="1" applyBorder="1" applyAlignment="1">
      <alignment horizontal="center"/>
    </xf>
    <xf numFmtId="3" fontId="16" fillId="0" borderId="53" xfId="1" applyNumberFormat="1" applyFont="1" applyFill="1" applyBorder="1" applyAlignment="1">
      <alignment vertical="center"/>
    </xf>
    <xf numFmtId="0" fontId="31" fillId="0" borderId="53" xfId="0" quotePrefix="1" applyFont="1" applyFill="1" applyBorder="1" applyAlignment="1">
      <alignment vertical="center" wrapText="1"/>
    </xf>
    <xf numFmtId="0" fontId="16" fillId="0" borderId="53" xfId="2612" applyFont="1" applyFill="1" applyBorder="1" applyAlignment="1">
      <alignment horizontal="center" vertical="center"/>
    </xf>
    <xf numFmtId="0" fontId="16" fillId="0" borderId="53" xfId="2612" applyFont="1" applyFill="1" applyBorder="1" applyAlignment="1">
      <alignment vertical="center"/>
    </xf>
    <xf numFmtId="43" fontId="16" fillId="0" borderId="53" xfId="4282" applyFont="1" applyFill="1" applyBorder="1" applyAlignment="1">
      <alignment horizontal="right" vertical="center" wrapText="1"/>
    </xf>
    <xf numFmtId="0" fontId="16" fillId="0" borderId="53" xfId="2612" applyFont="1" applyFill="1" applyBorder="1" applyAlignment="1">
      <alignment horizontal="left" vertical="center" wrapText="1"/>
    </xf>
    <xf numFmtId="324" fontId="16" fillId="0" borderId="53" xfId="4282" applyNumberFormat="1" applyFont="1" applyFill="1" applyBorder="1" applyAlignment="1">
      <alignment horizontal="center" vertical="center" wrapText="1"/>
    </xf>
    <xf numFmtId="0" fontId="8" fillId="0" borderId="53" xfId="2612" applyFont="1" applyFill="1" applyBorder="1" applyAlignment="1">
      <alignment horizontal="center" vertical="center"/>
    </xf>
    <xf numFmtId="0" fontId="8" fillId="0" borderId="53" xfId="2612" applyFont="1" applyFill="1" applyBorder="1" applyAlignment="1">
      <alignment horizontal="left" vertical="center" wrapText="1"/>
    </xf>
    <xf numFmtId="324" fontId="8" fillId="0" borderId="53" xfId="4282" applyNumberFormat="1" applyFont="1" applyFill="1" applyBorder="1" applyAlignment="1">
      <alignment horizontal="center" vertical="center" wrapText="1"/>
    </xf>
    <xf numFmtId="0" fontId="15" fillId="0" borderId="53" xfId="2612" applyFont="1" applyFill="1" applyBorder="1" applyAlignment="1">
      <alignment horizontal="center" vertical="center"/>
    </xf>
    <xf numFmtId="0" fontId="15" fillId="0" borderId="53" xfId="2612" applyFont="1" applyFill="1" applyBorder="1" applyAlignment="1">
      <alignment horizontal="left" vertical="center" wrapText="1"/>
    </xf>
    <xf numFmtId="324" fontId="15" fillId="0" borderId="53" xfId="4282" applyNumberFormat="1" applyFont="1" applyFill="1" applyBorder="1" applyAlignment="1">
      <alignment horizontal="center" vertical="center" wrapText="1"/>
    </xf>
    <xf numFmtId="3" fontId="15" fillId="0" borderId="53" xfId="4282" applyNumberFormat="1" applyFont="1" applyFill="1" applyBorder="1" applyAlignment="1">
      <alignment horizontal="right" vertical="center" wrapText="1"/>
    </xf>
    <xf numFmtId="324" fontId="8" fillId="0" borderId="53" xfId="4282" applyNumberFormat="1" applyFont="1" applyFill="1" applyBorder="1" applyAlignment="1">
      <alignment horizontal="center" vertical="center"/>
    </xf>
    <xf numFmtId="0" fontId="16" fillId="0" borderId="53" xfId="2612" applyFont="1" applyFill="1" applyBorder="1" applyAlignment="1">
      <alignment horizontal="left" vertical="center"/>
    </xf>
    <xf numFmtId="0" fontId="16" fillId="0" borderId="53" xfId="0" applyFont="1" applyFill="1" applyBorder="1" applyAlignment="1">
      <alignment horizontal="center" vertical="center"/>
    </xf>
    <xf numFmtId="0" fontId="16" fillId="0" borderId="58" xfId="0" applyFont="1" applyFill="1" applyBorder="1" applyAlignment="1">
      <alignment horizontal="left" vertical="center" wrapText="1"/>
    </xf>
    <xf numFmtId="179" fontId="16" fillId="0" borderId="53" xfId="4282" applyNumberFormat="1" applyFont="1" applyFill="1" applyBorder="1" applyAlignment="1">
      <alignment horizontal="center" vertical="center" wrapText="1"/>
    </xf>
    <xf numFmtId="9" fontId="16" fillId="0" borderId="53" xfId="4283" applyFont="1" applyFill="1" applyBorder="1" applyAlignment="1">
      <alignment horizontal="center" vertical="center" wrapText="1"/>
    </xf>
    <xf numFmtId="0" fontId="16" fillId="0" borderId="53" xfId="0" applyFont="1" applyFill="1" applyBorder="1" applyAlignment="1">
      <alignment horizontal="left" vertical="center" wrapText="1"/>
    </xf>
    <xf numFmtId="0" fontId="8" fillId="0" borderId="53" xfId="0" applyFont="1" applyFill="1" applyBorder="1" applyAlignment="1">
      <alignment horizontal="center" vertical="center"/>
    </xf>
    <xf numFmtId="0" fontId="8" fillId="0" borderId="53" xfId="0" applyFont="1" applyFill="1" applyBorder="1" applyAlignment="1">
      <alignment horizontal="left" vertical="center" wrapText="1"/>
    </xf>
    <xf numFmtId="179" fontId="8" fillId="0" borderId="53" xfId="4282" applyNumberFormat="1" applyFont="1" applyFill="1" applyBorder="1" applyAlignment="1">
      <alignment horizontal="center" vertical="center" wrapText="1"/>
    </xf>
    <xf numFmtId="9" fontId="8" fillId="0" borderId="53" xfId="4283" applyFont="1" applyFill="1" applyBorder="1" applyAlignment="1">
      <alignment horizontal="center" vertical="center" wrapText="1"/>
    </xf>
    <xf numFmtId="0" fontId="15" fillId="0" borderId="53" xfId="0" applyFont="1" applyFill="1" applyBorder="1" applyAlignment="1">
      <alignment horizontal="center" vertical="center"/>
    </xf>
    <xf numFmtId="0" fontId="15" fillId="0" borderId="53" xfId="0" applyFont="1" applyFill="1" applyBorder="1" applyAlignment="1">
      <alignment horizontal="left" vertical="center" wrapText="1"/>
    </xf>
    <xf numFmtId="179" fontId="15" fillId="0" borderId="53" xfId="4282" applyNumberFormat="1" applyFont="1" applyFill="1" applyBorder="1" applyAlignment="1">
      <alignment horizontal="center" vertical="center" wrapText="1"/>
    </xf>
    <xf numFmtId="9" fontId="15" fillId="0" borderId="53" xfId="4283" applyFont="1" applyFill="1" applyBorder="1" applyAlignment="1">
      <alignment horizontal="center" vertical="center" wrapText="1"/>
    </xf>
    <xf numFmtId="179" fontId="8" fillId="0" borderId="53" xfId="4282" applyNumberFormat="1" applyFont="1" applyFill="1" applyBorder="1" applyAlignment="1">
      <alignment horizontal="center" vertical="center"/>
    </xf>
    <xf numFmtId="179" fontId="15" fillId="0" borderId="53" xfId="4282" applyNumberFormat="1" applyFont="1" applyFill="1" applyBorder="1" applyAlignment="1">
      <alignment horizontal="center" vertical="center"/>
    </xf>
    <xf numFmtId="9" fontId="8" fillId="0" borderId="53" xfId="4283" applyFont="1" applyFill="1" applyBorder="1" applyAlignment="1">
      <alignment horizontal="center" vertical="center"/>
    </xf>
    <xf numFmtId="0" fontId="8" fillId="0" borderId="53" xfId="0" applyFont="1" applyFill="1" applyBorder="1" applyAlignment="1">
      <alignment wrapText="1"/>
    </xf>
    <xf numFmtId="9" fontId="15" fillId="0" borderId="53" xfId="4283" applyFont="1" applyFill="1" applyBorder="1" applyAlignment="1">
      <alignment horizontal="center" vertical="center"/>
    </xf>
    <xf numFmtId="0" fontId="15" fillId="0" borderId="53" xfId="0" applyFont="1" applyFill="1" applyBorder="1" applyAlignment="1">
      <alignment horizontal="center" vertical="center" wrapText="1"/>
    </xf>
    <xf numFmtId="1" fontId="25" fillId="0" borderId="1" xfId="1" applyNumberFormat="1" applyFont="1" applyFill="1" applyBorder="1" applyAlignment="1">
      <alignment horizontal="right" vertical="center"/>
    </xf>
    <xf numFmtId="1" fontId="16" fillId="0" borderId="0" xfId="1" applyNumberFormat="1" applyFont="1" applyFill="1" applyAlignment="1">
      <alignment horizontal="center" vertical="center" wrapText="1"/>
    </xf>
    <xf numFmtId="3" fontId="37" fillId="0" borderId="58" xfId="4288" applyNumberFormat="1" applyFont="1" applyFill="1" applyBorder="1" applyAlignment="1">
      <alignment vertical="center" wrapText="1"/>
    </xf>
    <xf numFmtId="3" fontId="37" fillId="0" borderId="58" xfId="1" quotePrefix="1" applyNumberFormat="1" applyFont="1" applyFill="1" applyBorder="1" applyAlignment="1">
      <alignment horizontal="center" vertical="center" wrapText="1"/>
    </xf>
    <xf numFmtId="179" fontId="40" fillId="0" borderId="58" xfId="4264" applyNumberFormat="1" applyFont="1" applyFill="1" applyBorder="1" applyAlignment="1">
      <alignment horizontal="center" vertical="center" wrapText="1"/>
    </xf>
    <xf numFmtId="3" fontId="37" fillId="0" borderId="58" xfId="1" applyNumberFormat="1" applyFont="1" applyFill="1" applyBorder="1" applyAlignment="1">
      <alignment vertical="center"/>
    </xf>
    <xf numFmtId="3" fontId="8" fillId="0" borderId="58" xfId="1" applyNumberFormat="1" applyFont="1" applyFill="1" applyBorder="1" applyAlignment="1">
      <alignment vertical="center"/>
    </xf>
    <xf numFmtId="3" fontId="37" fillId="0" borderId="58" xfId="4276" applyNumberFormat="1" applyFont="1" applyFill="1" applyBorder="1" applyAlignment="1">
      <alignment vertical="center" wrapText="1"/>
    </xf>
    <xf numFmtId="3" fontId="37" fillId="0" borderId="60" xfId="4288" applyNumberFormat="1" applyFont="1" applyFill="1" applyBorder="1" applyAlignment="1">
      <alignment vertical="center" wrapText="1"/>
    </xf>
    <xf numFmtId="3" fontId="293" fillId="0" borderId="58" xfId="4288" applyNumberFormat="1" applyFont="1" applyFill="1" applyBorder="1" applyAlignment="1">
      <alignment vertical="center" wrapText="1"/>
    </xf>
    <xf numFmtId="3" fontId="37" fillId="0" borderId="58" xfId="4288" applyNumberFormat="1" applyFont="1" applyFill="1" applyBorder="1" applyAlignment="1">
      <alignment horizontal="right" vertical="center" wrapText="1"/>
    </xf>
    <xf numFmtId="1" fontId="15" fillId="0" borderId="53" xfId="1" applyNumberFormat="1" applyFont="1" applyFill="1" applyBorder="1" applyAlignment="1">
      <alignment horizontal="center" vertical="center" wrapText="1"/>
    </xf>
    <xf numFmtId="1" fontId="16" fillId="0" borderId="53" xfId="1" applyNumberFormat="1" applyFont="1" applyFill="1" applyBorder="1" applyAlignment="1">
      <alignment horizontal="center" vertical="center" wrapText="1"/>
    </xf>
    <xf numFmtId="1" fontId="16" fillId="0" borderId="0" xfId="1" applyNumberFormat="1" applyFont="1" applyFill="1" applyAlignment="1">
      <alignment horizontal="left" vertical="center" wrapText="1"/>
    </xf>
    <xf numFmtId="1" fontId="16" fillId="0" borderId="0" xfId="1" applyNumberFormat="1" applyFont="1" applyFill="1" applyAlignment="1">
      <alignment horizontal="center" vertical="center" wrapText="1"/>
    </xf>
    <xf numFmtId="1" fontId="16" fillId="0" borderId="53" xfId="1" applyNumberFormat="1" applyFont="1" applyFill="1" applyBorder="1" applyAlignment="1">
      <alignment horizontal="center" vertical="center"/>
    </xf>
    <xf numFmtId="0" fontId="304" fillId="0" borderId="53" xfId="4281" applyFont="1" applyFill="1" applyBorder="1" applyAlignment="1">
      <alignment horizontal="center" vertical="center" wrapText="1"/>
    </xf>
    <xf numFmtId="3" fontId="16" fillId="0" borderId="53" xfId="1" applyNumberFormat="1" applyFont="1" applyFill="1" applyBorder="1" applyAlignment="1">
      <alignment horizontal="right" vertical="center"/>
    </xf>
    <xf numFmtId="43" fontId="16" fillId="0" borderId="53" xfId="4282" applyFont="1" applyFill="1" applyBorder="1" applyAlignment="1">
      <alignment horizontal="center" vertical="center" wrapText="1"/>
    </xf>
    <xf numFmtId="3" fontId="16" fillId="0" borderId="53" xfId="4282" applyNumberFormat="1" applyFont="1" applyFill="1" applyBorder="1" applyAlignment="1">
      <alignment horizontal="right" vertical="center" wrapText="1"/>
    </xf>
    <xf numFmtId="3" fontId="8" fillId="0" borderId="53" xfId="4282" applyNumberFormat="1" applyFont="1" applyFill="1" applyBorder="1" applyAlignment="1">
      <alignment horizontal="right" vertical="center" wrapText="1"/>
    </xf>
    <xf numFmtId="0" fontId="273" fillId="0" borderId="0" xfId="0" applyFont="1" applyBorder="1" applyAlignment="1">
      <alignment horizontal="center" vertical="center"/>
    </xf>
    <xf numFmtId="0" fontId="273" fillId="0" borderId="53" xfId="0" applyFont="1" applyBorder="1" applyAlignment="1">
      <alignment horizontal="center" vertical="center"/>
    </xf>
    <xf numFmtId="3" fontId="31" fillId="0" borderId="54" xfId="4288" applyNumberFormat="1" applyFont="1" applyFill="1" applyBorder="1" applyAlignment="1">
      <alignment horizontal="center" vertical="center" wrapText="1"/>
    </xf>
    <xf numFmtId="3" fontId="31" fillId="0" borderId="8" xfId="4288" applyNumberFormat="1" applyFont="1" applyFill="1" applyBorder="1" applyAlignment="1">
      <alignment horizontal="center" vertical="center" wrapText="1"/>
    </xf>
    <xf numFmtId="3" fontId="31" fillId="0" borderId="7" xfId="4288" applyNumberFormat="1" applyFont="1" applyFill="1" applyBorder="1" applyAlignment="1">
      <alignment horizontal="center" vertical="center" wrapText="1"/>
    </xf>
    <xf numFmtId="1" fontId="31" fillId="51" borderId="54" xfId="4288" applyNumberFormat="1" applyFont="1" applyFill="1" applyBorder="1" applyAlignment="1">
      <alignment horizontal="center" vertical="center" wrapText="1"/>
    </xf>
    <xf numFmtId="1" fontId="31" fillId="51" borderId="8" xfId="4288" applyNumberFormat="1" applyFont="1" applyFill="1" applyBorder="1" applyAlignment="1">
      <alignment horizontal="center" vertical="center" wrapText="1"/>
    </xf>
    <xf numFmtId="1" fontId="31" fillId="51" borderId="7" xfId="4288" applyNumberFormat="1" applyFont="1" applyFill="1" applyBorder="1" applyAlignment="1">
      <alignment horizontal="center" vertical="center" wrapText="1"/>
    </xf>
    <xf numFmtId="179" fontId="31" fillId="0" borderId="54" xfId="4264" quotePrefix="1" applyNumberFormat="1" applyFont="1" applyFill="1" applyBorder="1" applyAlignment="1">
      <alignment horizontal="center" vertical="center" wrapText="1"/>
    </xf>
    <xf numFmtId="179" fontId="31" fillId="0" borderId="7" xfId="4264" quotePrefix="1" applyNumberFormat="1" applyFont="1" applyFill="1" applyBorder="1" applyAlignment="1">
      <alignment horizontal="center" vertical="center" wrapText="1"/>
    </xf>
    <xf numFmtId="0" fontId="273" fillId="0" borderId="12" xfId="0" applyFont="1" applyBorder="1" applyAlignment="1">
      <alignment horizontal="center"/>
    </xf>
    <xf numFmtId="0" fontId="273" fillId="0" borderId="0" xfId="0" applyFont="1" applyAlignment="1">
      <alignment horizontal="center"/>
    </xf>
    <xf numFmtId="0" fontId="273" fillId="0" borderId="53" xfId="0" applyFont="1" applyBorder="1" applyAlignment="1">
      <alignment horizontal="center"/>
    </xf>
    <xf numFmtId="322" fontId="42" fillId="50" borderId="53" xfId="4264" applyNumberFormat="1" applyFont="1" applyFill="1" applyBorder="1" applyAlignment="1">
      <alignment horizontal="center" vertical="center" wrapText="1"/>
    </xf>
    <xf numFmtId="49" fontId="42" fillId="50" borderId="53" xfId="4264" applyNumberFormat="1" applyFont="1" applyFill="1" applyBorder="1" applyAlignment="1">
      <alignment horizontal="center" vertical="center" wrapText="1"/>
    </xf>
    <xf numFmtId="0" fontId="42" fillId="50" borderId="58" xfId="4264" applyNumberFormat="1" applyFont="1" applyFill="1" applyBorder="1" applyAlignment="1">
      <alignment horizontal="center" vertical="center" wrapText="1"/>
    </xf>
    <xf numFmtId="0" fontId="42" fillId="50" borderId="59" xfId="4264" applyNumberFormat="1" applyFont="1" applyFill="1" applyBorder="1" applyAlignment="1">
      <alignment horizontal="center" vertical="center" wrapText="1"/>
    </xf>
    <xf numFmtId="0" fontId="42" fillId="50" borderId="56" xfId="4264" applyNumberFormat="1" applyFont="1" applyFill="1" applyBorder="1" applyAlignment="1">
      <alignment horizontal="center" vertical="center" wrapText="1"/>
    </xf>
    <xf numFmtId="237" fontId="42" fillId="50" borderId="54" xfId="4282" applyNumberFormat="1" applyFont="1" applyFill="1" applyBorder="1" applyAlignment="1">
      <alignment horizontal="center" vertical="center" wrapText="1"/>
    </xf>
    <xf numFmtId="237" fontId="42" fillId="50" borderId="8" xfId="4282" applyNumberFormat="1" applyFont="1" applyFill="1" applyBorder="1" applyAlignment="1">
      <alignment horizontal="center" vertical="center" wrapText="1"/>
    </xf>
    <xf numFmtId="237" fontId="42" fillId="50" borderId="7" xfId="4282" applyNumberFormat="1" applyFont="1" applyFill="1" applyBorder="1" applyAlignment="1">
      <alignment horizontal="center" vertical="center" wrapText="1"/>
    </xf>
    <xf numFmtId="179" fontId="42" fillId="50" borderId="53" xfId="4265" applyNumberFormat="1" applyFont="1" applyFill="1" applyBorder="1" applyAlignment="1">
      <alignment horizontal="center" vertical="center" wrapText="1"/>
    </xf>
    <xf numFmtId="179" fontId="42" fillId="50" borderId="60" xfId="4265" applyNumberFormat="1" applyFont="1" applyFill="1" applyBorder="1" applyAlignment="1">
      <alignment horizontal="center" vertical="center" wrapText="1"/>
    </xf>
    <xf numFmtId="179" fontId="42" fillId="50" borderId="57" xfId="4265" applyNumberFormat="1" applyFont="1" applyFill="1" applyBorder="1" applyAlignment="1">
      <alignment horizontal="center" vertical="center" wrapText="1"/>
    </xf>
    <xf numFmtId="179" fontId="42" fillId="50" borderId="14" xfId="4265" applyNumberFormat="1" applyFont="1" applyFill="1" applyBorder="1" applyAlignment="1">
      <alignment horizontal="center" vertical="center" wrapText="1"/>
    </xf>
    <xf numFmtId="179" fontId="42" fillId="50" borderId="15" xfId="4265" applyNumberFormat="1" applyFont="1" applyFill="1" applyBorder="1" applyAlignment="1">
      <alignment horizontal="center" vertical="center" wrapText="1"/>
    </xf>
    <xf numFmtId="179" fontId="42" fillId="0" borderId="54" xfId="4282" applyNumberFormat="1" applyFont="1" applyFill="1" applyBorder="1" applyAlignment="1">
      <alignment horizontal="center" vertical="center" wrapText="1"/>
    </xf>
    <xf numFmtId="179" fontId="42" fillId="0" borderId="7" xfId="4282" applyNumberFormat="1" applyFont="1" applyFill="1" applyBorder="1" applyAlignment="1">
      <alignment horizontal="center" vertical="center" wrapText="1"/>
    </xf>
    <xf numFmtId="237" fontId="42" fillId="50" borderId="60" xfId="4282" applyNumberFormat="1" applyFont="1" applyFill="1" applyBorder="1" applyAlignment="1">
      <alignment horizontal="center" vertical="center" wrapText="1"/>
    </xf>
    <xf numFmtId="237" fontId="42" fillId="50" borderId="57" xfId="4282" applyNumberFormat="1" applyFont="1" applyFill="1" applyBorder="1" applyAlignment="1">
      <alignment horizontal="center" vertical="center" wrapText="1"/>
    </xf>
    <xf numFmtId="237" fontId="42" fillId="50" borderId="12" xfId="4282" applyNumberFormat="1" applyFont="1" applyFill="1" applyBorder="1" applyAlignment="1">
      <alignment horizontal="center" vertical="center" wrapText="1"/>
    </xf>
    <xf numFmtId="237" fontId="42" fillId="50" borderId="13" xfId="4282" applyNumberFormat="1" applyFont="1" applyFill="1" applyBorder="1" applyAlignment="1">
      <alignment horizontal="center" vertical="center" wrapText="1"/>
    </xf>
    <xf numFmtId="179" fontId="31" fillId="50" borderId="53" xfId="4265" applyNumberFormat="1" applyFont="1" applyFill="1" applyBorder="1" applyAlignment="1">
      <alignment horizontal="center" vertical="center"/>
    </xf>
    <xf numFmtId="237" fontId="42" fillId="50" borderId="53" xfId="4282" applyNumberFormat="1" applyFont="1" applyFill="1" applyBorder="1" applyAlignment="1">
      <alignment horizontal="center" vertical="center" wrapText="1"/>
    </xf>
    <xf numFmtId="0" fontId="42" fillId="0" borderId="53" xfId="4264" applyNumberFormat="1" applyFont="1" applyFill="1" applyBorder="1" applyAlignment="1">
      <alignment horizontal="center" vertical="center" wrapText="1"/>
    </xf>
    <xf numFmtId="0" fontId="42" fillId="0" borderId="54" xfId="4264" applyNumberFormat="1" applyFont="1" applyFill="1" applyBorder="1" applyAlignment="1">
      <alignment horizontal="center" vertical="center" wrapText="1"/>
    </xf>
    <xf numFmtId="0" fontId="42" fillId="0" borderId="8" xfId="4264" applyNumberFormat="1" applyFont="1" applyFill="1" applyBorder="1" applyAlignment="1">
      <alignment horizontal="center" vertical="center" wrapText="1"/>
    </xf>
    <xf numFmtId="0" fontId="42" fillId="0" borderId="7" xfId="4264" applyNumberFormat="1" applyFont="1" applyFill="1" applyBorder="1" applyAlignment="1">
      <alignment horizontal="center" vertical="center" wrapText="1"/>
    </xf>
    <xf numFmtId="0" fontId="42" fillId="50" borderId="53" xfId="4264" applyNumberFormat="1" applyFont="1" applyFill="1" applyBorder="1" applyAlignment="1">
      <alignment horizontal="center" vertical="center" wrapText="1"/>
    </xf>
    <xf numFmtId="0" fontId="42" fillId="50" borderId="54" xfId="4264" applyNumberFormat="1" applyFont="1" applyFill="1" applyBorder="1" applyAlignment="1">
      <alignment horizontal="center" vertical="center" wrapText="1"/>
    </xf>
    <xf numFmtId="0" fontId="42" fillId="50" borderId="8" xfId="4264" applyNumberFormat="1" applyFont="1" applyFill="1" applyBorder="1" applyAlignment="1">
      <alignment horizontal="center" vertical="center" wrapText="1"/>
    </xf>
    <xf numFmtId="0" fontId="42" fillId="50" borderId="7" xfId="4264" applyNumberFormat="1" applyFont="1" applyFill="1" applyBorder="1" applyAlignment="1">
      <alignment horizontal="center" vertical="center" wrapText="1"/>
    </xf>
    <xf numFmtId="0" fontId="40" fillId="0" borderId="53" xfId="4262" applyFont="1" applyFill="1" applyBorder="1" applyAlignment="1">
      <alignment horizontal="center" vertical="center" wrapText="1"/>
    </xf>
    <xf numFmtId="0" fontId="40" fillId="0" borderId="53" xfId="4262" applyFont="1" applyFill="1" applyBorder="1" applyAlignment="1">
      <alignment vertical="center" wrapText="1"/>
    </xf>
    <xf numFmtId="0" fontId="40" fillId="0" borderId="53" xfId="4262" applyFont="1" applyFill="1" applyBorder="1" applyAlignment="1">
      <alignment horizontal="center" vertical="center"/>
    </xf>
    <xf numFmtId="3" fontId="37" fillId="0" borderId="53" xfId="1" applyNumberFormat="1" applyFont="1" applyFill="1" applyBorder="1" applyAlignment="1">
      <alignment horizontal="center" vertical="center" wrapText="1"/>
    </xf>
    <xf numFmtId="1" fontId="16" fillId="0" borderId="0" xfId="1" applyNumberFormat="1" applyFont="1" applyFill="1" applyAlignment="1">
      <alignment horizontal="left" vertical="center" wrapText="1"/>
    </xf>
    <xf numFmtId="3" fontId="37" fillId="0" borderId="54" xfId="1" applyNumberFormat="1" applyFont="1" applyFill="1" applyBorder="1" applyAlignment="1">
      <alignment horizontal="center" vertical="center" wrapText="1"/>
    </xf>
    <xf numFmtId="3" fontId="37" fillId="0" borderId="8" xfId="1" applyNumberFormat="1" applyFont="1" applyFill="1" applyBorder="1" applyAlignment="1">
      <alignment horizontal="center" vertical="center" wrapText="1"/>
    </xf>
    <xf numFmtId="3" fontId="37" fillId="0" borderId="7" xfId="1" applyNumberFormat="1" applyFont="1" applyFill="1" applyBorder="1" applyAlignment="1">
      <alignment horizontal="center" vertical="center" wrapText="1"/>
    </xf>
    <xf numFmtId="3" fontId="37" fillId="0" borderId="58" xfId="1" applyNumberFormat="1" applyFont="1" applyFill="1" applyBorder="1" applyAlignment="1">
      <alignment horizontal="center" vertical="center" wrapText="1"/>
    </xf>
    <xf numFmtId="3" fontId="37" fillId="0" borderId="59" xfId="1" applyNumberFormat="1" applyFont="1" applyFill="1" applyBorder="1" applyAlignment="1">
      <alignment horizontal="center" vertical="center" wrapText="1"/>
    </xf>
    <xf numFmtId="3" fontId="37" fillId="0" borderId="56" xfId="1" applyNumberFormat="1" applyFont="1" applyFill="1" applyBorder="1" applyAlignment="1">
      <alignment horizontal="center" vertical="center" wrapText="1"/>
    </xf>
    <xf numFmtId="1" fontId="15" fillId="0" borderId="0" xfId="1" applyNumberFormat="1" applyFont="1" applyFill="1" applyBorder="1" applyAlignment="1">
      <alignment horizontal="right" vertical="center"/>
    </xf>
    <xf numFmtId="3" fontId="37" fillId="0" borderId="60" xfId="1" applyNumberFormat="1" applyFont="1" applyFill="1" applyBorder="1" applyAlignment="1">
      <alignment horizontal="center" vertical="center" wrapText="1"/>
    </xf>
    <xf numFmtId="3" fontId="37" fillId="0" borderId="57" xfId="1" applyNumberFormat="1" applyFont="1" applyFill="1" applyBorder="1" applyAlignment="1">
      <alignment horizontal="center" vertical="center" wrapText="1"/>
    </xf>
    <xf numFmtId="3" fontId="37" fillId="0" borderId="14" xfId="1" applyNumberFormat="1" applyFont="1" applyFill="1" applyBorder="1" applyAlignment="1">
      <alignment horizontal="center" vertical="center" wrapText="1"/>
    </xf>
    <xf numFmtId="3" fontId="37" fillId="0" borderId="15" xfId="1" applyNumberFormat="1" applyFont="1" applyFill="1" applyBorder="1" applyAlignment="1">
      <alignment horizontal="center" vertical="center" wrapText="1"/>
    </xf>
    <xf numFmtId="3" fontId="37" fillId="0" borderId="55" xfId="1" applyNumberFormat="1" applyFont="1" applyFill="1" applyBorder="1" applyAlignment="1">
      <alignment horizontal="center" vertical="center" wrapText="1"/>
    </xf>
    <xf numFmtId="3" fontId="37" fillId="0" borderId="1" xfId="1" applyNumberFormat="1" applyFont="1" applyFill="1" applyBorder="1" applyAlignment="1">
      <alignment horizontal="center" vertical="center" wrapText="1"/>
    </xf>
    <xf numFmtId="1" fontId="15" fillId="0" borderId="1" xfId="1" applyNumberFormat="1" applyFont="1" applyFill="1" applyBorder="1" applyAlignment="1">
      <alignment horizontal="right" vertical="center"/>
    </xf>
    <xf numFmtId="1" fontId="40" fillId="0" borderId="0" xfId="1" applyNumberFormat="1" applyFont="1" applyFill="1" applyAlignment="1">
      <alignment horizontal="left" vertical="center" wrapText="1"/>
    </xf>
    <xf numFmtId="1" fontId="25" fillId="0" borderId="1" xfId="1" applyNumberFormat="1" applyFont="1" applyFill="1" applyBorder="1" applyAlignment="1">
      <alignment horizontal="right" vertical="center"/>
    </xf>
    <xf numFmtId="1" fontId="4" fillId="0" borderId="0" xfId="1" applyNumberFormat="1" applyFont="1" applyFill="1" applyAlignment="1">
      <alignment horizontal="center" vertical="center" wrapText="1"/>
    </xf>
    <xf numFmtId="0" fontId="9" fillId="0" borderId="0" xfId="0" applyFont="1" applyAlignment="1">
      <alignment horizontal="center" vertical="center" wrapText="1" readingOrder="1"/>
    </xf>
    <xf numFmtId="1" fontId="21" fillId="0" borderId="0" xfId="1" applyNumberFormat="1" applyFont="1" applyFill="1" applyAlignment="1">
      <alignment horizontal="right" vertical="center"/>
    </xf>
    <xf numFmtId="1" fontId="17" fillId="0" borderId="0" xfId="1" applyNumberFormat="1" applyFont="1" applyFill="1" applyAlignment="1">
      <alignment horizontal="center" vertical="center"/>
    </xf>
    <xf numFmtId="1" fontId="22" fillId="0" borderId="0" xfId="1" applyNumberFormat="1" applyFont="1" applyFill="1" applyAlignment="1">
      <alignment horizontal="center" vertical="center" wrapText="1"/>
    </xf>
    <xf numFmtId="1" fontId="17" fillId="0" borderId="0" xfId="1" applyNumberFormat="1" applyFont="1" applyFill="1" applyAlignment="1">
      <alignment horizontal="center" vertical="center" wrapText="1"/>
    </xf>
    <xf numFmtId="1" fontId="17" fillId="0" borderId="1" xfId="1" applyNumberFormat="1" applyFont="1" applyFill="1" applyBorder="1" applyAlignment="1">
      <alignment horizontal="right" vertical="center"/>
    </xf>
    <xf numFmtId="3" fontId="8" fillId="0" borderId="6" xfId="1" applyNumberFormat="1" applyFont="1" applyBorder="1" applyAlignment="1">
      <alignment horizontal="center" vertical="center" wrapText="1"/>
    </xf>
    <xf numFmtId="3" fontId="8" fillId="0" borderId="8" xfId="1" applyNumberFormat="1" applyFont="1" applyBorder="1" applyAlignment="1">
      <alignment horizontal="center" vertical="center" wrapText="1"/>
    </xf>
    <xf numFmtId="3" fontId="8" fillId="0" borderId="7" xfId="1" applyNumberFormat="1" applyFont="1" applyBorder="1" applyAlignment="1">
      <alignment horizontal="center" vertical="center" wrapText="1"/>
    </xf>
    <xf numFmtId="3" fontId="8" fillId="0" borderId="3" xfId="1" applyNumberFormat="1" applyFont="1" applyFill="1" applyBorder="1" applyAlignment="1">
      <alignment horizontal="center" vertical="center" wrapText="1"/>
    </xf>
    <xf numFmtId="3" fontId="8" fillId="0" borderId="4" xfId="1" applyNumberFormat="1" applyFont="1" applyFill="1" applyBorder="1" applyAlignment="1">
      <alignment horizontal="center" vertical="center" wrapText="1"/>
    </xf>
    <xf numFmtId="3" fontId="8" fillId="0" borderId="5" xfId="1" applyNumberFormat="1" applyFont="1" applyFill="1" applyBorder="1" applyAlignment="1">
      <alignment horizontal="center" vertical="center" wrapText="1"/>
    </xf>
    <xf numFmtId="3" fontId="8" fillId="0" borderId="2" xfId="1" applyNumberFormat="1" applyFont="1" applyBorder="1" applyAlignment="1">
      <alignment horizontal="center" vertical="center" wrapText="1"/>
    </xf>
    <xf numFmtId="0" fontId="24" fillId="0" borderId="2" xfId="0" applyFont="1" applyBorder="1"/>
    <xf numFmtId="3" fontId="8" fillId="0" borderId="2" xfId="1" applyNumberFormat="1" applyFont="1" applyFill="1" applyBorder="1" applyAlignment="1">
      <alignment horizontal="center" vertical="center" wrapText="1"/>
    </xf>
    <xf numFmtId="3" fontId="15" fillId="0" borderId="2" xfId="1" applyNumberFormat="1" applyFont="1" applyFill="1" applyBorder="1" applyAlignment="1">
      <alignment horizontal="left" vertical="center" wrapText="1"/>
    </xf>
    <xf numFmtId="3" fontId="8" fillId="0" borderId="9" xfId="1" applyNumberFormat="1" applyFont="1" applyBorder="1" applyAlignment="1">
      <alignment horizontal="center" vertical="center" wrapText="1"/>
    </xf>
    <xf numFmtId="3" fontId="8" fillId="0" borderId="11" xfId="1" applyNumberFormat="1" applyFont="1" applyBorder="1" applyAlignment="1">
      <alignment horizontal="center" vertical="center" wrapText="1"/>
    </xf>
    <xf numFmtId="3" fontId="8" fillId="0" borderId="10" xfId="1" applyNumberFormat="1" applyFont="1" applyBorder="1" applyAlignment="1">
      <alignment horizontal="center" vertical="center" wrapText="1"/>
    </xf>
    <xf numFmtId="3" fontId="8" fillId="0" borderId="14" xfId="1" applyNumberFormat="1" applyFont="1" applyBorder="1" applyAlignment="1">
      <alignment horizontal="center" vertical="center" wrapText="1"/>
    </xf>
    <xf numFmtId="3" fontId="8" fillId="0" borderId="1" xfId="1" applyNumberFormat="1" applyFont="1" applyBorder="1" applyAlignment="1">
      <alignment horizontal="center" vertical="center" wrapText="1"/>
    </xf>
    <xf numFmtId="3" fontId="8" fillId="0" borderId="15" xfId="1" applyNumberFormat="1" applyFont="1" applyBorder="1" applyAlignment="1">
      <alignment horizontal="center" vertical="center" wrapText="1"/>
    </xf>
    <xf numFmtId="3" fontId="8" fillId="0" borderId="3" xfId="1" applyNumberFormat="1" applyFont="1" applyBorder="1" applyAlignment="1">
      <alignment horizontal="center" vertical="center" wrapText="1"/>
    </xf>
    <xf numFmtId="3" fontId="8" fillId="0" borderId="4" xfId="1" applyNumberFormat="1" applyFont="1" applyBorder="1" applyAlignment="1">
      <alignment horizontal="center" vertical="center" wrapText="1"/>
    </xf>
    <xf numFmtId="3" fontId="8" fillId="0" borderId="5" xfId="1" applyNumberFormat="1" applyFont="1" applyBorder="1" applyAlignment="1">
      <alignment horizontal="center" vertical="center" wrapText="1"/>
    </xf>
    <xf numFmtId="3" fontId="8" fillId="0" borderId="6" xfId="1" applyNumberFormat="1" applyFont="1" applyFill="1" applyBorder="1" applyAlignment="1">
      <alignment horizontal="center" vertical="center" wrapText="1"/>
    </xf>
    <xf numFmtId="3" fontId="8" fillId="0" borderId="8" xfId="1" applyNumberFormat="1" applyFont="1" applyFill="1" applyBorder="1" applyAlignment="1">
      <alignment horizontal="center" vertical="center" wrapText="1"/>
    </xf>
    <xf numFmtId="3" fontId="8" fillId="0" borderId="7" xfId="1" applyNumberFormat="1" applyFont="1" applyFill="1" applyBorder="1" applyAlignment="1">
      <alignment horizontal="center" vertical="center" wrapText="1"/>
    </xf>
    <xf numFmtId="3" fontId="25" fillId="0" borderId="6" xfId="1" applyNumberFormat="1" applyFont="1" applyFill="1" applyBorder="1" applyAlignment="1">
      <alignment horizontal="center" vertical="center" wrapText="1"/>
    </xf>
    <xf numFmtId="3" fontId="25" fillId="0" borderId="7" xfId="1" applyNumberFormat="1" applyFont="1" applyFill="1" applyBorder="1" applyAlignment="1">
      <alignment horizontal="center" vertical="center" wrapText="1"/>
    </xf>
    <xf numFmtId="0" fontId="11" fillId="0" borderId="0" xfId="0" applyFont="1" applyAlignment="1">
      <alignment horizontal="left" vertical="center" wrapText="1"/>
    </xf>
    <xf numFmtId="49" fontId="15" fillId="0" borderId="0" xfId="1" applyNumberFormat="1" applyFont="1" applyFill="1" applyBorder="1" applyAlignment="1">
      <alignment horizontal="left" vertical="center"/>
    </xf>
    <xf numFmtId="1" fontId="15" fillId="0" borderId="0" xfId="1" quotePrefix="1" applyNumberFormat="1" applyFont="1" applyFill="1" applyAlignment="1">
      <alignment horizontal="left" vertical="center" wrapText="1"/>
    </xf>
    <xf numFmtId="1" fontId="15" fillId="0" borderId="0" xfId="1" applyNumberFormat="1" applyFont="1" applyFill="1" applyAlignment="1">
      <alignment horizontal="left" vertical="center" wrapText="1"/>
    </xf>
    <xf numFmtId="0" fontId="28" fillId="0" borderId="0" xfId="0" applyFont="1" applyAlignment="1">
      <alignment horizontal="center" vertical="center" wrapText="1"/>
    </xf>
    <xf numFmtId="0" fontId="7" fillId="0" borderId="0" xfId="0" applyFont="1" applyAlignment="1">
      <alignment horizontal="left" vertical="center" wrapText="1" readingOrder="1"/>
    </xf>
    <xf numFmtId="0" fontId="9" fillId="0" borderId="0" xfId="0" applyFont="1" applyAlignment="1">
      <alignment horizontal="left" vertical="center" wrapText="1" readingOrder="1"/>
    </xf>
    <xf numFmtId="0" fontId="26" fillId="0" borderId="0" xfId="0" applyFont="1" applyAlignment="1">
      <alignment horizontal="right" vertical="center" wrapText="1"/>
    </xf>
    <xf numFmtId="0" fontId="30" fillId="0" borderId="1" xfId="0" applyFont="1" applyBorder="1" applyAlignment="1">
      <alignment horizontal="right"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5"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0" xfId="0" applyFont="1" applyFill="1" applyAlignment="1">
      <alignment horizontal="left" vertical="center" wrapText="1"/>
    </xf>
    <xf numFmtId="1" fontId="32" fillId="0" borderId="0" xfId="1" applyNumberFormat="1" applyFont="1" applyFill="1" applyAlignment="1">
      <alignment horizontal="right" vertical="center"/>
    </xf>
    <xf numFmtId="3" fontId="37" fillId="0" borderId="6" xfId="1" applyNumberFormat="1" applyFont="1" applyFill="1" applyBorder="1" applyAlignment="1">
      <alignment horizontal="center" vertical="center" wrapText="1"/>
    </xf>
    <xf numFmtId="3" fontId="37" fillId="0" borderId="9" xfId="1" applyNumberFormat="1" applyFont="1" applyFill="1" applyBorder="1" applyAlignment="1">
      <alignment horizontal="center" vertical="center" wrapText="1"/>
    </xf>
    <xf numFmtId="3" fontId="37" fillId="0" borderId="11" xfId="1" applyNumberFormat="1" applyFont="1" applyFill="1" applyBorder="1" applyAlignment="1">
      <alignment horizontal="center" vertical="center" wrapText="1"/>
    </xf>
    <xf numFmtId="3" fontId="37" fillId="0" borderId="10" xfId="1" applyNumberFormat="1" applyFont="1" applyFill="1" applyBorder="1" applyAlignment="1">
      <alignment horizontal="center" vertical="center" wrapText="1"/>
    </xf>
    <xf numFmtId="3" fontId="37" fillId="0" borderId="6" xfId="1" applyNumberFormat="1" applyFont="1" applyBorder="1" applyAlignment="1">
      <alignment horizontal="center" vertical="center" wrapText="1"/>
    </xf>
    <xf numFmtId="3" fontId="37" fillId="0" borderId="7" xfId="1" applyNumberFormat="1" applyFont="1" applyBorder="1" applyAlignment="1">
      <alignment horizontal="center" vertical="center" wrapText="1"/>
    </xf>
    <xf numFmtId="3" fontId="37" fillId="0" borderId="9" xfId="1" applyNumberFormat="1" applyFont="1" applyBorder="1" applyAlignment="1">
      <alignment horizontal="center" vertical="center" wrapText="1"/>
    </xf>
    <xf numFmtId="3" fontId="37" fillId="0" borderId="10" xfId="1" applyNumberFormat="1" applyFont="1" applyBorder="1" applyAlignment="1">
      <alignment horizontal="center" vertical="center" wrapText="1"/>
    </xf>
    <xf numFmtId="3" fontId="37" fillId="0" borderId="14" xfId="1" applyNumberFormat="1" applyFont="1" applyBorder="1" applyAlignment="1">
      <alignment horizontal="center" vertical="center" wrapText="1"/>
    </xf>
    <xf numFmtId="3" fontId="37" fillId="0" borderId="15" xfId="1" applyNumberFormat="1" applyFont="1" applyBorder="1" applyAlignment="1">
      <alignment horizontal="center" vertical="center" wrapText="1"/>
    </xf>
    <xf numFmtId="3" fontId="37" fillId="0" borderId="8" xfId="1" applyNumberFormat="1" applyFont="1" applyBorder="1" applyAlignment="1">
      <alignment horizontal="center" vertical="center" wrapText="1"/>
    </xf>
    <xf numFmtId="3" fontId="37" fillId="0" borderId="3" xfId="1" applyNumberFormat="1" applyFont="1" applyBorder="1" applyAlignment="1">
      <alignment horizontal="center" vertical="center" wrapText="1"/>
    </xf>
    <xf numFmtId="3" fontId="37" fillId="0" borderId="5" xfId="1" applyNumberFormat="1" applyFont="1" applyBorder="1" applyAlignment="1">
      <alignment horizontal="center" vertical="center" wrapText="1"/>
    </xf>
    <xf numFmtId="3" fontId="37" fillId="0" borderId="11" xfId="1" applyNumberFormat="1" applyFont="1" applyBorder="1" applyAlignment="1">
      <alignment horizontal="center" vertical="center" wrapText="1"/>
    </xf>
    <xf numFmtId="3" fontId="37" fillId="0" borderId="1" xfId="1" applyNumberFormat="1" applyFont="1" applyBorder="1" applyAlignment="1">
      <alignment horizontal="center" vertical="center" wrapText="1"/>
    </xf>
    <xf numFmtId="3" fontId="37" fillId="0" borderId="3" xfId="1" applyNumberFormat="1" applyFont="1" applyFill="1" applyBorder="1" applyAlignment="1">
      <alignment horizontal="center" vertical="center" wrapText="1"/>
    </xf>
    <xf numFmtId="3" fontId="37" fillId="0" borderId="4" xfId="1" applyNumberFormat="1" applyFont="1" applyFill="1" applyBorder="1" applyAlignment="1">
      <alignment horizontal="center" vertical="center" wrapText="1"/>
    </xf>
    <xf numFmtId="3" fontId="37" fillId="0" borderId="5" xfId="1" applyNumberFormat="1" applyFont="1" applyFill="1" applyBorder="1" applyAlignment="1">
      <alignment horizontal="center" vertical="center" wrapText="1"/>
    </xf>
    <xf numFmtId="0" fontId="8" fillId="0" borderId="2" xfId="2" applyFont="1" applyBorder="1" applyAlignment="1">
      <alignment horizontal="center" vertical="center"/>
    </xf>
    <xf numFmtId="3" fontId="8" fillId="0" borderId="2" xfId="3" applyNumberFormat="1" applyFont="1" applyFill="1" applyBorder="1" applyAlignment="1">
      <alignment horizontal="center" vertical="center" wrapText="1"/>
    </xf>
    <xf numFmtId="0" fontId="6" fillId="0" borderId="2" xfId="4" applyFont="1" applyBorder="1" applyAlignment="1">
      <alignment horizontal="center" vertical="center" wrapText="1"/>
    </xf>
    <xf numFmtId="3" fontId="25" fillId="0" borderId="3" xfId="1" applyNumberFormat="1" applyFont="1" applyFill="1" applyBorder="1" applyAlignment="1">
      <alignment horizontal="center" vertical="center" wrapText="1"/>
    </xf>
    <xf numFmtId="3" fontId="25" fillId="0" borderId="5" xfId="1" applyNumberFormat="1" applyFont="1" applyFill="1" applyBorder="1" applyAlignment="1">
      <alignment horizontal="center" vertical="center" wrapText="1"/>
    </xf>
    <xf numFmtId="3" fontId="37" fillId="0" borderId="2" xfId="1" applyNumberFormat="1" applyFont="1" applyFill="1" applyBorder="1" applyAlignment="1">
      <alignment horizontal="center" vertical="center" wrapText="1"/>
    </xf>
    <xf numFmtId="1" fontId="16" fillId="0" borderId="0" xfId="1" applyNumberFormat="1" applyFont="1" applyFill="1" applyAlignment="1">
      <alignment horizontal="center" vertical="center" wrapText="1"/>
    </xf>
    <xf numFmtId="1" fontId="14" fillId="0" borderId="0" xfId="1" applyNumberFormat="1" applyFont="1" applyFill="1" applyAlignment="1">
      <alignment horizontal="right" vertical="center"/>
    </xf>
    <xf numFmtId="3" fontId="8" fillId="0" borderId="9" xfId="1" applyNumberFormat="1" applyFont="1" applyFill="1" applyBorder="1" applyAlignment="1">
      <alignment horizontal="center" vertical="center" wrapText="1"/>
    </xf>
    <xf numFmtId="3" fontId="8" fillId="0" borderId="11" xfId="1" applyNumberFormat="1" applyFont="1" applyFill="1" applyBorder="1" applyAlignment="1">
      <alignment horizontal="center" vertical="center" wrapText="1"/>
    </xf>
    <xf numFmtId="3" fontId="8" fillId="0" borderId="14" xfId="1" applyNumberFormat="1" applyFont="1" applyFill="1" applyBorder="1" applyAlignment="1">
      <alignment horizontal="center" vertical="center" wrapText="1"/>
    </xf>
    <xf numFmtId="3" fontId="8" fillId="0" borderId="1" xfId="1" applyNumberFormat="1" applyFont="1" applyFill="1" applyBorder="1" applyAlignment="1">
      <alignment horizontal="center" vertical="center" wrapText="1"/>
    </xf>
    <xf numFmtId="1" fontId="8" fillId="0" borderId="0" xfId="1" applyNumberFormat="1" applyFont="1" applyFill="1" applyAlignment="1">
      <alignment horizontal="left" vertical="center" wrapText="1"/>
    </xf>
    <xf numFmtId="1" fontId="8" fillId="0" borderId="12" xfId="1" applyNumberFormat="1" applyFont="1" applyFill="1" applyBorder="1" applyAlignment="1">
      <alignment horizontal="center" vertical="center" wrapText="1"/>
    </xf>
    <xf numFmtId="1" fontId="15" fillId="0" borderId="0" xfId="1" applyNumberFormat="1" applyFont="1" applyFill="1" applyBorder="1" applyAlignment="1">
      <alignment horizontal="left" vertical="center" wrapText="1"/>
    </xf>
    <xf numFmtId="0" fontId="53" fillId="0" borderId="6" xfId="21" applyFont="1" applyBorder="1" applyAlignment="1">
      <alignment horizontal="center" vertical="center" wrapText="1" readingOrder="1"/>
    </xf>
    <xf numFmtId="0" fontId="53" fillId="0" borderId="7" xfId="21" applyFont="1" applyBorder="1" applyAlignment="1">
      <alignment horizontal="center" vertical="center" wrapText="1" readingOrder="1"/>
    </xf>
    <xf numFmtId="0" fontId="53" fillId="0" borderId="2" xfId="21" applyFont="1" applyBorder="1" applyAlignment="1">
      <alignment horizontal="center" vertical="center" wrapText="1" readingOrder="1"/>
    </xf>
    <xf numFmtId="0" fontId="49" fillId="0" borderId="0" xfId="21" applyFont="1" applyAlignment="1">
      <alignment horizontal="center" vertical="center" wrapText="1" readingOrder="1"/>
    </xf>
    <xf numFmtId="0" fontId="9" fillId="0" borderId="0" xfId="21" applyFont="1" applyAlignment="1">
      <alignment horizontal="center" vertical="center" wrapText="1" readingOrder="1"/>
    </xf>
    <xf numFmtId="0" fontId="52" fillId="0" borderId="0" xfId="21" applyFont="1" applyAlignment="1">
      <alignment horizontal="right" vertical="center" wrapText="1" readingOrder="1"/>
    </xf>
    <xf numFmtId="0" fontId="9" fillId="0" borderId="1" xfId="21" applyFont="1" applyBorder="1" applyAlignment="1">
      <alignment horizontal="right" vertical="center" wrapText="1" readingOrder="1"/>
    </xf>
    <xf numFmtId="0" fontId="53" fillId="0" borderId="3" xfId="21" applyFont="1" applyBorder="1" applyAlignment="1">
      <alignment horizontal="center" vertical="center" wrapText="1" readingOrder="1"/>
    </xf>
    <xf numFmtId="0" fontId="53" fillId="0" borderId="4" xfId="21" applyFont="1" applyBorder="1" applyAlignment="1">
      <alignment horizontal="center" vertical="center" wrapText="1" readingOrder="1"/>
    </xf>
    <xf numFmtId="0" fontId="53" fillId="0" borderId="5" xfId="21" applyFont="1" applyBorder="1" applyAlignment="1">
      <alignment horizontal="center" vertical="center" wrapText="1" readingOrder="1"/>
    </xf>
    <xf numFmtId="0" fontId="53" fillId="0" borderId="8" xfId="21" applyFont="1" applyBorder="1" applyAlignment="1">
      <alignment horizontal="center" vertical="center" wrapText="1" readingOrder="1"/>
    </xf>
    <xf numFmtId="0" fontId="50" fillId="0" borderId="2" xfId="21" applyFont="1" applyBorder="1" applyAlignment="1">
      <alignment horizontal="center" vertical="center" wrapText="1"/>
    </xf>
    <xf numFmtId="0" fontId="55" fillId="0" borderId="1" xfId="21" applyFont="1" applyBorder="1" applyAlignment="1">
      <alignment horizontal="right" vertical="center" wrapText="1" readingOrder="1"/>
    </xf>
    <xf numFmtId="49" fontId="50" fillId="0" borderId="2" xfId="21" applyNumberFormat="1" applyFont="1" applyBorder="1" applyAlignment="1">
      <alignment horizontal="center" vertical="center" wrapText="1"/>
    </xf>
    <xf numFmtId="0" fontId="50" fillId="0" borderId="0" xfId="21" applyFont="1" applyAlignment="1">
      <alignment horizontal="left" vertical="center" wrapText="1" readingOrder="1"/>
    </xf>
    <xf numFmtId="0" fontId="9" fillId="0" borderId="0" xfId="21" applyFont="1" applyAlignment="1">
      <alignment horizontal="left" vertical="center" wrapText="1" readingOrder="1"/>
    </xf>
    <xf numFmtId="0" fontId="57" fillId="0" borderId="0" xfId="21" applyFont="1" applyAlignment="1">
      <alignment horizontal="right" vertical="center" wrapText="1" readingOrder="1"/>
    </xf>
    <xf numFmtId="0" fontId="24" fillId="0" borderId="2" xfId="10" applyFont="1" applyBorder="1" applyAlignment="1">
      <alignment horizontal="center" vertical="center" wrapText="1"/>
    </xf>
    <xf numFmtId="1" fontId="35" fillId="0" borderId="0" xfId="1" applyNumberFormat="1" applyFont="1" applyFill="1" applyAlignment="1">
      <alignment horizontal="center" vertical="center" wrapText="1"/>
    </xf>
    <xf numFmtId="1" fontId="35" fillId="0" borderId="1" xfId="1" applyNumberFormat="1" applyFont="1" applyFill="1" applyBorder="1" applyAlignment="1">
      <alignment horizontal="right" vertical="center"/>
    </xf>
    <xf numFmtId="49" fontId="8" fillId="0" borderId="2" xfId="1" applyNumberFormat="1" applyFont="1" applyBorder="1" applyAlignment="1">
      <alignment horizontal="center" vertical="center" wrapText="1"/>
    </xf>
    <xf numFmtId="0" fontId="64" fillId="0" borderId="0" xfId="21" applyFont="1" applyAlignment="1">
      <alignment horizontal="center" vertical="center" wrapText="1" readingOrder="1"/>
    </xf>
  </cellXfs>
  <cellStyles count="4317">
    <cellStyle name="_x0001_" xfId="24"/>
    <cellStyle name="          _x000a__x000a_shell=progman.exe_x000a__x000a_m" xfId="25"/>
    <cellStyle name="          _x000d__x000a_shell=progman.exe_x000d__x000a_m" xfId="26"/>
    <cellStyle name="          _x005f_x000d__x005f_x000a_shell=progman.exe_x005f_x000d__x005f_x000a_m" xfId="27"/>
    <cellStyle name="_x000a__x000a_JournalTemplate=C:\COMFO\CTALK\JOURSTD.TPL_x000a__x000a_LbStateAddress=3 3 0 251 1 89 2 311_x000a__x000a_LbStateJou" xfId="28"/>
    <cellStyle name="_x000d__x000a_JournalTemplate=C:\COMFO\CTALK\JOURSTD.TPL_x000d__x000a_LbStateAddress=3 3 0 251 1 89 2 311_x000d__x000a_LbStateJou" xfId="29"/>
    <cellStyle name="#,##0" xfId="30"/>
    <cellStyle name="#,##0 2" xfId="31"/>
    <cellStyle name="." xfId="32"/>
    <cellStyle name=". 2" xfId="33"/>
    <cellStyle name=". 3" xfId="34"/>
    <cellStyle name=".d©y" xfId="35"/>
    <cellStyle name="??" xfId="36"/>
    <cellStyle name="?? [0.00]_ Att. 1- Cover" xfId="37"/>
    <cellStyle name="?? [0]" xfId="38"/>
    <cellStyle name="?? [0] 2" xfId="39"/>
    <cellStyle name="?? 2" xfId="40"/>
    <cellStyle name="?? 3" xfId="41"/>
    <cellStyle name="?? 4" xfId="42"/>
    <cellStyle name="?? 5" xfId="43"/>
    <cellStyle name="?? 6" xfId="44"/>
    <cellStyle name="?? 7" xfId="45"/>
    <cellStyle name="?_x001d_??%U©÷u&amp;H©÷9_x0008_? s_x000a__x0007__x0001__x0001_" xfId="46"/>
    <cellStyle name="?_x001d_??%U©÷u&amp;H©÷9_x0008_? s_x000a__x0007__x0001__x0001_ 10" xfId="47"/>
    <cellStyle name="?_x001d_??%U©÷u&amp;H©÷9_x0008_? s_x000a__x0007__x0001__x0001_ 11" xfId="48"/>
    <cellStyle name="?_x001d_??%U©÷u&amp;H©÷9_x0008_? s_x000a__x0007__x0001__x0001_ 12" xfId="49"/>
    <cellStyle name="?_x001d_??%U©÷u&amp;H©÷9_x0008_? s_x000a__x0007__x0001__x0001_ 13" xfId="50"/>
    <cellStyle name="?_x001d_??%U©÷u&amp;H©÷9_x0008_? s_x000a__x0007__x0001__x0001_ 14" xfId="51"/>
    <cellStyle name="?_x001d_??%U©÷u&amp;H©÷9_x0008_? s_x000a__x0007__x0001__x0001_ 15" xfId="52"/>
    <cellStyle name="?_x001d_??%U©÷u&amp;H©÷9_x0008_? s_x000a__x0007__x0001__x0001_ 2" xfId="53"/>
    <cellStyle name="?_x001d_??%U©÷u&amp;H©÷9_x0008_? s_x000a__x0007__x0001__x0001_ 3" xfId="54"/>
    <cellStyle name="?_x001d_??%U©÷u&amp;H©÷9_x0008_? s_x000a__x0007__x0001__x0001_ 4" xfId="55"/>
    <cellStyle name="?_x001d_??%U©÷u&amp;H©÷9_x0008_? s_x000a__x0007__x0001__x0001_ 5" xfId="56"/>
    <cellStyle name="?_x001d_??%U©÷u&amp;H©÷9_x0008_? s_x000a__x0007__x0001__x0001_ 6" xfId="57"/>
    <cellStyle name="?_x001d_??%U©÷u&amp;H©÷9_x0008_? s_x000a__x0007__x0001__x0001_ 7" xfId="58"/>
    <cellStyle name="?_x001d_??%U©÷u&amp;H©÷9_x0008_? s_x000a__x0007__x0001__x0001_ 8" xfId="59"/>
    <cellStyle name="?_x001d_??%U©÷u&amp;H©÷9_x0008_? s_x000a__x0007__x0001__x0001_ 9" xfId="60"/>
    <cellStyle name="???? [0.00]_      " xfId="61"/>
    <cellStyle name="??????" xfId="62"/>
    <cellStyle name="????_      " xfId="63"/>
    <cellStyle name="???[0]_?? DI" xfId="64"/>
    <cellStyle name="???_?? DI" xfId="65"/>
    <cellStyle name="??[0]_BRE" xfId="66"/>
    <cellStyle name="??_      " xfId="67"/>
    <cellStyle name="??A? [0]_laroux_1_¢¬???¢â? " xfId="68"/>
    <cellStyle name="??A?_laroux_1_¢¬???¢â? " xfId="69"/>
    <cellStyle name="?_x005f_x001d_??%U©÷u&amp;H©÷9_x005f_x0008_? s_x005f_x000a__x005f_x0007__x005f_x0001__x005f_x0001_" xfId="70"/>
    <cellStyle name="?_x005f_x001d_??%U©÷u&amp;H©÷9_x005f_x0008_?_x005f_x0009_s_x005f_x000a__x005f_x0007__x005f_x0001__x005f_x0001_" xfId="71"/>
    <cellStyle name="?_x005f_x005f_x005f_x001d_??%U©÷u&amp;H©÷9_x005f_x005f_x005f_x0008_? s_x005f_x005f_x005f_x000a__x005f_x005f_x005f_x0007__x005f_x005f_x005f_x0001__x005f_x005f_x005f_x0001_" xfId="72"/>
    <cellStyle name="?¡±¢¥?_?¨ù??¢´¢¥_¢¬???¢â? " xfId="73"/>
    <cellStyle name="?ðÇ%U?&amp;H?_x0008_?s_x000a__x0007__x0001__x0001_" xfId="74"/>
    <cellStyle name="?ðÇ%U?&amp;H?_x0008_?s_x000a__x0007__x0001__x0001_ 10" xfId="75"/>
    <cellStyle name="?ðÇ%U?&amp;H?_x0008_?s_x000a__x0007__x0001__x0001_ 11" xfId="76"/>
    <cellStyle name="?ðÇ%U?&amp;H?_x0008_?s_x000a__x0007__x0001__x0001_ 12" xfId="77"/>
    <cellStyle name="?ðÇ%U?&amp;H?_x0008_?s_x000a__x0007__x0001__x0001_ 13" xfId="78"/>
    <cellStyle name="?ðÇ%U?&amp;H?_x0008_?s_x000a__x0007__x0001__x0001_ 14" xfId="79"/>
    <cellStyle name="?ðÇ%U?&amp;H?_x0008_?s_x000a__x0007__x0001__x0001_ 15" xfId="80"/>
    <cellStyle name="?ðÇ%U?&amp;H?_x0008_?s_x000a__x0007__x0001__x0001_ 2" xfId="81"/>
    <cellStyle name="?ðÇ%U?&amp;H?_x0008_?s_x000a__x0007__x0001__x0001_ 3" xfId="82"/>
    <cellStyle name="?ðÇ%U?&amp;H?_x0008_?s_x000a__x0007__x0001__x0001_ 4" xfId="83"/>
    <cellStyle name="?ðÇ%U?&amp;H?_x0008_?s_x000a__x0007__x0001__x0001_ 5" xfId="84"/>
    <cellStyle name="?ðÇ%U?&amp;H?_x0008_?s_x000a__x0007__x0001__x0001_ 6" xfId="85"/>
    <cellStyle name="?ðÇ%U?&amp;H?_x0008_?s_x000a__x0007__x0001__x0001_ 7" xfId="86"/>
    <cellStyle name="?ðÇ%U?&amp;H?_x0008_?s_x000a__x0007__x0001__x0001_ 8" xfId="87"/>
    <cellStyle name="?ðÇ%U?&amp;H?_x0008_?s_x000a__x0007__x0001__x0001_ 9" xfId="88"/>
    <cellStyle name="?ðÇ%U?&amp;H?_x005f_x0008_?s_x005f_x000a__x005f_x0007__x005f_x0001__x005f_x0001_" xfId="89"/>
    <cellStyle name="@ET_Style?.font5" xfId="90"/>
    <cellStyle name="[0]_Chi phÝ kh¸c_V" xfId="91"/>
    <cellStyle name="_!1 1 bao cao giao KH ve HTCMT vung TNB   12-12-2011" xfId="92"/>
    <cellStyle name="_x0001__!1 1 bao cao giao KH ve HTCMT vung TNB   12-12-2011" xfId="93"/>
    <cellStyle name="_1 TONG HOP - CA NA" xfId="94"/>
    <cellStyle name="_123_DONG_THANH_Moi" xfId="95"/>
    <cellStyle name="_123_DONG_THANH_Moi_!1 1 bao cao giao KH ve HTCMT vung TNB   12-12-2011" xfId="96"/>
    <cellStyle name="_123_DONG_THANH_Moi_KH TPCP vung TNB (03-1-2012)" xfId="97"/>
    <cellStyle name="_Bang Chi tieu (2)" xfId="98"/>
    <cellStyle name="_BAO GIA NGAY 24-10-08 (co dam)" xfId="99"/>
    <cellStyle name="_BC  NAM 2007" xfId="100"/>
    <cellStyle name="_BC CV 6403 BKHĐT" xfId="101"/>
    <cellStyle name="_BC thuc hien KH 2009" xfId="102"/>
    <cellStyle name="_BC thuc hien KH 2009_15_10_2013 BC nhu cau von doi ung ODA (2014-2016) ngay 15102013 Sua" xfId="103"/>
    <cellStyle name="_BC thuc hien KH 2009_BC nhu cau von doi ung ODA nganh NN (BKH)" xfId="104"/>
    <cellStyle name="_BC thuc hien KH 2009_BC nhu cau von doi ung ODA nganh NN (BKH)_05-12  KH trung han 2016-2020 - Liem Thinh edited" xfId="105"/>
    <cellStyle name="_BC thuc hien KH 2009_BC nhu cau von doi ung ODA nganh NN (BKH)_Copy of 05-12  KH trung han 2016-2020 - Liem Thinh edited (1)" xfId="106"/>
    <cellStyle name="_BC thuc hien KH 2009_BC Tai co cau (bieu TH)" xfId="107"/>
    <cellStyle name="_BC thuc hien KH 2009_BC Tai co cau (bieu TH)_05-12  KH trung han 2016-2020 - Liem Thinh edited" xfId="108"/>
    <cellStyle name="_BC thuc hien KH 2009_BC Tai co cau (bieu TH)_Copy of 05-12  KH trung han 2016-2020 - Liem Thinh edited (1)" xfId="109"/>
    <cellStyle name="_BC thuc hien KH 2009_DK 2014-2015 final" xfId="110"/>
    <cellStyle name="_BC thuc hien KH 2009_DK 2014-2015 final_05-12  KH trung han 2016-2020 - Liem Thinh edited" xfId="111"/>
    <cellStyle name="_BC thuc hien KH 2009_DK 2014-2015 final_Copy of 05-12  KH trung han 2016-2020 - Liem Thinh edited (1)" xfId="112"/>
    <cellStyle name="_BC thuc hien KH 2009_DK 2014-2015 new" xfId="113"/>
    <cellStyle name="_BC thuc hien KH 2009_DK 2014-2015 new_05-12  KH trung han 2016-2020 - Liem Thinh edited" xfId="114"/>
    <cellStyle name="_BC thuc hien KH 2009_DK 2014-2015 new_Copy of 05-12  KH trung han 2016-2020 - Liem Thinh edited (1)" xfId="115"/>
    <cellStyle name="_BC thuc hien KH 2009_DK KH CBDT 2014 11-11-2013" xfId="116"/>
    <cellStyle name="_BC thuc hien KH 2009_DK KH CBDT 2014 11-11-2013(1)" xfId="117"/>
    <cellStyle name="_BC thuc hien KH 2009_DK KH CBDT 2014 11-11-2013(1)_05-12  KH trung han 2016-2020 - Liem Thinh edited" xfId="118"/>
    <cellStyle name="_BC thuc hien KH 2009_DK KH CBDT 2014 11-11-2013(1)_Copy of 05-12  KH trung han 2016-2020 - Liem Thinh edited (1)" xfId="119"/>
    <cellStyle name="_BC thuc hien KH 2009_DK KH CBDT 2014 11-11-2013_05-12  KH trung han 2016-2020 - Liem Thinh edited" xfId="120"/>
    <cellStyle name="_BC thuc hien KH 2009_DK KH CBDT 2014 11-11-2013_Copy of 05-12  KH trung han 2016-2020 - Liem Thinh edited (1)" xfId="121"/>
    <cellStyle name="_BC thuc hien KH 2009_KH 2011-2015" xfId="122"/>
    <cellStyle name="_BC thuc hien KH 2009_tai co cau dau tu (tong hop)1" xfId="123"/>
    <cellStyle name="_BEN TRE" xfId="124"/>
    <cellStyle name="_Bieu mau cong trinh khoi cong moi 3-4" xfId="125"/>
    <cellStyle name="_Bieu Tay Nam Bo 25-11" xfId="126"/>
    <cellStyle name="_Bieu3ODA" xfId="127"/>
    <cellStyle name="_Bieu3ODA_1" xfId="128"/>
    <cellStyle name="_Bieu4HTMT" xfId="129"/>
    <cellStyle name="_Bieu4HTMT_!1 1 bao cao giao KH ve HTCMT vung TNB   12-12-2011" xfId="130"/>
    <cellStyle name="_Bieu4HTMT_KH TPCP vung TNB (03-1-2012)" xfId="131"/>
    <cellStyle name="_Book1" xfId="132"/>
    <cellStyle name="_Book1 2" xfId="133"/>
    <cellStyle name="_Book1_!1 1 bao cao giao KH ve HTCMT vung TNB   12-12-2011" xfId="134"/>
    <cellStyle name="_Book1_1" xfId="135"/>
    <cellStyle name="_Book1_BC-QT-WB-dthao" xfId="136"/>
    <cellStyle name="_Book1_BC-QT-WB-dthao_05-12  KH trung han 2016-2020 - Liem Thinh edited" xfId="137"/>
    <cellStyle name="_Book1_BC-QT-WB-dthao_Copy of 05-12  KH trung han 2016-2020 - Liem Thinh edited (1)" xfId="138"/>
    <cellStyle name="_Book1_BC-QT-WB-dthao_KH TPCP 2016-2020 (tong hop)" xfId="139"/>
    <cellStyle name="_Book1_Bieu3ODA" xfId="140"/>
    <cellStyle name="_Book1_Bieu4HTMT" xfId="141"/>
    <cellStyle name="_Book1_Bieu4HTMT_!1 1 bao cao giao KH ve HTCMT vung TNB   12-12-2011" xfId="142"/>
    <cellStyle name="_Book1_Bieu4HTMT_KH TPCP vung TNB (03-1-2012)" xfId="143"/>
    <cellStyle name="_Book1_bo sung von KCH nam 2010 va Du an tre kho khan" xfId="144"/>
    <cellStyle name="_Book1_bo sung von KCH nam 2010 va Du an tre kho khan_!1 1 bao cao giao KH ve HTCMT vung TNB   12-12-2011" xfId="145"/>
    <cellStyle name="_Book1_bo sung von KCH nam 2010 va Du an tre kho khan_KH TPCP vung TNB (03-1-2012)" xfId="146"/>
    <cellStyle name="_Book1_cong hang rao" xfId="147"/>
    <cellStyle name="_Book1_cong hang rao_!1 1 bao cao giao KH ve HTCMT vung TNB   12-12-2011" xfId="148"/>
    <cellStyle name="_Book1_cong hang rao_KH TPCP vung TNB (03-1-2012)" xfId="149"/>
    <cellStyle name="_Book1_danh muc chuan bi dau tu 2011 ngay 07-6-2011" xfId="150"/>
    <cellStyle name="_Book1_danh muc chuan bi dau tu 2011 ngay 07-6-2011_!1 1 bao cao giao KH ve HTCMT vung TNB   12-12-2011" xfId="151"/>
    <cellStyle name="_Book1_danh muc chuan bi dau tu 2011 ngay 07-6-2011_KH TPCP vung TNB (03-1-2012)" xfId="152"/>
    <cellStyle name="_Book1_Danh muc pbo nguon von XSKT, XDCB nam 2009 chuyen qua nam 2010" xfId="153"/>
    <cellStyle name="_Book1_Danh muc pbo nguon von XSKT, XDCB nam 2009 chuyen qua nam 2010_!1 1 bao cao giao KH ve HTCMT vung TNB   12-12-2011" xfId="154"/>
    <cellStyle name="_Book1_Danh muc pbo nguon von XSKT, XDCB nam 2009 chuyen qua nam 2010_KH TPCP vung TNB (03-1-2012)" xfId="155"/>
    <cellStyle name="_Book1_dieu chinh KH 2011 ngay 26-5-2011111" xfId="156"/>
    <cellStyle name="_Book1_dieu chinh KH 2011 ngay 26-5-2011111_!1 1 bao cao giao KH ve HTCMT vung TNB   12-12-2011" xfId="157"/>
    <cellStyle name="_Book1_dieu chinh KH 2011 ngay 26-5-2011111_KH TPCP vung TNB (03-1-2012)" xfId="158"/>
    <cellStyle name="_Book1_DS KCH PHAN BO VON NSDP NAM 2010" xfId="159"/>
    <cellStyle name="_Book1_DS KCH PHAN BO VON NSDP NAM 2010_!1 1 bao cao giao KH ve HTCMT vung TNB   12-12-2011" xfId="160"/>
    <cellStyle name="_Book1_DS KCH PHAN BO VON NSDP NAM 2010_KH TPCP vung TNB (03-1-2012)" xfId="161"/>
    <cellStyle name="_Book1_giao KH 2011 ngay 10-12-2010" xfId="162"/>
    <cellStyle name="_Book1_giao KH 2011 ngay 10-12-2010_!1 1 bao cao giao KH ve HTCMT vung TNB   12-12-2011" xfId="163"/>
    <cellStyle name="_Book1_giao KH 2011 ngay 10-12-2010_KH TPCP vung TNB (03-1-2012)" xfId="164"/>
    <cellStyle name="_Book1_IN" xfId="165"/>
    <cellStyle name="_Book1_kien giang 2" xfId="166"/>
    <cellStyle name="_Book1_Kh ql62 (2010) 11-09" xfId="167"/>
    <cellStyle name="_Book1_KH TPCP vung TNB (03-1-2012)" xfId="168"/>
    <cellStyle name="_Book1_Khung 2012" xfId="169"/>
    <cellStyle name="_Book1_phu luc tong ket tinh hinh TH giai doan 03-10 (ngay 30)" xfId="170"/>
    <cellStyle name="_Book1_phu luc tong ket tinh hinh TH giai doan 03-10 (ngay 30)_!1 1 bao cao giao KH ve HTCMT vung TNB   12-12-2011" xfId="171"/>
    <cellStyle name="_Book1_phu luc tong ket tinh hinh TH giai doan 03-10 (ngay 30)_KH TPCP vung TNB (03-1-2012)" xfId="172"/>
    <cellStyle name="_C.cong+B.luong-Sanluong" xfId="173"/>
    <cellStyle name="_cong hang rao" xfId="174"/>
    <cellStyle name="_dien chieu sang" xfId="175"/>
    <cellStyle name="_DK KH 2009" xfId="176"/>
    <cellStyle name="_DK KH 2009_15_10_2013 BC nhu cau von doi ung ODA (2014-2016) ngay 15102013 Sua" xfId="177"/>
    <cellStyle name="_DK KH 2009_BC nhu cau von doi ung ODA nganh NN (BKH)" xfId="178"/>
    <cellStyle name="_DK KH 2009_BC nhu cau von doi ung ODA nganh NN (BKH)_05-12  KH trung han 2016-2020 - Liem Thinh edited" xfId="179"/>
    <cellStyle name="_DK KH 2009_BC nhu cau von doi ung ODA nganh NN (BKH)_Copy of 05-12  KH trung han 2016-2020 - Liem Thinh edited (1)" xfId="180"/>
    <cellStyle name="_DK KH 2009_BC Tai co cau (bieu TH)" xfId="181"/>
    <cellStyle name="_DK KH 2009_BC Tai co cau (bieu TH)_05-12  KH trung han 2016-2020 - Liem Thinh edited" xfId="182"/>
    <cellStyle name="_DK KH 2009_BC Tai co cau (bieu TH)_Copy of 05-12  KH trung han 2016-2020 - Liem Thinh edited (1)" xfId="183"/>
    <cellStyle name="_DK KH 2009_DK 2014-2015 final" xfId="184"/>
    <cellStyle name="_DK KH 2009_DK 2014-2015 final_05-12  KH trung han 2016-2020 - Liem Thinh edited" xfId="185"/>
    <cellStyle name="_DK KH 2009_DK 2014-2015 final_Copy of 05-12  KH trung han 2016-2020 - Liem Thinh edited (1)" xfId="186"/>
    <cellStyle name="_DK KH 2009_DK 2014-2015 new" xfId="187"/>
    <cellStyle name="_DK KH 2009_DK 2014-2015 new_05-12  KH trung han 2016-2020 - Liem Thinh edited" xfId="188"/>
    <cellStyle name="_DK KH 2009_DK 2014-2015 new_Copy of 05-12  KH trung han 2016-2020 - Liem Thinh edited (1)" xfId="189"/>
    <cellStyle name="_DK KH 2009_DK KH CBDT 2014 11-11-2013" xfId="190"/>
    <cellStyle name="_DK KH 2009_DK KH CBDT 2014 11-11-2013(1)" xfId="191"/>
    <cellStyle name="_DK KH 2009_DK KH CBDT 2014 11-11-2013(1)_05-12  KH trung han 2016-2020 - Liem Thinh edited" xfId="192"/>
    <cellStyle name="_DK KH 2009_DK KH CBDT 2014 11-11-2013(1)_Copy of 05-12  KH trung han 2016-2020 - Liem Thinh edited (1)" xfId="193"/>
    <cellStyle name="_DK KH 2009_DK KH CBDT 2014 11-11-2013_05-12  KH trung han 2016-2020 - Liem Thinh edited" xfId="194"/>
    <cellStyle name="_DK KH 2009_DK KH CBDT 2014 11-11-2013_Copy of 05-12  KH trung han 2016-2020 - Liem Thinh edited (1)" xfId="195"/>
    <cellStyle name="_DK KH 2009_KH 2011-2015" xfId="196"/>
    <cellStyle name="_DK KH 2009_tai co cau dau tu (tong hop)1" xfId="197"/>
    <cellStyle name="_DK KH 2010" xfId="198"/>
    <cellStyle name="_DK KH 2010 (BKH)" xfId="199"/>
    <cellStyle name="_DK KH 2010_15_10_2013 BC nhu cau von doi ung ODA (2014-2016) ngay 15102013 Sua" xfId="200"/>
    <cellStyle name="_DK KH 2010_BC nhu cau von doi ung ODA nganh NN (BKH)" xfId="201"/>
    <cellStyle name="_DK KH 2010_BC nhu cau von doi ung ODA nganh NN (BKH)_05-12  KH trung han 2016-2020 - Liem Thinh edited" xfId="202"/>
    <cellStyle name="_DK KH 2010_BC nhu cau von doi ung ODA nganh NN (BKH)_Copy of 05-12  KH trung han 2016-2020 - Liem Thinh edited (1)" xfId="203"/>
    <cellStyle name="_DK KH 2010_BC Tai co cau (bieu TH)" xfId="204"/>
    <cellStyle name="_DK KH 2010_BC Tai co cau (bieu TH)_05-12  KH trung han 2016-2020 - Liem Thinh edited" xfId="205"/>
    <cellStyle name="_DK KH 2010_BC Tai co cau (bieu TH)_Copy of 05-12  KH trung han 2016-2020 - Liem Thinh edited (1)" xfId="206"/>
    <cellStyle name="_DK KH 2010_DK 2014-2015 final" xfId="207"/>
    <cellStyle name="_DK KH 2010_DK 2014-2015 final_05-12  KH trung han 2016-2020 - Liem Thinh edited" xfId="208"/>
    <cellStyle name="_DK KH 2010_DK 2014-2015 final_Copy of 05-12  KH trung han 2016-2020 - Liem Thinh edited (1)" xfId="209"/>
    <cellStyle name="_DK KH 2010_DK 2014-2015 new" xfId="210"/>
    <cellStyle name="_DK KH 2010_DK 2014-2015 new_05-12  KH trung han 2016-2020 - Liem Thinh edited" xfId="211"/>
    <cellStyle name="_DK KH 2010_DK 2014-2015 new_Copy of 05-12  KH trung han 2016-2020 - Liem Thinh edited (1)" xfId="212"/>
    <cellStyle name="_DK KH 2010_DK KH CBDT 2014 11-11-2013" xfId="213"/>
    <cellStyle name="_DK KH 2010_DK KH CBDT 2014 11-11-2013(1)" xfId="214"/>
    <cellStyle name="_DK KH 2010_DK KH CBDT 2014 11-11-2013(1)_05-12  KH trung han 2016-2020 - Liem Thinh edited" xfId="215"/>
    <cellStyle name="_DK KH 2010_DK KH CBDT 2014 11-11-2013(1)_Copy of 05-12  KH trung han 2016-2020 - Liem Thinh edited (1)" xfId="216"/>
    <cellStyle name="_DK KH 2010_DK KH CBDT 2014 11-11-2013_05-12  KH trung han 2016-2020 - Liem Thinh edited" xfId="217"/>
    <cellStyle name="_DK KH 2010_DK KH CBDT 2014 11-11-2013_Copy of 05-12  KH trung han 2016-2020 - Liem Thinh edited (1)" xfId="218"/>
    <cellStyle name="_DK KH 2010_KH 2011-2015" xfId="219"/>
    <cellStyle name="_DK KH 2010_tai co cau dau tu (tong hop)1" xfId="220"/>
    <cellStyle name="_DK TPCP 2010" xfId="221"/>
    <cellStyle name="_DO-D1500-KHONG CO TRONG DT" xfId="222"/>
    <cellStyle name="_Dong Thap" xfId="223"/>
    <cellStyle name="_Duyet TK thay đôi" xfId="224"/>
    <cellStyle name="_Duyet TK thay đôi_!1 1 bao cao giao KH ve HTCMT vung TNB   12-12-2011" xfId="225"/>
    <cellStyle name="_Duyet TK thay đôi_Bieu4HTMT" xfId="226"/>
    <cellStyle name="_Duyet TK thay đôi_Bieu4HTMT_!1 1 bao cao giao KH ve HTCMT vung TNB   12-12-2011" xfId="227"/>
    <cellStyle name="_Duyet TK thay đôi_Bieu4HTMT_KH TPCP vung TNB (03-1-2012)" xfId="228"/>
    <cellStyle name="_Duyet TK thay đôi_KH TPCP vung TNB (03-1-2012)" xfId="229"/>
    <cellStyle name="_GOITHAUSO2" xfId="230"/>
    <cellStyle name="_GOITHAUSO3" xfId="231"/>
    <cellStyle name="_GOITHAUSO4" xfId="232"/>
    <cellStyle name="_GTGT 2003" xfId="233"/>
    <cellStyle name="_Gui VU KH 5-5-09" xfId="234"/>
    <cellStyle name="_Gui VU KH 5-5-09_05-12  KH trung han 2016-2020 - Liem Thinh edited" xfId="235"/>
    <cellStyle name="_Gui VU KH 5-5-09_Copy of 05-12  KH trung han 2016-2020 - Liem Thinh edited (1)" xfId="236"/>
    <cellStyle name="_Gui VU KH 5-5-09_KH TPCP 2016-2020 (tong hop)" xfId="237"/>
    <cellStyle name="_HaHoa_TDT_DienCSang" xfId="238"/>
    <cellStyle name="_HaHoa19-5-07" xfId="239"/>
    <cellStyle name="_IN" xfId="240"/>
    <cellStyle name="_IN_!1 1 bao cao giao KH ve HTCMT vung TNB   12-12-2011" xfId="241"/>
    <cellStyle name="_IN_KH TPCP vung TNB (03-1-2012)" xfId="242"/>
    <cellStyle name="_KE KHAI THUE GTGT 2004" xfId="243"/>
    <cellStyle name="_KE KHAI THUE GTGT 2004_BCTC2004" xfId="244"/>
    <cellStyle name="_x0001__kien giang 2" xfId="245"/>
    <cellStyle name="_KT (2)" xfId="246"/>
    <cellStyle name="_KT (2) 2" xfId="247"/>
    <cellStyle name="_KT (2)_05-12  KH trung han 2016-2020 - Liem Thinh edited" xfId="248"/>
    <cellStyle name="_KT (2)_1" xfId="249"/>
    <cellStyle name="_KT (2)_1 2" xfId="250"/>
    <cellStyle name="_KT (2)_1_05-12  KH trung han 2016-2020 - Liem Thinh edited" xfId="251"/>
    <cellStyle name="_KT (2)_1_Copy of 05-12  KH trung han 2016-2020 - Liem Thinh edited (1)" xfId="252"/>
    <cellStyle name="_KT (2)_1_KH TPCP 2016-2020 (tong hop)" xfId="253"/>
    <cellStyle name="_KT (2)_1_Lora-tungchau" xfId="254"/>
    <cellStyle name="_KT (2)_1_Lora-tungchau 2" xfId="255"/>
    <cellStyle name="_KT (2)_1_Lora-tungchau_05-12  KH trung han 2016-2020 - Liem Thinh edited" xfId="256"/>
    <cellStyle name="_KT (2)_1_Lora-tungchau_Copy of 05-12  KH trung han 2016-2020 - Liem Thinh edited (1)" xfId="257"/>
    <cellStyle name="_KT (2)_1_Lora-tungchau_KH TPCP 2016-2020 (tong hop)" xfId="258"/>
    <cellStyle name="_KT (2)_1_Qt-HT3PQ1(CauKho)" xfId="259"/>
    <cellStyle name="_KT (2)_2" xfId="260"/>
    <cellStyle name="_KT (2)_2_TG-TH" xfId="261"/>
    <cellStyle name="_KT (2)_2_TG-TH 2" xfId="262"/>
    <cellStyle name="_KT (2)_2_TG-TH_05-12  KH trung han 2016-2020 - Liem Thinh edited" xfId="263"/>
    <cellStyle name="_KT (2)_2_TG-TH_ApGiaVatTu_cayxanh_latgach" xfId="264"/>
    <cellStyle name="_KT (2)_2_TG-TH_BANG TONG HOP TINH HINH THANH QUYET TOAN (MOI I)" xfId="265"/>
    <cellStyle name="_KT (2)_2_TG-TH_BAO CAO KLCT PT2000" xfId="266"/>
    <cellStyle name="_KT (2)_2_TG-TH_BAO CAO PT2000" xfId="267"/>
    <cellStyle name="_KT (2)_2_TG-TH_BAO CAO PT2000_Book1" xfId="268"/>
    <cellStyle name="_KT (2)_2_TG-TH_Bao cao XDCB 2001 - T11 KH dieu chinh 20-11-THAI" xfId="269"/>
    <cellStyle name="_KT (2)_2_TG-TH_BAO GIA NGAY 24-10-08 (co dam)" xfId="270"/>
    <cellStyle name="_KT (2)_2_TG-TH_BC  NAM 2007" xfId="271"/>
    <cellStyle name="_KT (2)_2_TG-TH_BC CV 6403 BKHĐT" xfId="272"/>
    <cellStyle name="_KT (2)_2_TG-TH_BC NQ11-CP - chinh sua lai" xfId="273"/>
    <cellStyle name="_KT (2)_2_TG-TH_BC NQ11-CP-Quynh sau bieu so3" xfId="274"/>
    <cellStyle name="_KT (2)_2_TG-TH_BC_NQ11-CP_-_Thao_sua_lai" xfId="275"/>
    <cellStyle name="_KT (2)_2_TG-TH_Bieu mau cong trinh khoi cong moi 3-4" xfId="276"/>
    <cellStyle name="_KT (2)_2_TG-TH_Bieu3ODA" xfId="277"/>
    <cellStyle name="_KT (2)_2_TG-TH_Bieu3ODA_1" xfId="278"/>
    <cellStyle name="_KT (2)_2_TG-TH_Bieu4HTMT" xfId="279"/>
    <cellStyle name="_KT (2)_2_TG-TH_bo sung von KCH nam 2010 va Du an tre kho khan" xfId="280"/>
    <cellStyle name="_KT (2)_2_TG-TH_Book1" xfId="281"/>
    <cellStyle name="_KT (2)_2_TG-TH_Book1 2" xfId="282"/>
    <cellStyle name="_KT (2)_2_TG-TH_Book1_1" xfId="283"/>
    <cellStyle name="_KT (2)_2_TG-TH_Book1_1 2" xfId="284"/>
    <cellStyle name="_KT (2)_2_TG-TH_Book1_1_BC CV 6403 BKHĐT" xfId="285"/>
    <cellStyle name="_KT (2)_2_TG-TH_Book1_1_Bieu mau cong trinh khoi cong moi 3-4" xfId="286"/>
    <cellStyle name="_KT (2)_2_TG-TH_Book1_1_Bieu3ODA" xfId="287"/>
    <cellStyle name="_KT (2)_2_TG-TH_Book1_1_Bieu4HTMT" xfId="288"/>
    <cellStyle name="_KT (2)_2_TG-TH_Book1_1_Book1" xfId="289"/>
    <cellStyle name="_KT (2)_2_TG-TH_Book1_1_Luy ke von ung nam 2011 -Thoa gui ngay 12-8-2012" xfId="290"/>
    <cellStyle name="_KT (2)_2_TG-TH_Book1_2" xfId="291"/>
    <cellStyle name="_KT (2)_2_TG-TH_Book1_2 2" xfId="292"/>
    <cellStyle name="_KT (2)_2_TG-TH_Book1_2_BC CV 6403 BKHĐT" xfId="293"/>
    <cellStyle name="_KT (2)_2_TG-TH_Book1_2_Bieu3ODA" xfId="294"/>
    <cellStyle name="_KT (2)_2_TG-TH_Book1_2_Luy ke von ung nam 2011 -Thoa gui ngay 12-8-2012" xfId="295"/>
    <cellStyle name="_KT (2)_2_TG-TH_Book1_3" xfId="296"/>
    <cellStyle name="_KT (2)_2_TG-TH_Book1_3 2" xfId="297"/>
    <cellStyle name="_KT (2)_2_TG-TH_Book1_BC CV 6403 BKHĐT" xfId="298"/>
    <cellStyle name="_KT (2)_2_TG-TH_Book1_Bieu mau cong trinh khoi cong moi 3-4" xfId="299"/>
    <cellStyle name="_KT (2)_2_TG-TH_Book1_Bieu3ODA" xfId="300"/>
    <cellStyle name="_KT (2)_2_TG-TH_Book1_Bieu4HTMT" xfId="301"/>
    <cellStyle name="_KT (2)_2_TG-TH_Book1_bo sung von KCH nam 2010 va Du an tre kho khan" xfId="302"/>
    <cellStyle name="_KT (2)_2_TG-TH_Book1_Book1" xfId="303"/>
    <cellStyle name="_KT (2)_2_TG-TH_Book1_danh muc chuan bi dau tu 2011 ngay 07-6-2011" xfId="304"/>
    <cellStyle name="_KT (2)_2_TG-TH_Book1_Danh muc pbo nguon von XSKT, XDCB nam 2009 chuyen qua nam 2010" xfId="305"/>
    <cellStyle name="_KT (2)_2_TG-TH_Book1_dieu chinh KH 2011 ngay 26-5-2011111" xfId="306"/>
    <cellStyle name="_KT (2)_2_TG-TH_Book1_DS KCH PHAN BO VON NSDP NAM 2010" xfId="307"/>
    <cellStyle name="_KT (2)_2_TG-TH_Book1_giao KH 2011 ngay 10-12-2010" xfId="308"/>
    <cellStyle name="_KT (2)_2_TG-TH_Book1_Luy ke von ung nam 2011 -Thoa gui ngay 12-8-2012" xfId="309"/>
    <cellStyle name="_KT (2)_2_TG-TH_CAU Khanh Nam(Thi Cong)" xfId="310"/>
    <cellStyle name="_KT (2)_2_TG-TH_CoCauPhi (version 1)" xfId="311"/>
    <cellStyle name="_KT (2)_2_TG-TH_Copy of 05-12  KH trung han 2016-2020 - Liem Thinh edited (1)" xfId="312"/>
    <cellStyle name="_KT (2)_2_TG-TH_ChiHuong_ApGia" xfId="313"/>
    <cellStyle name="_KT (2)_2_TG-TH_danh muc chuan bi dau tu 2011 ngay 07-6-2011" xfId="314"/>
    <cellStyle name="_KT (2)_2_TG-TH_Danh muc pbo nguon von XSKT, XDCB nam 2009 chuyen qua nam 2010" xfId="315"/>
    <cellStyle name="_KT (2)_2_TG-TH_DAU NOI PL-CL TAI PHU LAMHC" xfId="316"/>
    <cellStyle name="_KT (2)_2_TG-TH_dieu chinh KH 2011 ngay 26-5-2011111" xfId="317"/>
    <cellStyle name="_KT (2)_2_TG-TH_DS KCH PHAN BO VON NSDP NAM 2010" xfId="318"/>
    <cellStyle name="_KT (2)_2_TG-TH_DTCDT MR.2N110.HOCMON.TDTOAN.CCUNG" xfId="319"/>
    <cellStyle name="_KT (2)_2_TG-TH_DU TRU VAT TU" xfId="320"/>
    <cellStyle name="_KT (2)_2_TG-TH_GTGT 2003" xfId="321"/>
    <cellStyle name="_KT (2)_2_TG-TH_giao KH 2011 ngay 10-12-2010" xfId="322"/>
    <cellStyle name="_KT (2)_2_TG-TH_KE KHAI THUE GTGT 2004" xfId="323"/>
    <cellStyle name="_KT (2)_2_TG-TH_KE KHAI THUE GTGT 2004_BCTC2004" xfId="324"/>
    <cellStyle name="_KT (2)_2_TG-TH_kien giang 2" xfId="325"/>
    <cellStyle name="_KT (2)_2_TG-TH_KH TPCP 2016-2020 (tong hop)" xfId="326"/>
    <cellStyle name="_KT (2)_2_TG-TH_KH TPCP vung TNB (03-1-2012)" xfId="327"/>
    <cellStyle name="_KT (2)_2_TG-TH_Lora-tungchau" xfId="328"/>
    <cellStyle name="_KT (2)_2_TG-TH_Luy ke von ung nam 2011 -Thoa gui ngay 12-8-2012" xfId="329"/>
    <cellStyle name="_KT (2)_2_TG-TH_N-X-T-04" xfId="330"/>
    <cellStyle name="_KT (2)_2_TG-TH_NhanCong" xfId="331"/>
    <cellStyle name="_KT (2)_2_TG-TH_PGIA-phieu tham tra Kho bac" xfId="332"/>
    <cellStyle name="_KT (2)_2_TG-TH_PT02-02" xfId="333"/>
    <cellStyle name="_KT (2)_2_TG-TH_PT02-02_Book1" xfId="334"/>
    <cellStyle name="_KT (2)_2_TG-TH_PT02-03" xfId="335"/>
    <cellStyle name="_KT (2)_2_TG-TH_PT02-03_Book1" xfId="336"/>
    <cellStyle name="_KT (2)_2_TG-TH_phu luc tong ket tinh hinh TH giai doan 03-10 (ngay 30)" xfId="337"/>
    <cellStyle name="_KT (2)_2_TG-TH_Qt-HT3PQ1(CauKho)" xfId="338"/>
    <cellStyle name="_KT (2)_2_TG-TH_Sheet1" xfId="339"/>
    <cellStyle name="_KT (2)_2_TG-TH_TK152-04" xfId="340"/>
    <cellStyle name="_KT (2)_2_TG-TH_ÿÿÿÿÿ" xfId="341"/>
    <cellStyle name="_KT (2)_2_TG-TH_ÿÿÿÿÿ_Bieu mau cong trinh khoi cong moi 3-4" xfId="342"/>
    <cellStyle name="_KT (2)_2_TG-TH_ÿÿÿÿÿ_Bieu3ODA" xfId="343"/>
    <cellStyle name="_KT (2)_2_TG-TH_ÿÿÿÿÿ_Bieu4HTMT" xfId="344"/>
    <cellStyle name="_KT (2)_2_TG-TH_ÿÿÿÿÿ_kien giang 2" xfId="345"/>
    <cellStyle name="_KT (2)_2_TG-TH_ÿÿÿÿÿ_KH TPCP vung TNB (03-1-2012)" xfId="346"/>
    <cellStyle name="_KT (2)_3" xfId="347"/>
    <cellStyle name="_KT (2)_3_TG-TH" xfId="348"/>
    <cellStyle name="_KT (2)_3_TG-TH 2" xfId="349"/>
    <cellStyle name="_KT (2)_3_TG-TH_05-12  KH trung han 2016-2020 - Liem Thinh edited" xfId="350"/>
    <cellStyle name="_KT (2)_3_TG-TH_BC  NAM 2007" xfId="351"/>
    <cellStyle name="_KT (2)_3_TG-TH_Bieu mau cong trinh khoi cong moi 3-4" xfId="352"/>
    <cellStyle name="_KT (2)_3_TG-TH_Bieu3ODA" xfId="353"/>
    <cellStyle name="_KT (2)_3_TG-TH_Bieu3ODA_1" xfId="354"/>
    <cellStyle name="_KT (2)_3_TG-TH_Bieu4HTMT" xfId="355"/>
    <cellStyle name="_KT (2)_3_TG-TH_bo sung von KCH nam 2010 va Du an tre kho khan" xfId="356"/>
    <cellStyle name="_KT (2)_3_TG-TH_Book1" xfId="357"/>
    <cellStyle name="_KT (2)_3_TG-TH_Book1 2" xfId="358"/>
    <cellStyle name="_KT (2)_3_TG-TH_Book1_BC-QT-WB-dthao" xfId="359"/>
    <cellStyle name="_KT (2)_3_TG-TH_Book1_BC-QT-WB-dthao_05-12  KH trung han 2016-2020 - Liem Thinh edited" xfId="360"/>
    <cellStyle name="_KT (2)_3_TG-TH_Book1_BC-QT-WB-dthao_Copy of 05-12  KH trung han 2016-2020 - Liem Thinh edited (1)" xfId="361"/>
    <cellStyle name="_KT (2)_3_TG-TH_Book1_BC-QT-WB-dthao_KH TPCP 2016-2020 (tong hop)" xfId="362"/>
    <cellStyle name="_KT (2)_3_TG-TH_Book1_kien giang 2" xfId="363"/>
    <cellStyle name="_KT (2)_3_TG-TH_Book1_KH TPCP vung TNB (03-1-2012)" xfId="364"/>
    <cellStyle name="_KT (2)_3_TG-TH_Copy of 05-12  KH trung han 2016-2020 - Liem Thinh edited (1)" xfId="365"/>
    <cellStyle name="_KT (2)_3_TG-TH_danh muc chuan bi dau tu 2011 ngay 07-6-2011" xfId="366"/>
    <cellStyle name="_KT (2)_3_TG-TH_Danh muc pbo nguon von XSKT, XDCB nam 2009 chuyen qua nam 2010" xfId="367"/>
    <cellStyle name="_KT (2)_3_TG-TH_dieu chinh KH 2011 ngay 26-5-2011111" xfId="368"/>
    <cellStyle name="_KT (2)_3_TG-TH_DS KCH PHAN BO VON NSDP NAM 2010" xfId="369"/>
    <cellStyle name="_KT (2)_3_TG-TH_GTGT 2003" xfId="370"/>
    <cellStyle name="_KT (2)_3_TG-TH_giao KH 2011 ngay 10-12-2010" xfId="371"/>
    <cellStyle name="_KT (2)_3_TG-TH_KE KHAI THUE GTGT 2004" xfId="372"/>
    <cellStyle name="_KT (2)_3_TG-TH_KE KHAI THUE GTGT 2004_BCTC2004" xfId="373"/>
    <cellStyle name="_KT (2)_3_TG-TH_kien giang 2" xfId="374"/>
    <cellStyle name="_KT (2)_3_TG-TH_KH TPCP 2016-2020 (tong hop)" xfId="375"/>
    <cellStyle name="_KT (2)_3_TG-TH_KH TPCP vung TNB (03-1-2012)" xfId="376"/>
    <cellStyle name="_KT (2)_3_TG-TH_Lora-tungchau" xfId="377"/>
    <cellStyle name="_KT (2)_3_TG-TH_Lora-tungchau 2" xfId="378"/>
    <cellStyle name="_KT (2)_3_TG-TH_Lora-tungchau_05-12  KH trung han 2016-2020 - Liem Thinh edited" xfId="379"/>
    <cellStyle name="_KT (2)_3_TG-TH_Lora-tungchau_Copy of 05-12  KH trung han 2016-2020 - Liem Thinh edited (1)" xfId="380"/>
    <cellStyle name="_KT (2)_3_TG-TH_Lora-tungchau_KH TPCP 2016-2020 (tong hop)" xfId="381"/>
    <cellStyle name="_KT (2)_3_TG-TH_N-X-T-04" xfId="382"/>
    <cellStyle name="_KT (2)_3_TG-TH_PERSONAL" xfId="383"/>
    <cellStyle name="_KT (2)_3_TG-TH_PERSONAL_BC CV 6403 BKHĐT" xfId="384"/>
    <cellStyle name="_KT (2)_3_TG-TH_PERSONAL_Bieu mau cong trinh khoi cong moi 3-4" xfId="385"/>
    <cellStyle name="_KT (2)_3_TG-TH_PERSONAL_Bieu3ODA" xfId="386"/>
    <cellStyle name="_KT (2)_3_TG-TH_PERSONAL_Bieu4HTMT" xfId="387"/>
    <cellStyle name="_KT (2)_3_TG-TH_PERSONAL_Book1" xfId="388"/>
    <cellStyle name="_KT (2)_3_TG-TH_PERSONAL_Book1 2" xfId="389"/>
    <cellStyle name="_KT (2)_3_TG-TH_PERSONAL_HTQ.8 GD1" xfId="390"/>
    <cellStyle name="_KT (2)_3_TG-TH_PERSONAL_HTQ.8 GD1_05-12  KH trung han 2016-2020 - Liem Thinh edited" xfId="391"/>
    <cellStyle name="_KT (2)_3_TG-TH_PERSONAL_HTQ.8 GD1_Copy of 05-12  KH trung han 2016-2020 - Liem Thinh edited (1)" xfId="392"/>
    <cellStyle name="_KT (2)_3_TG-TH_PERSONAL_HTQ.8 GD1_KH TPCP 2016-2020 (tong hop)" xfId="393"/>
    <cellStyle name="_KT (2)_3_TG-TH_PERSONAL_Luy ke von ung nam 2011 -Thoa gui ngay 12-8-2012" xfId="394"/>
    <cellStyle name="_KT (2)_3_TG-TH_PERSONAL_Tong hop KHCB 2001" xfId="395"/>
    <cellStyle name="_KT (2)_3_TG-TH_Qt-HT3PQ1(CauKho)" xfId="396"/>
    <cellStyle name="_KT (2)_3_TG-TH_TK152-04" xfId="397"/>
    <cellStyle name="_KT (2)_3_TG-TH_ÿÿÿÿÿ" xfId="398"/>
    <cellStyle name="_KT (2)_3_TG-TH_ÿÿÿÿÿ_kien giang 2" xfId="399"/>
    <cellStyle name="_KT (2)_3_TG-TH_ÿÿÿÿÿ_KH TPCP vung TNB (03-1-2012)" xfId="400"/>
    <cellStyle name="_KT (2)_4" xfId="401"/>
    <cellStyle name="_KT (2)_4 2" xfId="402"/>
    <cellStyle name="_KT (2)_4_05-12  KH trung han 2016-2020 - Liem Thinh edited" xfId="403"/>
    <cellStyle name="_KT (2)_4_ApGiaVatTu_cayxanh_latgach" xfId="404"/>
    <cellStyle name="_KT (2)_4_BANG TONG HOP TINH HINH THANH QUYET TOAN (MOI I)" xfId="405"/>
    <cellStyle name="_KT (2)_4_BAO CAO KLCT PT2000" xfId="406"/>
    <cellStyle name="_KT (2)_4_BAO CAO PT2000" xfId="407"/>
    <cellStyle name="_KT (2)_4_BAO CAO PT2000_Book1" xfId="408"/>
    <cellStyle name="_KT (2)_4_Bao cao XDCB 2001 - T11 KH dieu chinh 20-11-THAI" xfId="409"/>
    <cellStyle name="_KT (2)_4_BAO GIA NGAY 24-10-08 (co dam)" xfId="410"/>
    <cellStyle name="_KT (2)_4_BC  NAM 2007" xfId="411"/>
    <cellStyle name="_KT (2)_4_BC CV 6403 BKHĐT" xfId="412"/>
    <cellStyle name="_KT (2)_4_BC NQ11-CP - chinh sua lai" xfId="413"/>
    <cellStyle name="_KT (2)_4_BC NQ11-CP-Quynh sau bieu so3" xfId="414"/>
    <cellStyle name="_KT (2)_4_BC_NQ11-CP_-_Thao_sua_lai" xfId="415"/>
    <cellStyle name="_KT (2)_4_Bieu mau cong trinh khoi cong moi 3-4" xfId="416"/>
    <cellStyle name="_KT (2)_4_Bieu3ODA" xfId="417"/>
    <cellStyle name="_KT (2)_4_Bieu3ODA_1" xfId="418"/>
    <cellStyle name="_KT (2)_4_Bieu4HTMT" xfId="419"/>
    <cellStyle name="_KT (2)_4_bo sung von KCH nam 2010 va Du an tre kho khan" xfId="420"/>
    <cellStyle name="_KT (2)_4_Book1" xfId="421"/>
    <cellStyle name="_KT (2)_4_Book1 2" xfId="422"/>
    <cellStyle name="_KT (2)_4_Book1_1" xfId="423"/>
    <cellStyle name="_KT (2)_4_Book1_1 2" xfId="424"/>
    <cellStyle name="_KT (2)_4_Book1_1_BC CV 6403 BKHĐT" xfId="425"/>
    <cellStyle name="_KT (2)_4_Book1_1_Bieu mau cong trinh khoi cong moi 3-4" xfId="426"/>
    <cellStyle name="_KT (2)_4_Book1_1_Bieu3ODA" xfId="427"/>
    <cellStyle name="_KT (2)_4_Book1_1_Bieu4HTMT" xfId="428"/>
    <cellStyle name="_KT (2)_4_Book1_1_Book1" xfId="429"/>
    <cellStyle name="_KT (2)_4_Book1_1_Luy ke von ung nam 2011 -Thoa gui ngay 12-8-2012" xfId="430"/>
    <cellStyle name="_KT (2)_4_Book1_2" xfId="431"/>
    <cellStyle name="_KT (2)_4_Book1_2 2" xfId="432"/>
    <cellStyle name="_KT (2)_4_Book1_2_BC CV 6403 BKHĐT" xfId="433"/>
    <cellStyle name="_KT (2)_4_Book1_2_Bieu3ODA" xfId="434"/>
    <cellStyle name="_KT (2)_4_Book1_2_Luy ke von ung nam 2011 -Thoa gui ngay 12-8-2012" xfId="435"/>
    <cellStyle name="_KT (2)_4_Book1_3" xfId="436"/>
    <cellStyle name="_KT (2)_4_Book1_3 2" xfId="437"/>
    <cellStyle name="_KT (2)_4_Book1_BC CV 6403 BKHĐT" xfId="438"/>
    <cellStyle name="_KT (2)_4_Book1_Bieu mau cong trinh khoi cong moi 3-4" xfId="439"/>
    <cellStyle name="_KT (2)_4_Book1_Bieu3ODA" xfId="440"/>
    <cellStyle name="_KT (2)_4_Book1_Bieu4HTMT" xfId="441"/>
    <cellStyle name="_KT (2)_4_Book1_bo sung von KCH nam 2010 va Du an tre kho khan" xfId="442"/>
    <cellStyle name="_KT (2)_4_Book1_Book1" xfId="443"/>
    <cellStyle name="_KT (2)_4_Book1_danh muc chuan bi dau tu 2011 ngay 07-6-2011" xfId="444"/>
    <cellStyle name="_KT (2)_4_Book1_Danh muc pbo nguon von XSKT, XDCB nam 2009 chuyen qua nam 2010" xfId="445"/>
    <cellStyle name="_KT (2)_4_Book1_dieu chinh KH 2011 ngay 26-5-2011111" xfId="446"/>
    <cellStyle name="_KT (2)_4_Book1_DS KCH PHAN BO VON NSDP NAM 2010" xfId="447"/>
    <cellStyle name="_KT (2)_4_Book1_giao KH 2011 ngay 10-12-2010" xfId="448"/>
    <cellStyle name="_KT (2)_4_Book1_Luy ke von ung nam 2011 -Thoa gui ngay 12-8-2012" xfId="449"/>
    <cellStyle name="_KT (2)_4_CAU Khanh Nam(Thi Cong)" xfId="450"/>
    <cellStyle name="_KT (2)_4_CoCauPhi (version 1)" xfId="451"/>
    <cellStyle name="_KT (2)_4_Copy of 05-12  KH trung han 2016-2020 - Liem Thinh edited (1)" xfId="452"/>
    <cellStyle name="_KT (2)_4_ChiHuong_ApGia" xfId="453"/>
    <cellStyle name="_KT (2)_4_danh muc chuan bi dau tu 2011 ngay 07-6-2011" xfId="454"/>
    <cellStyle name="_KT (2)_4_Danh muc pbo nguon von XSKT, XDCB nam 2009 chuyen qua nam 2010" xfId="455"/>
    <cellStyle name="_KT (2)_4_DAU NOI PL-CL TAI PHU LAMHC" xfId="456"/>
    <cellStyle name="_KT (2)_4_dieu chinh KH 2011 ngay 26-5-2011111" xfId="457"/>
    <cellStyle name="_KT (2)_4_DS KCH PHAN BO VON NSDP NAM 2010" xfId="458"/>
    <cellStyle name="_KT (2)_4_DTCDT MR.2N110.HOCMON.TDTOAN.CCUNG" xfId="459"/>
    <cellStyle name="_KT (2)_4_DU TRU VAT TU" xfId="460"/>
    <cellStyle name="_KT (2)_4_GTGT 2003" xfId="461"/>
    <cellStyle name="_KT (2)_4_giao KH 2011 ngay 10-12-2010" xfId="462"/>
    <cellStyle name="_KT (2)_4_KE KHAI THUE GTGT 2004" xfId="463"/>
    <cellStyle name="_KT (2)_4_KE KHAI THUE GTGT 2004_BCTC2004" xfId="464"/>
    <cellStyle name="_KT (2)_4_kien giang 2" xfId="465"/>
    <cellStyle name="_KT (2)_4_KH TPCP 2016-2020 (tong hop)" xfId="466"/>
    <cellStyle name="_KT (2)_4_KH TPCP vung TNB (03-1-2012)" xfId="467"/>
    <cellStyle name="_KT (2)_4_Lora-tungchau" xfId="468"/>
    <cellStyle name="_KT (2)_4_Luy ke von ung nam 2011 -Thoa gui ngay 12-8-2012" xfId="469"/>
    <cellStyle name="_KT (2)_4_N-X-T-04" xfId="470"/>
    <cellStyle name="_KT (2)_4_NhanCong" xfId="471"/>
    <cellStyle name="_KT (2)_4_PGIA-phieu tham tra Kho bac" xfId="472"/>
    <cellStyle name="_KT (2)_4_PT02-02" xfId="473"/>
    <cellStyle name="_KT (2)_4_PT02-02_Book1" xfId="474"/>
    <cellStyle name="_KT (2)_4_PT02-03" xfId="475"/>
    <cellStyle name="_KT (2)_4_PT02-03_Book1" xfId="476"/>
    <cellStyle name="_KT (2)_4_phu luc tong ket tinh hinh TH giai doan 03-10 (ngay 30)" xfId="477"/>
    <cellStyle name="_KT (2)_4_Qt-HT3PQ1(CauKho)" xfId="478"/>
    <cellStyle name="_KT (2)_4_Sheet1" xfId="479"/>
    <cellStyle name="_KT (2)_4_TG-TH" xfId="480"/>
    <cellStyle name="_KT (2)_4_TK152-04" xfId="481"/>
    <cellStyle name="_KT (2)_4_ÿÿÿÿÿ" xfId="482"/>
    <cellStyle name="_KT (2)_4_ÿÿÿÿÿ_Bieu mau cong trinh khoi cong moi 3-4" xfId="483"/>
    <cellStyle name="_KT (2)_4_ÿÿÿÿÿ_Bieu3ODA" xfId="484"/>
    <cellStyle name="_KT (2)_4_ÿÿÿÿÿ_Bieu4HTMT" xfId="485"/>
    <cellStyle name="_KT (2)_4_ÿÿÿÿÿ_kien giang 2" xfId="486"/>
    <cellStyle name="_KT (2)_4_ÿÿÿÿÿ_KH TPCP vung TNB (03-1-2012)" xfId="487"/>
    <cellStyle name="_KT (2)_5" xfId="488"/>
    <cellStyle name="_KT (2)_5 2" xfId="489"/>
    <cellStyle name="_KT (2)_5_05-12  KH trung han 2016-2020 - Liem Thinh edited" xfId="490"/>
    <cellStyle name="_KT (2)_5_ApGiaVatTu_cayxanh_latgach" xfId="491"/>
    <cellStyle name="_KT (2)_5_BANG TONG HOP TINH HINH THANH QUYET TOAN (MOI I)" xfId="492"/>
    <cellStyle name="_KT (2)_5_BAO CAO KLCT PT2000" xfId="493"/>
    <cellStyle name="_KT (2)_5_BAO CAO PT2000" xfId="494"/>
    <cellStyle name="_KT (2)_5_BAO CAO PT2000_Book1" xfId="495"/>
    <cellStyle name="_KT (2)_5_Bao cao XDCB 2001 - T11 KH dieu chinh 20-11-THAI" xfId="496"/>
    <cellStyle name="_KT (2)_5_BAO GIA NGAY 24-10-08 (co dam)" xfId="497"/>
    <cellStyle name="_KT (2)_5_BC  NAM 2007" xfId="498"/>
    <cellStyle name="_KT (2)_5_BC CV 6403 BKHĐT" xfId="499"/>
    <cellStyle name="_KT (2)_5_BC NQ11-CP - chinh sua lai" xfId="500"/>
    <cellStyle name="_KT (2)_5_BC NQ11-CP-Quynh sau bieu so3" xfId="501"/>
    <cellStyle name="_KT (2)_5_BC_NQ11-CP_-_Thao_sua_lai" xfId="502"/>
    <cellStyle name="_KT (2)_5_Bieu mau cong trinh khoi cong moi 3-4" xfId="503"/>
    <cellStyle name="_KT (2)_5_Bieu3ODA" xfId="504"/>
    <cellStyle name="_KT (2)_5_Bieu3ODA_1" xfId="505"/>
    <cellStyle name="_KT (2)_5_Bieu4HTMT" xfId="506"/>
    <cellStyle name="_KT (2)_5_bo sung von KCH nam 2010 va Du an tre kho khan" xfId="507"/>
    <cellStyle name="_KT (2)_5_Book1" xfId="508"/>
    <cellStyle name="_KT (2)_5_Book1 2" xfId="509"/>
    <cellStyle name="_KT (2)_5_Book1_1" xfId="510"/>
    <cellStyle name="_KT (2)_5_Book1_1 2" xfId="511"/>
    <cellStyle name="_KT (2)_5_Book1_1_BC CV 6403 BKHĐT" xfId="512"/>
    <cellStyle name="_KT (2)_5_Book1_1_Bieu mau cong trinh khoi cong moi 3-4" xfId="513"/>
    <cellStyle name="_KT (2)_5_Book1_1_Bieu3ODA" xfId="514"/>
    <cellStyle name="_KT (2)_5_Book1_1_Bieu4HTMT" xfId="515"/>
    <cellStyle name="_KT (2)_5_Book1_1_Book1" xfId="516"/>
    <cellStyle name="_KT (2)_5_Book1_1_Luy ke von ung nam 2011 -Thoa gui ngay 12-8-2012" xfId="517"/>
    <cellStyle name="_KT (2)_5_Book1_2" xfId="518"/>
    <cellStyle name="_KT (2)_5_Book1_2 2" xfId="519"/>
    <cellStyle name="_KT (2)_5_Book1_2_BC CV 6403 BKHĐT" xfId="520"/>
    <cellStyle name="_KT (2)_5_Book1_2_Bieu3ODA" xfId="521"/>
    <cellStyle name="_KT (2)_5_Book1_2_Luy ke von ung nam 2011 -Thoa gui ngay 12-8-2012" xfId="522"/>
    <cellStyle name="_KT (2)_5_Book1_3" xfId="523"/>
    <cellStyle name="_KT (2)_5_Book1_BC CV 6403 BKHĐT" xfId="524"/>
    <cellStyle name="_KT (2)_5_Book1_BC-QT-WB-dthao" xfId="525"/>
    <cellStyle name="_KT (2)_5_Book1_Bieu mau cong trinh khoi cong moi 3-4" xfId="526"/>
    <cellStyle name="_KT (2)_5_Book1_Bieu3ODA" xfId="527"/>
    <cellStyle name="_KT (2)_5_Book1_Bieu4HTMT" xfId="528"/>
    <cellStyle name="_KT (2)_5_Book1_bo sung von KCH nam 2010 va Du an tre kho khan" xfId="529"/>
    <cellStyle name="_KT (2)_5_Book1_Book1" xfId="530"/>
    <cellStyle name="_KT (2)_5_Book1_danh muc chuan bi dau tu 2011 ngay 07-6-2011" xfId="531"/>
    <cellStyle name="_KT (2)_5_Book1_Danh muc pbo nguon von XSKT, XDCB nam 2009 chuyen qua nam 2010" xfId="532"/>
    <cellStyle name="_KT (2)_5_Book1_dieu chinh KH 2011 ngay 26-5-2011111" xfId="533"/>
    <cellStyle name="_KT (2)_5_Book1_DS KCH PHAN BO VON NSDP NAM 2010" xfId="534"/>
    <cellStyle name="_KT (2)_5_Book1_giao KH 2011 ngay 10-12-2010" xfId="535"/>
    <cellStyle name="_KT (2)_5_Book1_Luy ke von ung nam 2011 -Thoa gui ngay 12-8-2012" xfId="536"/>
    <cellStyle name="_KT (2)_5_CAU Khanh Nam(Thi Cong)" xfId="537"/>
    <cellStyle name="_KT (2)_5_CoCauPhi (version 1)" xfId="538"/>
    <cellStyle name="_KT (2)_5_Copy of 05-12  KH trung han 2016-2020 - Liem Thinh edited (1)" xfId="539"/>
    <cellStyle name="_KT (2)_5_ChiHuong_ApGia" xfId="540"/>
    <cellStyle name="_KT (2)_5_danh muc chuan bi dau tu 2011 ngay 07-6-2011" xfId="541"/>
    <cellStyle name="_KT (2)_5_Danh muc pbo nguon von XSKT, XDCB nam 2009 chuyen qua nam 2010" xfId="542"/>
    <cellStyle name="_KT (2)_5_DAU NOI PL-CL TAI PHU LAMHC" xfId="543"/>
    <cellStyle name="_KT (2)_5_dieu chinh KH 2011 ngay 26-5-2011111" xfId="544"/>
    <cellStyle name="_KT (2)_5_DS KCH PHAN BO VON NSDP NAM 2010" xfId="545"/>
    <cellStyle name="_KT (2)_5_DTCDT MR.2N110.HOCMON.TDTOAN.CCUNG" xfId="546"/>
    <cellStyle name="_KT (2)_5_DU TRU VAT TU" xfId="547"/>
    <cellStyle name="_KT (2)_5_GTGT 2003" xfId="548"/>
    <cellStyle name="_KT (2)_5_giao KH 2011 ngay 10-12-2010" xfId="549"/>
    <cellStyle name="_KT (2)_5_KE KHAI THUE GTGT 2004" xfId="550"/>
    <cellStyle name="_KT (2)_5_KE KHAI THUE GTGT 2004_BCTC2004" xfId="551"/>
    <cellStyle name="_KT (2)_5_kien giang 2" xfId="552"/>
    <cellStyle name="_KT (2)_5_KH TPCP 2016-2020 (tong hop)" xfId="553"/>
    <cellStyle name="_KT (2)_5_KH TPCP vung TNB (03-1-2012)" xfId="554"/>
    <cellStyle name="_KT (2)_5_Lora-tungchau" xfId="555"/>
    <cellStyle name="_KT (2)_5_Luy ke von ung nam 2011 -Thoa gui ngay 12-8-2012" xfId="556"/>
    <cellStyle name="_KT (2)_5_N-X-T-04" xfId="557"/>
    <cellStyle name="_KT (2)_5_NhanCong" xfId="558"/>
    <cellStyle name="_KT (2)_5_PGIA-phieu tham tra Kho bac" xfId="559"/>
    <cellStyle name="_KT (2)_5_PT02-02" xfId="560"/>
    <cellStyle name="_KT (2)_5_PT02-02_Book1" xfId="561"/>
    <cellStyle name="_KT (2)_5_PT02-03" xfId="562"/>
    <cellStyle name="_KT (2)_5_PT02-03_Book1" xfId="563"/>
    <cellStyle name="_KT (2)_5_phu luc tong ket tinh hinh TH giai doan 03-10 (ngay 30)" xfId="564"/>
    <cellStyle name="_KT (2)_5_Qt-HT3PQ1(CauKho)" xfId="565"/>
    <cellStyle name="_KT (2)_5_Sheet1" xfId="566"/>
    <cellStyle name="_KT (2)_5_TK152-04" xfId="567"/>
    <cellStyle name="_KT (2)_5_ÿÿÿÿÿ" xfId="568"/>
    <cellStyle name="_KT (2)_5_ÿÿÿÿÿ_Bieu mau cong trinh khoi cong moi 3-4" xfId="569"/>
    <cellStyle name="_KT (2)_5_ÿÿÿÿÿ_Bieu3ODA" xfId="570"/>
    <cellStyle name="_KT (2)_5_ÿÿÿÿÿ_Bieu4HTMT" xfId="571"/>
    <cellStyle name="_KT (2)_5_ÿÿÿÿÿ_kien giang 2" xfId="572"/>
    <cellStyle name="_KT (2)_5_ÿÿÿÿÿ_KH TPCP vung TNB (03-1-2012)" xfId="573"/>
    <cellStyle name="_KT (2)_BC  NAM 2007" xfId="574"/>
    <cellStyle name="_KT (2)_Bieu mau cong trinh khoi cong moi 3-4" xfId="575"/>
    <cellStyle name="_KT (2)_Bieu3ODA" xfId="576"/>
    <cellStyle name="_KT (2)_Bieu3ODA_1" xfId="577"/>
    <cellStyle name="_KT (2)_Bieu4HTMT" xfId="578"/>
    <cellStyle name="_KT (2)_bo sung von KCH nam 2010 va Du an tre kho khan" xfId="579"/>
    <cellStyle name="_KT (2)_Book1" xfId="580"/>
    <cellStyle name="_KT (2)_Book1 2" xfId="581"/>
    <cellStyle name="_KT (2)_Book1_BC-QT-WB-dthao" xfId="582"/>
    <cellStyle name="_KT (2)_Book1_BC-QT-WB-dthao_05-12  KH trung han 2016-2020 - Liem Thinh edited" xfId="583"/>
    <cellStyle name="_KT (2)_Book1_BC-QT-WB-dthao_Copy of 05-12  KH trung han 2016-2020 - Liem Thinh edited (1)" xfId="584"/>
    <cellStyle name="_KT (2)_Book1_BC-QT-WB-dthao_KH TPCP 2016-2020 (tong hop)" xfId="585"/>
    <cellStyle name="_KT (2)_Book1_kien giang 2" xfId="586"/>
    <cellStyle name="_KT (2)_Book1_KH TPCP vung TNB (03-1-2012)" xfId="587"/>
    <cellStyle name="_KT (2)_Copy of 05-12  KH trung han 2016-2020 - Liem Thinh edited (1)" xfId="588"/>
    <cellStyle name="_KT (2)_danh muc chuan bi dau tu 2011 ngay 07-6-2011" xfId="589"/>
    <cellStyle name="_KT (2)_Danh muc pbo nguon von XSKT, XDCB nam 2009 chuyen qua nam 2010" xfId="590"/>
    <cellStyle name="_KT (2)_dieu chinh KH 2011 ngay 26-5-2011111" xfId="591"/>
    <cellStyle name="_KT (2)_DS KCH PHAN BO VON NSDP NAM 2010" xfId="592"/>
    <cellStyle name="_KT (2)_GTGT 2003" xfId="593"/>
    <cellStyle name="_KT (2)_giao KH 2011 ngay 10-12-2010" xfId="594"/>
    <cellStyle name="_KT (2)_KE KHAI THUE GTGT 2004" xfId="595"/>
    <cellStyle name="_KT (2)_KE KHAI THUE GTGT 2004_BCTC2004" xfId="596"/>
    <cellStyle name="_KT (2)_kien giang 2" xfId="597"/>
    <cellStyle name="_KT (2)_KH TPCP 2016-2020 (tong hop)" xfId="598"/>
    <cellStyle name="_KT (2)_KH TPCP vung TNB (03-1-2012)" xfId="599"/>
    <cellStyle name="_KT (2)_Lora-tungchau" xfId="600"/>
    <cellStyle name="_KT (2)_Lora-tungchau 2" xfId="601"/>
    <cellStyle name="_KT (2)_Lora-tungchau_05-12  KH trung han 2016-2020 - Liem Thinh edited" xfId="602"/>
    <cellStyle name="_KT (2)_Lora-tungchau_Copy of 05-12  KH trung han 2016-2020 - Liem Thinh edited (1)" xfId="603"/>
    <cellStyle name="_KT (2)_Lora-tungchau_KH TPCP 2016-2020 (tong hop)" xfId="604"/>
    <cellStyle name="_KT (2)_N-X-T-04" xfId="605"/>
    <cellStyle name="_KT (2)_PERSONAL" xfId="606"/>
    <cellStyle name="_KT (2)_PERSONAL_BC CV 6403 BKHĐT" xfId="607"/>
    <cellStyle name="_KT (2)_PERSONAL_Bieu mau cong trinh khoi cong moi 3-4" xfId="608"/>
    <cellStyle name="_KT (2)_PERSONAL_Bieu3ODA" xfId="609"/>
    <cellStyle name="_KT (2)_PERSONAL_Bieu4HTMT" xfId="610"/>
    <cellStyle name="_KT (2)_PERSONAL_Book1" xfId="611"/>
    <cellStyle name="_KT (2)_PERSONAL_Book1 2" xfId="612"/>
    <cellStyle name="_KT (2)_PERSONAL_HTQ.8 GD1" xfId="613"/>
    <cellStyle name="_KT (2)_PERSONAL_HTQ.8 GD1_05-12  KH trung han 2016-2020 - Liem Thinh edited" xfId="614"/>
    <cellStyle name="_KT (2)_PERSONAL_HTQ.8 GD1_Copy of 05-12  KH trung han 2016-2020 - Liem Thinh edited (1)" xfId="615"/>
    <cellStyle name="_KT (2)_PERSONAL_HTQ.8 GD1_KH TPCP 2016-2020 (tong hop)" xfId="616"/>
    <cellStyle name="_KT (2)_PERSONAL_Luy ke von ung nam 2011 -Thoa gui ngay 12-8-2012" xfId="617"/>
    <cellStyle name="_KT (2)_PERSONAL_Tong hop KHCB 2001" xfId="618"/>
    <cellStyle name="_KT (2)_Qt-HT3PQ1(CauKho)" xfId="619"/>
    <cellStyle name="_KT (2)_TG-TH" xfId="620"/>
    <cellStyle name="_KT (2)_TK152-04" xfId="621"/>
    <cellStyle name="_KT (2)_ÿÿÿÿÿ" xfId="622"/>
    <cellStyle name="_KT (2)_ÿÿÿÿÿ_kien giang 2" xfId="623"/>
    <cellStyle name="_KT (2)_ÿÿÿÿÿ_KH TPCP vung TNB (03-1-2012)" xfId="624"/>
    <cellStyle name="_KT_TG" xfId="625"/>
    <cellStyle name="_KT_TG_1" xfId="626"/>
    <cellStyle name="_KT_TG_1 2" xfId="627"/>
    <cellStyle name="_KT_TG_1_05-12  KH trung han 2016-2020 - Liem Thinh edited" xfId="628"/>
    <cellStyle name="_KT_TG_1_ApGiaVatTu_cayxanh_latgach" xfId="629"/>
    <cellStyle name="_KT_TG_1_BANG TONG HOP TINH HINH THANH QUYET TOAN (MOI I)" xfId="630"/>
    <cellStyle name="_KT_TG_1_BAO CAO KLCT PT2000" xfId="631"/>
    <cellStyle name="_KT_TG_1_BAO CAO PT2000" xfId="632"/>
    <cellStyle name="_KT_TG_1_BAO CAO PT2000_Book1" xfId="633"/>
    <cellStyle name="_KT_TG_1_Bao cao XDCB 2001 - T11 KH dieu chinh 20-11-THAI" xfId="634"/>
    <cellStyle name="_KT_TG_1_BAO GIA NGAY 24-10-08 (co dam)" xfId="635"/>
    <cellStyle name="_KT_TG_1_BC  NAM 2007" xfId="636"/>
    <cellStyle name="_KT_TG_1_BC CV 6403 BKHĐT" xfId="637"/>
    <cellStyle name="_KT_TG_1_BC NQ11-CP - chinh sua lai" xfId="638"/>
    <cellStyle name="_KT_TG_1_BC NQ11-CP-Quynh sau bieu so3" xfId="639"/>
    <cellStyle name="_KT_TG_1_BC_NQ11-CP_-_Thao_sua_lai" xfId="640"/>
    <cellStyle name="_KT_TG_1_Bieu mau cong trinh khoi cong moi 3-4" xfId="641"/>
    <cellStyle name="_KT_TG_1_Bieu3ODA" xfId="642"/>
    <cellStyle name="_KT_TG_1_Bieu3ODA_1" xfId="643"/>
    <cellStyle name="_KT_TG_1_Bieu4HTMT" xfId="644"/>
    <cellStyle name="_KT_TG_1_bo sung von KCH nam 2010 va Du an tre kho khan" xfId="645"/>
    <cellStyle name="_KT_TG_1_Book1" xfId="646"/>
    <cellStyle name="_KT_TG_1_Book1 2" xfId="647"/>
    <cellStyle name="_KT_TG_1_Book1_1" xfId="648"/>
    <cellStyle name="_KT_TG_1_Book1_1 2" xfId="649"/>
    <cellStyle name="_KT_TG_1_Book1_1_BC CV 6403 BKHĐT" xfId="650"/>
    <cellStyle name="_KT_TG_1_Book1_1_Bieu mau cong trinh khoi cong moi 3-4" xfId="651"/>
    <cellStyle name="_KT_TG_1_Book1_1_Bieu3ODA" xfId="652"/>
    <cellStyle name="_KT_TG_1_Book1_1_Bieu4HTMT" xfId="653"/>
    <cellStyle name="_KT_TG_1_Book1_1_Book1" xfId="654"/>
    <cellStyle name="_KT_TG_1_Book1_1_Luy ke von ung nam 2011 -Thoa gui ngay 12-8-2012" xfId="655"/>
    <cellStyle name="_KT_TG_1_Book1_2" xfId="656"/>
    <cellStyle name="_KT_TG_1_Book1_2 2" xfId="657"/>
    <cellStyle name="_KT_TG_1_Book1_2_BC CV 6403 BKHĐT" xfId="658"/>
    <cellStyle name="_KT_TG_1_Book1_2_Bieu3ODA" xfId="659"/>
    <cellStyle name="_KT_TG_1_Book1_2_Luy ke von ung nam 2011 -Thoa gui ngay 12-8-2012" xfId="660"/>
    <cellStyle name="_KT_TG_1_Book1_3" xfId="661"/>
    <cellStyle name="_KT_TG_1_Book1_BC CV 6403 BKHĐT" xfId="662"/>
    <cellStyle name="_KT_TG_1_Book1_BC-QT-WB-dthao" xfId="663"/>
    <cellStyle name="_KT_TG_1_Book1_Bieu mau cong trinh khoi cong moi 3-4" xfId="664"/>
    <cellStyle name="_KT_TG_1_Book1_Bieu3ODA" xfId="665"/>
    <cellStyle name="_KT_TG_1_Book1_Bieu4HTMT" xfId="666"/>
    <cellStyle name="_KT_TG_1_Book1_bo sung von KCH nam 2010 va Du an tre kho khan" xfId="667"/>
    <cellStyle name="_KT_TG_1_Book1_Book1" xfId="668"/>
    <cellStyle name="_KT_TG_1_Book1_danh muc chuan bi dau tu 2011 ngay 07-6-2011" xfId="669"/>
    <cellStyle name="_KT_TG_1_Book1_Danh muc pbo nguon von XSKT, XDCB nam 2009 chuyen qua nam 2010" xfId="670"/>
    <cellStyle name="_KT_TG_1_Book1_dieu chinh KH 2011 ngay 26-5-2011111" xfId="671"/>
    <cellStyle name="_KT_TG_1_Book1_DS KCH PHAN BO VON NSDP NAM 2010" xfId="672"/>
    <cellStyle name="_KT_TG_1_Book1_giao KH 2011 ngay 10-12-2010" xfId="673"/>
    <cellStyle name="_KT_TG_1_Book1_Luy ke von ung nam 2011 -Thoa gui ngay 12-8-2012" xfId="674"/>
    <cellStyle name="_KT_TG_1_CAU Khanh Nam(Thi Cong)" xfId="675"/>
    <cellStyle name="_KT_TG_1_CoCauPhi (version 1)" xfId="676"/>
    <cellStyle name="_KT_TG_1_Copy of 05-12  KH trung han 2016-2020 - Liem Thinh edited (1)" xfId="677"/>
    <cellStyle name="_KT_TG_1_ChiHuong_ApGia" xfId="678"/>
    <cellStyle name="_KT_TG_1_danh muc chuan bi dau tu 2011 ngay 07-6-2011" xfId="679"/>
    <cellStyle name="_KT_TG_1_Danh muc pbo nguon von XSKT, XDCB nam 2009 chuyen qua nam 2010" xfId="680"/>
    <cellStyle name="_KT_TG_1_DAU NOI PL-CL TAI PHU LAMHC" xfId="681"/>
    <cellStyle name="_KT_TG_1_dieu chinh KH 2011 ngay 26-5-2011111" xfId="682"/>
    <cellStyle name="_KT_TG_1_DS KCH PHAN BO VON NSDP NAM 2010" xfId="683"/>
    <cellStyle name="_KT_TG_1_DTCDT MR.2N110.HOCMON.TDTOAN.CCUNG" xfId="684"/>
    <cellStyle name="_KT_TG_1_DU TRU VAT TU" xfId="685"/>
    <cellStyle name="_KT_TG_1_GTGT 2003" xfId="686"/>
    <cellStyle name="_KT_TG_1_giao KH 2011 ngay 10-12-2010" xfId="687"/>
    <cellStyle name="_KT_TG_1_KE KHAI THUE GTGT 2004" xfId="688"/>
    <cellStyle name="_KT_TG_1_KE KHAI THUE GTGT 2004_BCTC2004" xfId="689"/>
    <cellStyle name="_KT_TG_1_kien giang 2" xfId="690"/>
    <cellStyle name="_KT_TG_1_KH TPCP 2016-2020 (tong hop)" xfId="691"/>
    <cellStyle name="_KT_TG_1_KH TPCP vung TNB (03-1-2012)" xfId="692"/>
    <cellStyle name="_KT_TG_1_Lora-tungchau" xfId="693"/>
    <cellStyle name="_KT_TG_1_Luy ke von ung nam 2011 -Thoa gui ngay 12-8-2012" xfId="694"/>
    <cellStyle name="_KT_TG_1_N-X-T-04" xfId="695"/>
    <cellStyle name="_KT_TG_1_NhanCong" xfId="696"/>
    <cellStyle name="_KT_TG_1_PGIA-phieu tham tra Kho bac" xfId="697"/>
    <cellStyle name="_KT_TG_1_PT02-02" xfId="698"/>
    <cellStyle name="_KT_TG_1_PT02-02_Book1" xfId="699"/>
    <cellStyle name="_KT_TG_1_PT02-03" xfId="700"/>
    <cellStyle name="_KT_TG_1_PT02-03_Book1" xfId="701"/>
    <cellStyle name="_KT_TG_1_phu luc tong ket tinh hinh TH giai doan 03-10 (ngay 30)" xfId="702"/>
    <cellStyle name="_KT_TG_1_Qt-HT3PQ1(CauKho)" xfId="703"/>
    <cellStyle name="_KT_TG_1_Sheet1" xfId="704"/>
    <cellStyle name="_KT_TG_1_TK152-04" xfId="705"/>
    <cellStyle name="_KT_TG_1_ÿÿÿÿÿ" xfId="706"/>
    <cellStyle name="_KT_TG_1_ÿÿÿÿÿ_Bieu mau cong trinh khoi cong moi 3-4" xfId="707"/>
    <cellStyle name="_KT_TG_1_ÿÿÿÿÿ_Bieu3ODA" xfId="708"/>
    <cellStyle name="_KT_TG_1_ÿÿÿÿÿ_Bieu4HTMT" xfId="709"/>
    <cellStyle name="_KT_TG_1_ÿÿÿÿÿ_kien giang 2" xfId="710"/>
    <cellStyle name="_KT_TG_1_ÿÿÿÿÿ_KH TPCP vung TNB (03-1-2012)" xfId="711"/>
    <cellStyle name="_KT_TG_2" xfId="712"/>
    <cellStyle name="_KT_TG_2 2" xfId="713"/>
    <cellStyle name="_KT_TG_2_05-12  KH trung han 2016-2020 - Liem Thinh edited" xfId="714"/>
    <cellStyle name="_KT_TG_2_ApGiaVatTu_cayxanh_latgach" xfId="715"/>
    <cellStyle name="_KT_TG_2_BANG TONG HOP TINH HINH THANH QUYET TOAN (MOI I)" xfId="716"/>
    <cellStyle name="_KT_TG_2_BAO CAO KLCT PT2000" xfId="717"/>
    <cellStyle name="_KT_TG_2_BAO CAO PT2000" xfId="718"/>
    <cellStyle name="_KT_TG_2_BAO CAO PT2000_Book1" xfId="719"/>
    <cellStyle name="_KT_TG_2_Bao cao XDCB 2001 - T11 KH dieu chinh 20-11-THAI" xfId="720"/>
    <cellStyle name="_KT_TG_2_BAO GIA NGAY 24-10-08 (co dam)" xfId="721"/>
    <cellStyle name="_KT_TG_2_BC  NAM 2007" xfId="722"/>
    <cellStyle name="_KT_TG_2_BC CV 6403 BKHĐT" xfId="723"/>
    <cellStyle name="_KT_TG_2_BC NQ11-CP - chinh sua lai" xfId="724"/>
    <cellStyle name="_KT_TG_2_BC NQ11-CP-Quynh sau bieu so3" xfId="725"/>
    <cellStyle name="_KT_TG_2_BC_NQ11-CP_-_Thao_sua_lai" xfId="726"/>
    <cellStyle name="_KT_TG_2_Bieu mau cong trinh khoi cong moi 3-4" xfId="727"/>
    <cellStyle name="_KT_TG_2_Bieu3ODA" xfId="728"/>
    <cellStyle name="_KT_TG_2_Bieu3ODA_1" xfId="729"/>
    <cellStyle name="_KT_TG_2_Bieu4HTMT" xfId="730"/>
    <cellStyle name="_KT_TG_2_bo sung von KCH nam 2010 va Du an tre kho khan" xfId="731"/>
    <cellStyle name="_KT_TG_2_Book1" xfId="732"/>
    <cellStyle name="_KT_TG_2_Book1 2" xfId="733"/>
    <cellStyle name="_KT_TG_2_Book1_1" xfId="734"/>
    <cellStyle name="_KT_TG_2_Book1_1 2" xfId="735"/>
    <cellStyle name="_KT_TG_2_Book1_1_BC CV 6403 BKHĐT" xfId="736"/>
    <cellStyle name="_KT_TG_2_Book1_1_Bieu mau cong trinh khoi cong moi 3-4" xfId="737"/>
    <cellStyle name="_KT_TG_2_Book1_1_Bieu3ODA" xfId="738"/>
    <cellStyle name="_KT_TG_2_Book1_1_Bieu4HTMT" xfId="739"/>
    <cellStyle name="_KT_TG_2_Book1_1_Book1" xfId="740"/>
    <cellStyle name="_KT_TG_2_Book1_1_Luy ke von ung nam 2011 -Thoa gui ngay 12-8-2012" xfId="741"/>
    <cellStyle name="_KT_TG_2_Book1_2" xfId="742"/>
    <cellStyle name="_KT_TG_2_Book1_2 2" xfId="743"/>
    <cellStyle name="_KT_TG_2_Book1_2_BC CV 6403 BKHĐT" xfId="744"/>
    <cellStyle name="_KT_TG_2_Book1_2_Bieu3ODA" xfId="745"/>
    <cellStyle name="_KT_TG_2_Book1_2_Luy ke von ung nam 2011 -Thoa gui ngay 12-8-2012" xfId="746"/>
    <cellStyle name="_KT_TG_2_Book1_3" xfId="747"/>
    <cellStyle name="_KT_TG_2_Book1_3 2" xfId="748"/>
    <cellStyle name="_KT_TG_2_Book1_BC CV 6403 BKHĐT" xfId="749"/>
    <cellStyle name="_KT_TG_2_Book1_Bieu mau cong trinh khoi cong moi 3-4" xfId="750"/>
    <cellStyle name="_KT_TG_2_Book1_Bieu3ODA" xfId="751"/>
    <cellStyle name="_KT_TG_2_Book1_Bieu4HTMT" xfId="752"/>
    <cellStyle name="_KT_TG_2_Book1_bo sung von KCH nam 2010 va Du an tre kho khan" xfId="753"/>
    <cellStyle name="_KT_TG_2_Book1_Book1" xfId="754"/>
    <cellStyle name="_KT_TG_2_Book1_danh muc chuan bi dau tu 2011 ngay 07-6-2011" xfId="755"/>
    <cellStyle name="_KT_TG_2_Book1_Danh muc pbo nguon von XSKT, XDCB nam 2009 chuyen qua nam 2010" xfId="756"/>
    <cellStyle name="_KT_TG_2_Book1_dieu chinh KH 2011 ngay 26-5-2011111" xfId="757"/>
    <cellStyle name="_KT_TG_2_Book1_DS KCH PHAN BO VON NSDP NAM 2010" xfId="758"/>
    <cellStyle name="_KT_TG_2_Book1_giao KH 2011 ngay 10-12-2010" xfId="759"/>
    <cellStyle name="_KT_TG_2_Book1_Luy ke von ung nam 2011 -Thoa gui ngay 12-8-2012" xfId="760"/>
    <cellStyle name="_KT_TG_2_CAU Khanh Nam(Thi Cong)" xfId="761"/>
    <cellStyle name="_KT_TG_2_CoCauPhi (version 1)" xfId="762"/>
    <cellStyle name="_KT_TG_2_Copy of 05-12  KH trung han 2016-2020 - Liem Thinh edited (1)" xfId="763"/>
    <cellStyle name="_KT_TG_2_ChiHuong_ApGia" xfId="764"/>
    <cellStyle name="_KT_TG_2_danh muc chuan bi dau tu 2011 ngay 07-6-2011" xfId="765"/>
    <cellStyle name="_KT_TG_2_Danh muc pbo nguon von XSKT, XDCB nam 2009 chuyen qua nam 2010" xfId="766"/>
    <cellStyle name="_KT_TG_2_DAU NOI PL-CL TAI PHU LAMHC" xfId="767"/>
    <cellStyle name="_KT_TG_2_dieu chinh KH 2011 ngay 26-5-2011111" xfId="768"/>
    <cellStyle name="_KT_TG_2_DS KCH PHAN BO VON NSDP NAM 2010" xfId="769"/>
    <cellStyle name="_KT_TG_2_DTCDT MR.2N110.HOCMON.TDTOAN.CCUNG" xfId="770"/>
    <cellStyle name="_KT_TG_2_DU TRU VAT TU" xfId="771"/>
    <cellStyle name="_KT_TG_2_GTGT 2003" xfId="772"/>
    <cellStyle name="_KT_TG_2_giao KH 2011 ngay 10-12-2010" xfId="773"/>
    <cellStyle name="_KT_TG_2_KE KHAI THUE GTGT 2004" xfId="774"/>
    <cellStyle name="_KT_TG_2_KE KHAI THUE GTGT 2004_BCTC2004" xfId="775"/>
    <cellStyle name="_KT_TG_2_kien giang 2" xfId="776"/>
    <cellStyle name="_KT_TG_2_KH TPCP 2016-2020 (tong hop)" xfId="777"/>
    <cellStyle name="_KT_TG_2_KH TPCP vung TNB (03-1-2012)" xfId="778"/>
    <cellStyle name="_KT_TG_2_Lora-tungchau" xfId="779"/>
    <cellStyle name="_KT_TG_2_Luy ke von ung nam 2011 -Thoa gui ngay 12-8-2012" xfId="780"/>
    <cellStyle name="_KT_TG_2_N-X-T-04" xfId="781"/>
    <cellStyle name="_KT_TG_2_NhanCong" xfId="782"/>
    <cellStyle name="_KT_TG_2_PGIA-phieu tham tra Kho bac" xfId="783"/>
    <cellStyle name="_KT_TG_2_PT02-02" xfId="784"/>
    <cellStyle name="_KT_TG_2_PT02-02_Book1" xfId="785"/>
    <cellStyle name="_KT_TG_2_PT02-03" xfId="786"/>
    <cellStyle name="_KT_TG_2_PT02-03_Book1" xfId="787"/>
    <cellStyle name="_KT_TG_2_phu luc tong ket tinh hinh TH giai doan 03-10 (ngay 30)" xfId="788"/>
    <cellStyle name="_KT_TG_2_Qt-HT3PQ1(CauKho)" xfId="789"/>
    <cellStyle name="_KT_TG_2_Sheet1" xfId="790"/>
    <cellStyle name="_KT_TG_2_TK152-04" xfId="791"/>
    <cellStyle name="_KT_TG_2_ÿÿÿÿÿ" xfId="792"/>
    <cellStyle name="_KT_TG_2_ÿÿÿÿÿ_Bieu mau cong trinh khoi cong moi 3-4" xfId="793"/>
    <cellStyle name="_KT_TG_2_ÿÿÿÿÿ_Bieu3ODA" xfId="794"/>
    <cellStyle name="_KT_TG_2_ÿÿÿÿÿ_Bieu4HTMT" xfId="795"/>
    <cellStyle name="_KT_TG_2_ÿÿÿÿÿ_kien giang 2" xfId="796"/>
    <cellStyle name="_KT_TG_2_ÿÿÿÿÿ_KH TPCP vung TNB (03-1-2012)" xfId="797"/>
    <cellStyle name="_KT_TG_3" xfId="798"/>
    <cellStyle name="_KT_TG_4" xfId="799"/>
    <cellStyle name="_KT_TG_4 2" xfId="800"/>
    <cellStyle name="_KT_TG_4_05-12  KH trung han 2016-2020 - Liem Thinh edited" xfId="801"/>
    <cellStyle name="_KT_TG_4_Copy of 05-12  KH trung han 2016-2020 - Liem Thinh edited (1)" xfId="802"/>
    <cellStyle name="_KT_TG_4_KH TPCP 2016-2020 (tong hop)" xfId="803"/>
    <cellStyle name="_KT_TG_4_Lora-tungchau" xfId="804"/>
    <cellStyle name="_KT_TG_4_Lora-tungchau 2" xfId="805"/>
    <cellStyle name="_KT_TG_4_Lora-tungchau_05-12  KH trung han 2016-2020 - Liem Thinh edited" xfId="806"/>
    <cellStyle name="_KT_TG_4_Lora-tungchau_Copy of 05-12  KH trung han 2016-2020 - Liem Thinh edited (1)" xfId="807"/>
    <cellStyle name="_KT_TG_4_Lora-tungchau_KH TPCP 2016-2020 (tong hop)" xfId="808"/>
    <cellStyle name="_KT_TG_4_Qt-HT3PQ1(CauKho)" xfId="809"/>
    <cellStyle name="_KH 2009" xfId="810"/>
    <cellStyle name="_KH 2009_15_10_2013 BC nhu cau von doi ung ODA (2014-2016) ngay 15102013 Sua" xfId="811"/>
    <cellStyle name="_KH 2009_BC nhu cau von doi ung ODA nganh NN (BKH)" xfId="812"/>
    <cellStyle name="_KH 2009_BC nhu cau von doi ung ODA nganh NN (BKH)_05-12  KH trung han 2016-2020 - Liem Thinh edited" xfId="813"/>
    <cellStyle name="_KH 2009_BC nhu cau von doi ung ODA nganh NN (BKH)_Copy of 05-12  KH trung han 2016-2020 - Liem Thinh edited (1)" xfId="814"/>
    <cellStyle name="_KH 2009_BC Tai co cau (bieu TH)" xfId="815"/>
    <cellStyle name="_KH 2009_BC Tai co cau (bieu TH)_05-12  KH trung han 2016-2020 - Liem Thinh edited" xfId="816"/>
    <cellStyle name="_KH 2009_BC Tai co cau (bieu TH)_Copy of 05-12  KH trung han 2016-2020 - Liem Thinh edited (1)" xfId="817"/>
    <cellStyle name="_KH 2009_DK 2014-2015 final" xfId="818"/>
    <cellStyle name="_KH 2009_DK 2014-2015 final_05-12  KH trung han 2016-2020 - Liem Thinh edited" xfId="819"/>
    <cellStyle name="_KH 2009_DK 2014-2015 final_Copy of 05-12  KH trung han 2016-2020 - Liem Thinh edited (1)" xfId="820"/>
    <cellStyle name="_KH 2009_DK 2014-2015 new" xfId="821"/>
    <cellStyle name="_KH 2009_DK 2014-2015 new_05-12  KH trung han 2016-2020 - Liem Thinh edited" xfId="822"/>
    <cellStyle name="_KH 2009_DK 2014-2015 new_Copy of 05-12  KH trung han 2016-2020 - Liem Thinh edited (1)" xfId="823"/>
    <cellStyle name="_KH 2009_DK KH CBDT 2014 11-11-2013" xfId="824"/>
    <cellStyle name="_KH 2009_DK KH CBDT 2014 11-11-2013(1)" xfId="825"/>
    <cellStyle name="_KH 2009_DK KH CBDT 2014 11-11-2013(1)_05-12  KH trung han 2016-2020 - Liem Thinh edited" xfId="826"/>
    <cellStyle name="_KH 2009_DK KH CBDT 2014 11-11-2013(1)_Copy of 05-12  KH trung han 2016-2020 - Liem Thinh edited (1)" xfId="827"/>
    <cellStyle name="_KH 2009_DK KH CBDT 2014 11-11-2013_05-12  KH trung han 2016-2020 - Liem Thinh edited" xfId="828"/>
    <cellStyle name="_KH 2009_DK KH CBDT 2014 11-11-2013_Copy of 05-12  KH trung han 2016-2020 - Liem Thinh edited (1)" xfId="829"/>
    <cellStyle name="_KH 2009_KH 2011-2015" xfId="830"/>
    <cellStyle name="_KH 2009_tai co cau dau tu (tong hop)1" xfId="831"/>
    <cellStyle name="_KH 2012 (TPCP) Bac Lieu (25-12-2011)" xfId="832"/>
    <cellStyle name="_Kh ql62 (2010) 11-09" xfId="833"/>
    <cellStyle name="_KH TPCP 2010 17-3-10" xfId="834"/>
    <cellStyle name="_KH TPCP vung TNB (03-1-2012)" xfId="835"/>
    <cellStyle name="_KH ung von cap bach 2009-Cuc NTTS de nghi (sua)" xfId="836"/>
    <cellStyle name="_Khung 2012" xfId="837"/>
    <cellStyle name="_Khung nam 2010" xfId="838"/>
    <cellStyle name="_Lora-tungchau" xfId="839"/>
    <cellStyle name="_Lora-tungchau 2" xfId="840"/>
    <cellStyle name="_Lora-tungchau_05-12  KH trung han 2016-2020 - Liem Thinh edited" xfId="841"/>
    <cellStyle name="_Lora-tungchau_Copy of 05-12  KH trung han 2016-2020 - Liem Thinh edited (1)" xfId="842"/>
    <cellStyle name="_Lora-tungchau_KH TPCP 2016-2020 (tong hop)" xfId="843"/>
    <cellStyle name="_Luy ke von ung nam 2011 -Thoa gui ngay 12-8-2012" xfId="844"/>
    <cellStyle name="_mau so 3" xfId="845"/>
    <cellStyle name="_MauThanTKKT-goi7-DonGia2143(vl t7)" xfId="846"/>
    <cellStyle name="_MauThanTKKT-goi7-DonGia2143(vl t7)_!1 1 bao cao giao KH ve HTCMT vung TNB   12-12-2011" xfId="847"/>
    <cellStyle name="_MauThanTKKT-goi7-DonGia2143(vl t7)_Bieu4HTMT" xfId="848"/>
    <cellStyle name="_MauThanTKKT-goi7-DonGia2143(vl t7)_Bieu4HTMT_!1 1 bao cao giao KH ve HTCMT vung TNB   12-12-2011" xfId="849"/>
    <cellStyle name="_MauThanTKKT-goi7-DonGia2143(vl t7)_Bieu4HTMT_KH TPCP vung TNB (03-1-2012)" xfId="850"/>
    <cellStyle name="_MauThanTKKT-goi7-DonGia2143(vl t7)_KH TPCP vung TNB (03-1-2012)" xfId="851"/>
    <cellStyle name="_N-X-T-04" xfId="852"/>
    <cellStyle name="_Nhu cau von ung truoc 2011 Tha h Hoa + Nge An gui TW" xfId="853"/>
    <cellStyle name="_Nhu cau von ung truoc 2011 Tha h Hoa + Nge An gui TW_!1 1 bao cao giao KH ve HTCMT vung TNB   12-12-2011" xfId="854"/>
    <cellStyle name="_Nhu cau von ung truoc 2011 Tha h Hoa + Nge An gui TW_Bieu4HTMT" xfId="855"/>
    <cellStyle name="_Nhu cau von ung truoc 2011 Tha h Hoa + Nge An gui TW_Bieu4HTMT_!1 1 bao cao giao KH ve HTCMT vung TNB   12-12-2011" xfId="856"/>
    <cellStyle name="_Nhu cau von ung truoc 2011 Tha h Hoa + Nge An gui TW_Bieu4HTMT_KH TPCP vung TNB (03-1-2012)" xfId="857"/>
    <cellStyle name="_Nhu cau von ung truoc 2011 Tha h Hoa + Nge An gui TW_KH TPCP vung TNB (03-1-2012)" xfId="858"/>
    <cellStyle name="_PERSONAL" xfId="859"/>
    <cellStyle name="_PERSONAL_BC CV 6403 BKHĐT" xfId="860"/>
    <cellStyle name="_PERSONAL_Bieu mau cong trinh khoi cong moi 3-4" xfId="861"/>
    <cellStyle name="_PERSONAL_Bieu3ODA" xfId="862"/>
    <cellStyle name="_PERSONAL_Bieu4HTMT" xfId="863"/>
    <cellStyle name="_PERSONAL_Book1" xfId="864"/>
    <cellStyle name="_PERSONAL_Book1 2" xfId="865"/>
    <cellStyle name="_PERSONAL_HTQ.8 GD1" xfId="866"/>
    <cellStyle name="_PERSONAL_HTQ.8 GD1_05-12  KH trung han 2016-2020 - Liem Thinh edited" xfId="867"/>
    <cellStyle name="_PERSONAL_HTQ.8 GD1_Copy of 05-12  KH trung han 2016-2020 - Liem Thinh edited (1)" xfId="868"/>
    <cellStyle name="_PERSONAL_HTQ.8 GD1_KH TPCP 2016-2020 (tong hop)" xfId="869"/>
    <cellStyle name="_PERSONAL_Luy ke von ung nam 2011 -Thoa gui ngay 12-8-2012" xfId="870"/>
    <cellStyle name="_PERSONAL_Tong hop KHCB 2001" xfId="871"/>
    <cellStyle name="_Phan bo KH 2009 TPCP" xfId="872"/>
    <cellStyle name="_phong bo mon22" xfId="873"/>
    <cellStyle name="_phong bo mon22_!1 1 bao cao giao KH ve HTCMT vung TNB   12-12-2011" xfId="874"/>
    <cellStyle name="_phong bo mon22_KH TPCP vung TNB (03-1-2012)" xfId="875"/>
    <cellStyle name="_Phu luc 2 (Bieu 2) TH KH 2010" xfId="876"/>
    <cellStyle name="_phu luc tong ket tinh hinh TH giai doan 03-10 (ngay 30)" xfId="877"/>
    <cellStyle name="_Phuluckinhphi_DC_lan 4_YL" xfId="878"/>
    <cellStyle name="_Q TOAN  SCTX QL.62 QUI I ( oanh)" xfId="879"/>
    <cellStyle name="_Q TOAN  SCTX QL.62 QUI II ( oanh)" xfId="880"/>
    <cellStyle name="_QT SCTXQL62_QT1 (Cty QL)" xfId="881"/>
    <cellStyle name="_Qt-HT3PQ1(CauKho)" xfId="882"/>
    <cellStyle name="_Sheet1" xfId="883"/>
    <cellStyle name="_Sheet2" xfId="884"/>
    <cellStyle name="_TG-TH" xfId="885"/>
    <cellStyle name="_TG-TH_1" xfId="886"/>
    <cellStyle name="_TG-TH_1 2" xfId="887"/>
    <cellStyle name="_TG-TH_1_05-12  KH trung han 2016-2020 - Liem Thinh edited" xfId="888"/>
    <cellStyle name="_TG-TH_1_ApGiaVatTu_cayxanh_latgach" xfId="889"/>
    <cellStyle name="_TG-TH_1_BANG TONG HOP TINH HINH THANH QUYET TOAN (MOI I)" xfId="890"/>
    <cellStyle name="_TG-TH_1_BAO CAO KLCT PT2000" xfId="891"/>
    <cellStyle name="_TG-TH_1_BAO CAO PT2000" xfId="892"/>
    <cellStyle name="_TG-TH_1_BAO CAO PT2000_Book1" xfId="893"/>
    <cellStyle name="_TG-TH_1_Bao cao XDCB 2001 - T11 KH dieu chinh 20-11-THAI" xfId="894"/>
    <cellStyle name="_TG-TH_1_BAO GIA NGAY 24-10-08 (co dam)" xfId="895"/>
    <cellStyle name="_TG-TH_1_BC  NAM 2007" xfId="896"/>
    <cellStyle name="_TG-TH_1_BC CV 6403 BKHĐT" xfId="897"/>
    <cellStyle name="_TG-TH_1_BC NQ11-CP - chinh sua lai" xfId="898"/>
    <cellStyle name="_TG-TH_1_BC NQ11-CP-Quynh sau bieu so3" xfId="899"/>
    <cellStyle name="_TG-TH_1_BC_NQ11-CP_-_Thao_sua_lai" xfId="900"/>
    <cellStyle name="_TG-TH_1_Bieu mau cong trinh khoi cong moi 3-4" xfId="901"/>
    <cellStyle name="_TG-TH_1_Bieu3ODA" xfId="902"/>
    <cellStyle name="_TG-TH_1_Bieu3ODA_1" xfId="903"/>
    <cellStyle name="_TG-TH_1_Bieu4HTMT" xfId="904"/>
    <cellStyle name="_TG-TH_1_bo sung von KCH nam 2010 va Du an tre kho khan" xfId="905"/>
    <cellStyle name="_TG-TH_1_Book1" xfId="906"/>
    <cellStyle name="_TG-TH_1_Book1 2" xfId="907"/>
    <cellStyle name="_TG-TH_1_Book1_1" xfId="908"/>
    <cellStyle name="_TG-TH_1_Book1_1 2" xfId="909"/>
    <cellStyle name="_TG-TH_1_Book1_1_BC CV 6403 BKHĐT" xfId="910"/>
    <cellStyle name="_TG-TH_1_Book1_1_Bieu mau cong trinh khoi cong moi 3-4" xfId="911"/>
    <cellStyle name="_TG-TH_1_Book1_1_Bieu3ODA" xfId="912"/>
    <cellStyle name="_TG-TH_1_Book1_1_Bieu4HTMT" xfId="913"/>
    <cellStyle name="_TG-TH_1_Book1_1_Book1" xfId="914"/>
    <cellStyle name="_TG-TH_1_Book1_1_Luy ke von ung nam 2011 -Thoa gui ngay 12-8-2012" xfId="915"/>
    <cellStyle name="_TG-TH_1_Book1_2" xfId="916"/>
    <cellStyle name="_TG-TH_1_Book1_2 2" xfId="917"/>
    <cellStyle name="_TG-TH_1_Book1_2_BC CV 6403 BKHĐT" xfId="918"/>
    <cellStyle name="_TG-TH_1_Book1_2_Bieu3ODA" xfId="919"/>
    <cellStyle name="_TG-TH_1_Book1_2_Luy ke von ung nam 2011 -Thoa gui ngay 12-8-2012" xfId="920"/>
    <cellStyle name="_TG-TH_1_Book1_3" xfId="921"/>
    <cellStyle name="_TG-TH_1_Book1_BC CV 6403 BKHĐT" xfId="922"/>
    <cellStyle name="_TG-TH_1_Book1_BC-QT-WB-dthao" xfId="923"/>
    <cellStyle name="_TG-TH_1_Book1_Bieu mau cong trinh khoi cong moi 3-4" xfId="924"/>
    <cellStyle name="_TG-TH_1_Book1_Bieu3ODA" xfId="925"/>
    <cellStyle name="_TG-TH_1_Book1_Bieu4HTMT" xfId="926"/>
    <cellStyle name="_TG-TH_1_Book1_bo sung von KCH nam 2010 va Du an tre kho khan" xfId="927"/>
    <cellStyle name="_TG-TH_1_Book1_Book1" xfId="928"/>
    <cellStyle name="_TG-TH_1_Book1_danh muc chuan bi dau tu 2011 ngay 07-6-2011" xfId="929"/>
    <cellStyle name="_TG-TH_1_Book1_Danh muc pbo nguon von XSKT, XDCB nam 2009 chuyen qua nam 2010" xfId="930"/>
    <cellStyle name="_TG-TH_1_Book1_dieu chinh KH 2011 ngay 26-5-2011111" xfId="931"/>
    <cellStyle name="_TG-TH_1_Book1_DS KCH PHAN BO VON NSDP NAM 2010" xfId="932"/>
    <cellStyle name="_TG-TH_1_Book1_giao KH 2011 ngay 10-12-2010" xfId="933"/>
    <cellStyle name="_TG-TH_1_Book1_Luy ke von ung nam 2011 -Thoa gui ngay 12-8-2012" xfId="934"/>
    <cellStyle name="_TG-TH_1_CAU Khanh Nam(Thi Cong)" xfId="935"/>
    <cellStyle name="_TG-TH_1_CoCauPhi (version 1)" xfId="936"/>
    <cellStyle name="_TG-TH_1_Copy of 05-12  KH trung han 2016-2020 - Liem Thinh edited (1)" xfId="937"/>
    <cellStyle name="_TG-TH_1_ChiHuong_ApGia" xfId="938"/>
    <cellStyle name="_TG-TH_1_danh muc chuan bi dau tu 2011 ngay 07-6-2011" xfId="939"/>
    <cellStyle name="_TG-TH_1_Danh muc pbo nguon von XSKT, XDCB nam 2009 chuyen qua nam 2010" xfId="940"/>
    <cellStyle name="_TG-TH_1_DAU NOI PL-CL TAI PHU LAMHC" xfId="941"/>
    <cellStyle name="_TG-TH_1_dieu chinh KH 2011 ngay 26-5-2011111" xfId="942"/>
    <cellStyle name="_TG-TH_1_DS KCH PHAN BO VON NSDP NAM 2010" xfId="943"/>
    <cellStyle name="_TG-TH_1_DTCDT MR.2N110.HOCMON.TDTOAN.CCUNG" xfId="944"/>
    <cellStyle name="_TG-TH_1_DU TRU VAT TU" xfId="945"/>
    <cellStyle name="_TG-TH_1_GTGT 2003" xfId="946"/>
    <cellStyle name="_TG-TH_1_giao KH 2011 ngay 10-12-2010" xfId="947"/>
    <cellStyle name="_TG-TH_1_KE KHAI THUE GTGT 2004" xfId="948"/>
    <cellStyle name="_TG-TH_1_KE KHAI THUE GTGT 2004_BCTC2004" xfId="949"/>
    <cellStyle name="_TG-TH_1_kien giang 2" xfId="950"/>
    <cellStyle name="_TG-TH_1_KH TPCP 2016-2020 (tong hop)" xfId="951"/>
    <cellStyle name="_TG-TH_1_KH TPCP vung TNB (03-1-2012)" xfId="952"/>
    <cellStyle name="_TG-TH_1_Lora-tungchau" xfId="953"/>
    <cellStyle name="_TG-TH_1_Luy ke von ung nam 2011 -Thoa gui ngay 12-8-2012" xfId="954"/>
    <cellStyle name="_TG-TH_1_N-X-T-04" xfId="955"/>
    <cellStyle name="_TG-TH_1_NhanCong" xfId="956"/>
    <cellStyle name="_TG-TH_1_PGIA-phieu tham tra Kho bac" xfId="957"/>
    <cellStyle name="_TG-TH_1_PT02-02" xfId="958"/>
    <cellStyle name="_TG-TH_1_PT02-02_Book1" xfId="959"/>
    <cellStyle name="_TG-TH_1_PT02-03" xfId="960"/>
    <cellStyle name="_TG-TH_1_PT02-03_Book1" xfId="961"/>
    <cellStyle name="_TG-TH_1_phu luc tong ket tinh hinh TH giai doan 03-10 (ngay 30)" xfId="962"/>
    <cellStyle name="_TG-TH_1_Qt-HT3PQ1(CauKho)" xfId="963"/>
    <cellStyle name="_TG-TH_1_Sheet1" xfId="964"/>
    <cellStyle name="_TG-TH_1_TK152-04" xfId="965"/>
    <cellStyle name="_TG-TH_1_ÿÿÿÿÿ" xfId="966"/>
    <cellStyle name="_TG-TH_1_ÿÿÿÿÿ_Bieu mau cong trinh khoi cong moi 3-4" xfId="967"/>
    <cellStyle name="_TG-TH_1_ÿÿÿÿÿ_Bieu3ODA" xfId="968"/>
    <cellStyle name="_TG-TH_1_ÿÿÿÿÿ_Bieu4HTMT" xfId="969"/>
    <cellStyle name="_TG-TH_1_ÿÿÿÿÿ_kien giang 2" xfId="970"/>
    <cellStyle name="_TG-TH_1_ÿÿÿÿÿ_KH TPCP vung TNB (03-1-2012)" xfId="971"/>
    <cellStyle name="_TG-TH_2" xfId="972"/>
    <cellStyle name="_TG-TH_2 2" xfId="973"/>
    <cellStyle name="_TG-TH_2_05-12  KH trung han 2016-2020 - Liem Thinh edited" xfId="974"/>
    <cellStyle name="_TG-TH_2_ApGiaVatTu_cayxanh_latgach" xfId="975"/>
    <cellStyle name="_TG-TH_2_BANG TONG HOP TINH HINH THANH QUYET TOAN (MOI I)" xfId="976"/>
    <cellStyle name="_TG-TH_2_BAO CAO KLCT PT2000" xfId="977"/>
    <cellStyle name="_TG-TH_2_BAO CAO PT2000" xfId="978"/>
    <cellStyle name="_TG-TH_2_BAO CAO PT2000_Book1" xfId="979"/>
    <cellStyle name="_TG-TH_2_Bao cao XDCB 2001 - T11 KH dieu chinh 20-11-THAI" xfId="980"/>
    <cellStyle name="_TG-TH_2_BAO GIA NGAY 24-10-08 (co dam)" xfId="981"/>
    <cellStyle name="_TG-TH_2_BC  NAM 2007" xfId="982"/>
    <cellStyle name="_TG-TH_2_BC CV 6403 BKHĐT" xfId="983"/>
    <cellStyle name="_TG-TH_2_BC NQ11-CP - chinh sua lai" xfId="984"/>
    <cellStyle name="_TG-TH_2_BC NQ11-CP-Quynh sau bieu so3" xfId="985"/>
    <cellStyle name="_TG-TH_2_BC_NQ11-CP_-_Thao_sua_lai" xfId="986"/>
    <cellStyle name="_TG-TH_2_Bieu mau cong trinh khoi cong moi 3-4" xfId="987"/>
    <cellStyle name="_TG-TH_2_Bieu3ODA" xfId="988"/>
    <cellStyle name="_TG-TH_2_Bieu3ODA_1" xfId="989"/>
    <cellStyle name="_TG-TH_2_Bieu4HTMT" xfId="990"/>
    <cellStyle name="_TG-TH_2_bo sung von KCH nam 2010 va Du an tre kho khan" xfId="991"/>
    <cellStyle name="_TG-TH_2_Book1" xfId="992"/>
    <cellStyle name="_TG-TH_2_Book1 2" xfId="993"/>
    <cellStyle name="_TG-TH_2_Book1_1" xfId="994"/>
    <cellStyle name="_TG-TH_2_Book1_1 2" xfId="995"/>
    <cellStyle name="_TG-TH_2_Book1_1_BC CV 6403 BKHĐT" xfId="996"/>
    <cellStyle name="_TG-TH_2_Book1_1_Bieu mau cong trinh khoi cong moi 3-4" xfId="997"/>
    <cellStyle name="_TG-TH_2_Book1_1_Bieu3ODA" xfId="998"/>
    <cellStyle name="_TG-TH_2_Book1_1_Bieu4HTMT" xfId="999"/>
    <cellStyle name="_TG-TH_2_Book1_1_Book1" xfId="1000"/>
    <cellStyle name="_TG-TH_2_Book1_1_Luy ke von ung nam 2011 -Thoa gui ngay 12-8-2012" xfId="1001"/>
    <cellStyle name="_TG-TH_2_Book1_2" xfId="1002"/>
    <cellStyle name="_TG-TH_2_Book1_2 2" xfId="1003"/>
    <cellStyle name="_TG-TH_2_Book1_2_BC CV 6403 BKHĐT" xfId="1004"/>
    <cellStyle name="_TG-TH_2_Book1_2_Bieu3ODA" xfId="1005"/>
    <cellStyle name="_TG-TH_2_Book1_2_Luy ke von ung nam 2011 -Thoa gui ngay 12-8-2012" xfId="1006"/>
    <cellStyle name="_TG-TH_2_Book1_3" xfId="1007"/>
    <cellStyle name="_TG-TH_2_Book1_3 2" xfId="1008"/>
    <cellStyle name="_TG-TH_2_Book1_BC CV 6403 BKHĐT" xfId="1009"/>
    <cellStyle name="_TG-TH_2_Book1_Bieu mau cong trinh khoi cong moi 3-4" xfId="1010"/>
    <cellStyle name="_TG-TH_2_Book1_Bieu3ODA" xfId="1011"/>
    <cellStyle name="_TG-TH_2_Book1_Bieu4HTMT" xfId="1012"/>
    <cellStyle name="_TG-TH_2_Book1_bo sung von KCH nam 2010 va Du an tre kho khan" xfId="1013"/>
    <cellStyle name="_TG-TH_2_Book1_Book1" xfId="1014"/>
    <cellStyle name="_TG-TH_2_Book1_danh muc chuan bi dau tu 2011 ngay 07-6-2011" xfId="1015"/>
    <cellStyle name="_TG-TH_2_Book1_Danh muc pbo nguon von XSKT, XDCB nam 2009 chuyen qua nam 2010" xfId="1016"/>
    <cellStyle name="_TG-TH_2_Book1_dieu chinh KH 2011 ngay 26-5-2011111" xfId="1017"/>
    <cellStyle name="_TG-TH_2_Book1_DS KCH PHAN BO VON NSDP NAM 2010" xfId="1018"/>
    <cellStyle name="_TG-TH_2_Book1_giao KH 2011 ngay 10-12-2010" xfId="1019"/>
    <cellStyle name="_TG-TH_2_Book1_Luy ke von ung nam 2011 -Thoa gui ngay 12-8-2012" xfId="1020"/>
    <cellStyle name="_TG-TH_2_CAU Khanh Nam(Thi Cong)" xfId="1021"/>
    <cellStyle name="_TG-TH_2_CoCauPhi (version 1)" xfId="1022"/>
    <cellStyle name="_TG-TH_2_Copy of 05-12  KH trung han 2016-2020 - Liem Thinh edited (1)" xfId="1023"/>
    <cellStyle name="_TG-TH_2_ChiHuong_ApGia" xfId="1024"/>
    <cellStyle name="_TG-TH_2_danh muc chuan bi dau tu 2011 ngay 07-6-2011" xfId="1025"/>
    <cellStyle name="_TG-TH_2_Danh muc pbo nguon von XSKT, XDCB nam 2009 chuyen qua nam 2010" xfId="1026"/>
    <cellStyle name="_TG-TH_2_DAU NOI PL-CL TAI PHU LAMHC" xfId="1027"/>
    <cellStyle name="_TG-TH_2_dieu chinh KH 2011 ngay 26-5-2011111" xfId="1028"/>
    <cellStyle name="_TG-TH_2_DS KCH PHAN BO VON NSDP NAM 2010" xfId="1029"/>
    <cellStyle name="_TG-TH_2_DTCDT MR.2N110.HOCMON.TDTOAN.CCUNG" xfId="1030"/>
    <cellStyle name="_TG-TH_2_DU TRU VAT TU" xfId="1031"/>
    <cellStyle name="_TG-TH_2_GTGT 2003" xfId="1032"/>
    <cellStyle name="_TG-TH_2_giao KH 2011 ngay 10-12-2010" xfId="1033"/>
    <cellStyle name="_TG-TH_2_KE KHAI THUE GTGT 2004" xfId="1034"/>
    <cellStyle name="_TG-TH_2_KE KHAI THUE GTGT 2004_BCTC2004" xfId="1035"/>
    <cellStyle name="_TG-TH_2_kien giang 2" xfId="1036"/>
    <cellStyle name="_TG-TH_2_KH TPCP 2016-2020 (tong hop)" xfId="1037"/>
    <cellStyle name="_TG-TH_2_KH TPCP vung TNB (03-1-2012)" xfId="1038"/>
    <cellStyle name="_TG-TH_2_Lora-tungchau" xfId="1039"/>
    <cellStyle name="_TG-TH_2_Luy ke von ung nam 2011 -Thoa gui ngay 12-8-2012" xfId="1040"/>
    <cellStyle name="_TG-TH_2_N-X-T-04" xfId="1041"/>
    <cellStyle name="_TG-TH_2_NhanCong" xfId="1042"/>
    <cellStyle name="_TG-TH_2_PGIA-phieu tham tra Kho bac" xfId="1043"/>
    <cellStyle name="_TG-TH_2_PT02-02" xfId="1044"/>
    <cellStyle name="_TG-TH_2_PT02-02_Book1" xfId="1045"/>
    <cellStyle name="_TG-TH_2_PT02-03" xfId="1046"/>
    <cellStyle name="_TG-TH_2_PT02-03_Book1" xfId="1047"/>
    <cellStyle name="_TG-TH_2_phu luc tong ket tinh hinh TH giai doan 03-10 (ngay 30)" xfId="1048"/>
    <cellStyle name="_TG-TH_2_Qt-HT3PQ1(CauKho)" xfId="1049"/>
    <cellStyle name="_TG-TH_2_Sheet1" xfId="1050"/>
    <cellStyle name="_TG-TH_2_TK152-04" xfId="1051"/>
    <cellStyle name="_TG-TH_2_ÿÿÿÿÿ" xfId="1052"/>
    <cellStyle name="_TG-TH_2_ÿÿÿÿÿ_Bieu mau cong trinh khoi cong moi 3-4" xfId="1053"/>
    <cellStyle name="_TG-TH_2_ÿÿÿÿÿ_Bieu3ODA" xfId="1054"/>
    <cellStyle name="_TG-TH_2_ÿÿÿÿÿ_Bieu4HTMT" xfId="1055"/>
    <cellStyle name="_TG-TH_2_ÿÿÿÿÿ_kien giang 2" xfId="1056"/>
    <cellStyle name="_TG-TH_2_ÿÿÿÿÿ_KH TPCP vung TNB (03-1-2012)" xfId="1057"/>
    <cellStyle name="_TG-TH_3" xfId="1058"/>
    <cellStyle name="_TG-TH_3 2" xfId="1059"/>
    <cellStyle name="_TG-TH_3_05-12  KH trung han 2016-2020 - Liem Thinh edited" xfId="1060"/>
    <cellStyle name="_TG-TH_3_Copy of 05-12  KH trung han 2016-2020 - Liem Thinh edited (1)" xfId="1061"/>
    <cellStyle name="_TG-TH_3_KH TPCP 2016-2020 (tong hop)" xfId="1062"/>
    <cellStyle name="_TG-TH_3_Lora-tungchau" xfId="1063"/>
    <cellStyle name="_TG-TH_3_Lora-tungchau 2" xfId="1064"/>
    <cellStyle name="_TG-TH_3_Lora-tungchau_05-12  KH trung han 2016-2020 - Liem Thinh edited" xfId="1065"/>
    <cellStyle name="_TG-TH_3_Lora-tungchau_Copy of 05-12  KH trung han 2016-2020 - Liem Thinh edited (1)" xfId="1066"/>
    <cellStyle name="_TG-TH_3_Lora-tungchau_KH TPCP 2016-2020 (tong hop)" xfId="1067"/>
    <cellStyle name="_TG-TH_3_Qt-HT3PQ1(CauKho)" xfId="1068"/>
    <cellStyle name="_TG-TH_4" xfId="1069"/>
    <cellStyle name="_TK152-04" xfId="1070"/>
    <cellStyle name="_Tong dutoan PP LAHAI" xfId="1071"/>
    <cellStyle name="_TPCP GT-24-5-Mien Nui" xfId="1072"/>
    <cellStyle name="_TPCP GT-24-5-Mien Nui_!1 1 bao cao giao KH ve HTCMT vung TNB   12-12-2011" xfId="1073"/>
    <cellStyle name="_TPCP GT-24-5-Mien Nui_Bieu4HTMT" xfId="1074"/>
    <cellStyle name="_TPCP GT-24-5-Mien Nui_Bieu4HTMT_!1 1 bao cao giao KH ve HTCMT vung TNB   12-12-2011" xfId="1075"/>
    <cellStyle name="_TPCP GT-24-5-Mien Nui_Bieu4HTMT_KH TPCP vung TNB (03-1-2012)" xfId="1076"/>
    <cellStyle name="_TPCP GT-24-5-Mien Nui_KH TPCP vung TNB (03-1-2012)" xfId="1077"/>
    <cellStyle name="_TH KH 2010" xfId="1078"/>
    <cellStyle name="_ung truoc 2011 NSTW Thanh Hoa + Nge An gui Thu 12-5" xfId="1079"/>
    <cellStyle name="_ung truoc 2011 NSTW Thanh Hoa + Nge An gui Thu 12-5_!1 1 bao cao giao KH ve HTCMT vung TNB   12-12-2011" xfId="1080"/>
    <cellStyle name="_ung truoc 2011 NSTW Thanh Hoa + Nge An gui Thu 12-5_Bieu4HTMT" xfId="1081"/>
    <cellStyle name="_ung truoc 2011 NSTW Thanh Hoa + Nge An gui Thu 12-5_Bieu4HTMT_!1 1 bao cao giao KH ve HTCMT vung TNB   12-12-2011" xfId="1082"/>
    <cellStyle name="_ung truoc 2011 NSTW Thanh Hoa + Nge An gui Thu 12-5_Bieu4HTMT_KH TPCP vung TNB (03-1-2012)" xfId="1083"/>
    <cellStyle name="_ung truoc 2011 NSTW Thanh Hoa + Nge An gui Thu 12-5_KH TPCP vung TNB (03-1-2012)" xfId="1084"/>
    <cellStyle name="_ung truoc cua long an (6-5-2010)" xfId="1085"/>
    <cellStyle name="_Ung von nam 2011 vung TNB - Doan Cong tac (12-5-2010)" xfId="1086"/>
    <cellStyle name="_Ung von nam 2011 vung TNB - Doan Cong tac (12-5-2010)_!1 1 bao cao giao KH ve HTCMT vung TNB   12-12-2011" xfId="1087"/>
    <cellStyle name="_Ung von nam 2011 vung TNB - Doan Cong tac (12-5-2010)_Bieu4HTMT" xfId="1088"/>
    <cellStyle name="_Ung von nam 2011 vung TNB - Doan Cong tac (12-5-2010)_Bieu4HTMT_!1 1 bao cao giao KH ve HTCMT vung TNB   12-12-2011" xfId="1089"/>
    <cellStyle name="_Ung von nam 2011 vung TNB - Doan Cong tac (12-5-2010)_Bieu4HTMT_KH TPCP vung TNB (03-1-2012)" xfId="1090"/>
    <cellStyle name="_Ung von nam 2011 vung TNB - Doan Cong tac (12-5-2010)_Cong trinh co y kien LD_Dang_NN_2011-Tay nguyen-9-10" xfId="1091"/>
    <cellStyle name="_Ung von nam 2011 vung TNB - Doan Cong tac (12-5-2010)_Cong trinh co y kien LD_Dang_NN_2011-Tay nguyen-9-10_!1 1 bao cao giao KH ve HTCMT vung TNB   12-12-2011" xfId="1092"/>
    <cellStyle name="_Ung von nam 2011 vung TNB - Doan Cong tac (12-5-2010)_Cong trinh co y kien LD_Dang_NN_2011-Tay nguyen-9-10_Bieu4HTMT" xfId="1093"/>
    <cellStyle name="_Ung von nam 2011 vung TNB - Doan Cong tac (12-5-2010)_Cong trinh co y kien LD_Dang_NN_2011-Tay nguyen-9-10_Bieu4HTMT_!1 1 bao cao giao KH ve HTCMT vung TNB   12-12-2011" xfId="1094"/>
    <cellStyle name="_Ung von nam 2011 vung TNB - Doan Cong tac (12-5-2010)_Cong trinh co y kien LD_Dang_NN_2011-Tay nguyen-9-10_Bieu4HTMT_KH TPCP vung TNB (03-1-2012)" xfId="1095"/>
    <cellStyle name="_Ung von nam 2011 vung TNB - Doan Cong tac (12-5-2010)_Cong trinh co y kien LD_Dang_NN_2011-Tay nguyen-9-10_KH TPCP vung TNB (03-1-2012)" xfId="1096"/>
    <cellStyle name="_Ung von nam 2011 vung TNB - Doan Cong tac (12-5-2010)_Chuẩn bị đầu tư 2011 (sep Hung)_KH 2012 (T3-2013)" xfId="1097"/>
    <cellStyle name="_Ung von nam 2011 vung TNB - Doan Cong tac (12-5-2010)_KH TPCP vung TNB (03-1-2012)" xfId="1098"/>
    <cellStyle name="_Ung von nam 2011 vung TNB - Doan Cong tac (12-5-2010)_TN - Ho tro khac 2011" xfId="1099"/>
    <cellStyle name="_Ung von nam 2011 vung TNB - Doan Cong tac (12-5-2010)_TN - Ho tro khac 2011_!1 1 bao cao giao KH ve HTCMT vung TNB   12-12-2011" xfId="1100"/>
    <cellStyle name="_Ung von nam 2011 vung TNB - Doan Cong tac (12-5-2010)_TN - Ho tro khac 2011_Bieu4HTMT" xfId="1101"/>
    <cellStyle name="_Ung von nam 2011 vung TNB - Doan Cong tac (12-5-2010)_TN - Ho tro khac 2011_Bieu4HTMT_!1 1 bao cao giao KH ve HTCMT vung TNB   12-12-2011" xfId="1102"/>
    <cellStyle name="_Ung von nam 2011 vung TNB - Doan Cong tac (12-5-2010)_TN - Ho tro khac 2011_Bieu4HTMT_KH TPCP vung TNB (03-1-2012)" xfId="1103"/>
    <cellStyle name="_Ung von nam 2011 vung TNB - Doan Cong tac (12-5-2010)_TN - Ho tro khac 2011_KH TPCP vung TNB (03-1-2012)" xfId="1104"/>
    <cellStyle name="_Von dau tu 2006-2020 (TL chien luoc)" xfId="1105"/>
    <cellStyle name="_Von dau tu 2006-2020 (TL chien luoc)_15_10_2013 BC nhu cau von doi ung ODA (2014-2016) ngay 15102013 Sua" xfId="1106"/>
    <cellStyle name="_Von dau tu 2006-2020 (TL chien luoc)_BC nhu cau von doi ung ODA nganh NN (BKH)" xfId="1107"/>
    <cellStyle name="_Von dau tu 2006-2020 (TL chien luoc)_BC nhu cau von doi ung ODA nganh NN (BKH)_05-12  KH trung han 2016-2020 - Liem Thinh edited" xfId="1108"/>
    <cellStyle name="_Von dau tu 2006-2020 (TL chien luoc)_BC nhu cau von doi ung ODA nganh NN (BKH)_Copy of 05-12  KH trung han 2016-2020 - Liem Thinh edited (1)" xfId="1109"/>
    <cellStyle name="_Von dau tu 2006-2020 (TL chien luoc)_BC Tai co cau (bieu TH)" xfId="1110"/>
    <cellStyle name="_Von dau tu 2006-2020 (TL chien luoc)_BC Tai co cau (bieu TH)_05-12  KH trung han 2016-2020 - Liem Thinh edited" xfId="1111"/>
    <cellStyle name="_Von dau tu 2006-2020 (TL chien luoc)_BC Tai co cau (bieu TH)_Copy of 05-12  KH trung han 2016-2020 - Liem Thinh edited (1)" xfId="1112"/>
    <cellStyle name="_Von dau tu 2006-2020 (TL chien luoc)_DK 2014-2015 final" xfId="1113"/>
    <cellStyle name="_Von dau tu 2006-2020 (TL chien luoc)_DK 2014-2015 final_05-12  KH trung han 2016-2020 - Liem Thinh edited" xfId="1114"/>
    <cellStyle name="_Von dau tu 2006-2020 (TL chien luoc)_DK 2014-2015 final_Copy of 05-12  KH trung han 2016-2020 - Liem Thinh edited (1)" xfId="1115"/>
    <cellStyle name="_Von dau tu 2006-2020 (TL chien luoc)_DK 2014-2015 new" xfId="1116"/>
    <cellStyle name="_Von dau tu 2006-2020 (TL chien luoc)_DK 2014-2015 new_05-12  KH trung han 2016-2020 - Liem Thinh edited" xfId="1117"/>
    <cellStyle name="_Von dau tu 2006-2020 (TL chien luoc)_DK 2014-2015 new_Copy of 05-12  KH trung han 2016-2020 - Liem Thinh edited (1)" xfId="1118"/>
    <cellStyle name="_Von dau tu 2006-2020 (TL chien luoc)_DK KH CBDT 2014 11-11-2013" xfId="1119"/>
    <cellStyle name="_Von dau tu 2006-2020 (TL chien luoc)_DK KH CBDT 2014 11-11-2013(1)" xfId="1120"/>
    <cellStyle name="_Von dau tu 2006-2020 (TL chien luoc)_DK KH CBDT 2014 11-11-2013(1)_05-12  KH trung han 2016-2020 - Liem Thinh edited" xfId="1121"/>
    <cellStyle name="_Von dau tu 2006-2020 (TL chien luoc)_DK KH CBDT 2014 11-11-2013(1)_Copy of 05-12  KH trung han 2016-2020 - Liem Thinh edited (1)" xfId="1122"/>
    <cellStyle name="_Von dau tu 2006-2020 (TL chien luoc)_DK KH CBDT 2014 11-11-2013_05-12  KH trung han 2016-2020 - Liem Thinh edited" xfId="1123"/>
    <cellStyle name="_Von dau tu 2006-2020 (TL chien luoc)_DK KH CBDT 2014 11-11-2013_Copy of 05-12  KH trung han 2016-2020 - Liem Thinh edited (1)" xfId="1124"/>
    <cellStyle name="_Von dau tu 2006-2020 (TL chien luoc)_KH 2011-2015" xfId="1125"/>
    <cellStyle name="_Von dau tu 2006-2020 (TL chien luoc)_tai co cau dau tu (tong hop)1" xfId="1126"/>
    <cellStyle name="_x005f_x0001_" xfId="1127"/>
    <cellStyle name="_x005f_x0001__!1 1 bao cao giao KH ve HTCMT vung TNB   12-12-2011" xfId="1128"/>
    <cellStyle name="_x005f_x0001__kien giang 2" xfId="1129"/>
    <cellStyle name="_x005f_x000d__x005f_x000a_JournalTemplate=C:\COMFO\CTALK\JOURSTD.TPL_x005f_x000d__x005f_x000a_LbStateAddress=3 3 0 251 1 89 2 311_x005f_x000d__x005f_x000a_LbStateJou" xfId="1130"/>
    <cellStyle name="_x005f_x005f_x005f_x0001_" xfId="1131"/>
    <cellStyle name="_x005f_x005f_x005f_x0001__!1 1 bao cao giao KH ve HTCMT vung TNB   12-12-2011" xfId="1132"/>
    <cellStyle name="_x005f_x005f_x005f_x0001__kien giang 2" xfId="1133"/>
    <cellStyle name="_x005f_x005f_x005f_x000d__x005f_x005f_x005f_x000a_JournalTemplate=C:\COMFO\CTALK\JOURSTD.TPL_x005f_x005f_x005f_x000d__x005f_x005f_x005f_x000a_LbStateAddress=3 3 0 251 1 89 2 311_x005f_x005f_x005f_x000d__x005f_x005f_x005f_x000a_LbStateJou" xfId="1134"/>
    <cellStyle name="_XDCB thang 12.2010" xfId="1135"/>
    <cellStyle name="_ÿÿÿÿÿ" xfId="1136"/>
    <cellStyle name="_ÿÿÿÿÿ_Bieu mau cong trinh khoi cong moi 3-4" xfId="1137"/>
    <cellStyle name="_ÿÿÿÿÿ_Bieu mau cong trinh khoi cong moi 3-4_!1 1 bao cao giao KH ve HTCMT vung TNB   12-12-2011" xfId="1138"/>
    <cellStyle name="_ÿÿÿÿÿ_Bieu mau cong trinh khoi cong moi 3-4_KH TPCP vung TNB (03-1-2012)" xfId="1139"/>
    <cellStyle name="_ÿÿÿÿÿ_Bieu3ODA" xfId="1140"/>
    <cellStyle name="_ÿÿÿÿÿ_Bieu3ODA_!1 1 bao cao giao KH ve HTCMT vung TNB   12-12-2011" xfId="1141"/>
    <cellStyle name="_ÿÿÿÿÿ_Bieu3ODA_KH TPCP vung TNB (03-1-2012)" xfId="1142"/>
    <cellStyle name="_ÿÿÿÿÿ_Bieu4HTMT" xfId="1143"/>
    <cellStyle name="_ÿÿÿÿÿ_Bieu4HTMT_!1 1 bao cao giao KH ve HTCMT vung TNB   12-12-2011" xfId="1144"/>
    <cellStyle name="_ÿÿÿÿÿ_Bieu4HTMT_KH TPCP vung TNB (03-1-2012)" xfId="1145"/>
    <cellStyle name="_ÿÿÿÿÿ_kien giang 2" xfId="1146"/>
    <cellStyle name="_ÿÿÿÿÿ_Kh ql62 (2010) 11-09" xfId="1147"/>
    <cellStyle name="_ÿÿÿÿÿ_KH TPCP vung TNB (03-1-2012)" xfId="1148"/>
    <cellStyle name="_ÿÿÿÿÿ_Khung 2012" xfId="1149"/>
    <cellStyle name="~1" xfId="1150"/>
    <cellStyle name="’Ê‰Ý [0.00]_laroux" xfId="1151"/>
    <cellStyle name="’Ê‰Ý_laroux" xfId="1152"/>
    <cellStyle name="¤@¯ë_CHI PHI QUAN LY 1-00" xfId="1153"/>
    <cellStyle name="•W?_Format" xfId="1154"/>
    <cellStyle name="•W€_’·Šú‰p•¶" xfId="1155"/>
    <cellStyle name="•W_’·Šú‰p•¶" xfId="1156"/>
    <cellStyle name="W_MARINE" xfId="1157"/>
    <cellStyle name="0" xfId="1158"/>
    <cellStyle name="0 2" xfId="1159"/>
    <cellStyle name="0,0_x000a__x000a_NA_x000a__x000a_" xfId="1160"/>
    <cellStyle name="0,0_x000d__x000a_NA_x000d__x000a_" xfId="1161"/>
    <cellStyle name="0,0_x000d__x000a_NA_x000d__x000a_ 2" xfId="1162"/>
    <cellStyle name="0,0_x000d__x000a_NA_x000d__x000a__Thanh hoa chinh thuc 28-2" xfId="1163"/>
    <cellStyle name="0,0_x005f_x000d__x005f_x000a_NA_x005f_x000d__x005f_x000a_" xfId="1164"/>
    <cellStyle name="0.0" xfId="1165"/>
    <cellStyle name="0.0 2" xfId="1166"/>
    <cellStyle name="0.00" xfId="1167"/>
    <cellStyle name="0.00 2" xfId="1168"/>
    <cellStyle name="1" xfId="1169"/>
    <cellStyle name="1 2" xfId="1170"/>
    <cellStyle name="1_!1 1 bao cao giao KH ve HTCMT vung TNB   12-12-2011" xfId="1171"/>
    <cellStyle name="1_BAO GIA NGAY 24-10-08 (co dam)" xfId="1172"/>
    <cellStyle name="1_Bieu4HTMT" xfId="1173"/>
    <cellStyle name="1_Book1" xfId="1174"/>
    <cellStyle name="1_Book1_1" xfId="1175"/>
    <cellStyle name="1_Book1_1_!1 1 bao cao giao KH ve HTCMT vung TNB   12-12-2011" xfId="1176"/>
    <cellStyle name="1_Book1_1_Bieu4HTMT" xfId="1177"/>
    <cellStyle name="1_Book1_1_Bieu4HTMT_!1 1 bao cao giao KH ve HTCMT vung TNB   12-12-2011" xfId="1178"/>
    <cellStyle name="1_Book1_1_Bieu4HTMT_KH TPCP vung TNB (03-1-2012)" xfId="1179"/>
    <cellStyle name="1_Book1_1_KH TPCP vung TNB (03-1-2012)" xfId="1180"/>
    <cellStyle name="1_Cau thuy dien Ban La (Cu Anh)" xfId="1181"/>
    <cellStyle name="1_Cau thuy dien Ban La (Cu Anh)_!1 1 bao cao giao KH ve HTCMT vung TNB   12-12-2011" xfId="1182"/>
    <cellStyle name="1_Cau thuy dien Ban La (Cu Anh)_Bieu4HTMT" xfId="1183"/>
    <cellStyle name="1_Cau thuy dien Ban La (Cu Anh)_Bieu4HTMT_!1 1 bao cao giao KH ve HTCMT vung TNB   12-12-2011" xfId="1184"/>
    <cellStyle name="1_Cau thuy dien Ban La (Cu Anh)_Bieu4HTMT_KH TPCP vung TNB (03-1-2012)" xfId="1185"/>
    <cellStyle name="1_Cau thuy dien Ban La (Cu Anh)_KH TPCP vung TNB (03-1-2012)" xfId="1186"/>
    <cellStyle name="1_Cong trinh co y kien LD_Dang_NN_2011-Tay nguyen-9-10" xfId="1187"/>
    <cellStyle name="1_Du toan 558 (Km17+508.12 - Km 22)" xfId="1188"/>
    <cellStyle name="1_Du toan 558 (Km17+508.12 - Km 22)_!1 1 bao cao giao KH ve HTCMT vung TNB   12-12-2011" xfId="1189"/>
    <cellStyle name="1_Du toan 558 (Km17+508.12 - Km 22)_Bieu4HTMT" xfId="1190"/>
    <cellStyle name="1_Du toan 558 (Km17+508.12 - Km 22)_Bieu4HTMT_!1 1 bao cao giao KH ve HTCMT vung TNB   12-12-2011" xfId="1191"/>
    <cellStyle name="1_Du toan 558 (Km17+508.12 - Km 22)_Bieu4HTMT_KH TPCP vung TNB (03-1-2012)" xfId="1192"/>
    <cellStyle name="1_Du toan 558 (Km17+508.12 - Km 22)_KH TPCP vung TNB (03-1-2012)" xfId="1193"/>
    <cellStyle name="1_Gia_VLQL48_duyet " xfId="1194"/>
    <cellStyle name="1_Gia_VLQL48_duyet _!1 1 bao cao giao KH ve HTCMT vung TNB   12-12-2011" xfId="1195"/>
    <cellStyle name="1_Gia_VLQL48_duyet _Bieu4HTMT" xfId="1196"/>
    <cellStyle name="1_Gia_VLQL48_duyet _Bieu4HTMT_!1 1 bao cao giao KH ve HTCMT vung TNB   12-12-2011" xfId="1197"/>
    <cellStyle name="1_Gia_VLQL48_duyet _Bieu4HTMT_KH TPCP vung TNB (03-1-2012)" xfId="1198"/>
    <cellStyle name="1_Gia_VLQL48_duyet _KH TPCP vung TNB (03-1-2012)" xfId="1199"/>
    <cellStyle name="1_KlQdinhduyet" xfId="1200"/>
    <cellStyle name="1_KlQdinhduyet_!1 1 bao cao giao KH ve HTCMT vung TNB   12-12-2011" xfId="1201"/>
    <cellStyle name="1_KlQdinhduyet_Bieu4HTMT" xfId="1202"/>
    <cellStyle name="1_KlQdinhduyet_Bieu4HTMT_!1 1 bao cao giao KH ve HTCMT vung TNB   12-12-2011" xfId="1203"/>
    <cellStyle name="1_KlQdinhduyet_Bieu4HTMT_KH TPCP vung TNB (03-1-2012)" xfId="1204"/>
    <cellStyle name="1_KlQdinhduyet_KH TPCP vung TNB (03-1-2012)" xfId="1205"/>
    <cellStyle name="1_Kh ql62 (2010) 11-09" xfId="1206"/>
    <cellStyle name="1_KH TPCP vung TNB (03-1-2012)" xfId="1207"/>
    <cellStyle name="1_Khung 2012" xfId="1208"/>
    <cellStyle name="1_TN - Ho tro khac 2011" xfId="1209"/>
    <cellStyle name="1_TRUNG PMU 5" xfId="1210"/>
    <cellStyle name="1_ÿÿÿÿÿ" xfId="1211"/>
    <cellStyle name="1_ÿÿÿÿÿ_Bieu tong hop nhu cau ung 2011 da chon loc -Mien nui" xfId="1212"/>
    <cellStyle name="1_ÿÿÿÿÿ_Bieu tong hop nhu cau ung 2011 da chon loc -Mien nui 2" xfId="1213"/>
    <cellStyle name="1_ÿÿÿÿÿ_Kh ql62 (2010) 11-09" xfId="1214"/>
    <cellStyle name="1_ÿÿÿÿÿ_Khung 2012" xfId="1215"/>
    <cellStyle name="15" xfId="1216"/>
    <cellStyle name="18" xfId="1217"/>
    <cellStyle name="¹éºÐÀ²_      " xfId="1218"/>
    <cellStyle name="2" xfId="1219"/>
    <cellStyle name="2_Book1" xfId="1220"/>
    <cellStyle name="2_Book1_1" xfId="1221"/>
    <cellStyle name="2_Book1_1_!1 1 bao cao giao KH ve HTCMT vung TNB   12-12-2011" xfId="1222"/>
    <cellStyle name="2_Book1_1_Bieu4HTMT" xfId="1223"/>
    <cellStyle name="2_Book1_1_Bieu4HTMT_!1 1 bao cao giao KH ve HTCMT vung TNB   12-12-2011" xfId="1224"/>
    <cellStyle name="2_Book1_1_Bieu4HTMT_KH TPCP vung TNB (03-1-2012)" xfId="1225"/>
    <cellStyle name="2_Book1_1_KH TPCP vung TNB (03-1-2012)" xfId="1226"/>
    <cellStyle name="2_Cau thuy dien Ban La (Cu Anh)" xfId="1227"/>
    <cellStyle name="2_Cau thuy dien Ban La (Cu Anh)_!1 1 bao cao giao KH ve HTCMT vung TNB   12-12-2011" xfId="1228"/>
    <cellStyle name="2_Cau thuy dien Ban La (Cu Anh)_Bieu4HTMT" xfId="1229"/>
    <cellStyle name="2_Cau thuy dien Ban La (Cu Anh)_Bieu4HTMT_!1 1 bao cao giao KH ve HTCMT vung TNB   12-12-2011" xfId="1230"/>
    <cellStyle name="2_Cau thuy dien Ban La (Cu Anh)_Bieu4HTMT_KH TPCP vung TNB (03-1-2012)" xfId="1231"/>
    <cellStyle name="2_Cau thuy dien Ban La (Cu Anh)_KH TPCP vung TNB (03-1-2012)" xfId="1232"/>
    <cellStyle name="2_Du toan 558 (Km17+508.12 - Km 22)" xfId="1233"/>
    <cellStyle name="2_Du toan 558 (Km17+508.12 - Km 22)_!1 1 bao cao giao KH ve HTCMT vung TNB   12-12-2011" xfId="1234"/>
    <cellStyle name="2_Du toan 558 (Km17+508.12 - Km 22)_Bieu4HTMT" xfId="1235"/>
    <cellStyle name="2_Du toan 558 (Km17+508.12 - Km 22)_Bieu4HTMT_!1 1 bao cao giao KH ve HTCMT vung TNB   12-12-2011" xfId="1236"/>
    <cellStyle name="2_Du toan 558 (Km17+508.12 - Km 22)_Bieu4HTMT_KH TPCP vung TNB (03-1-2012)" xfId="1237"/>
    <cellStyle name="2_Du toan 558 (Km17+508.12 - Km 22)_KH TPCP vung TNB (03-1-2012)" xfId="1238"/>
    <cellStyle name="2_Gia_VLQL48_duyet " xfId="1239"/>
    <cellStyle name="2_Gia_VLQL48_duyet _!1 1 bao cao giao KH ve HTCMT vung TNB   12-12-2011" xfId="1240"/>
    <cellStyle name="2_Gia_VLQL48_duyet _Bieu4HTMT" xfId="1241"/>
    <cellStyle name="2_Gia_VLQL48_duyet _Bieu4HTMT_!1 1 bao cao giao KH ve HTCMT vung TNB   12-12-2011" xfId="1242"/>
    <cellStyle name="2_Gia_VLQL48_duyet _Bieu4HTMT_KH TPCP vung TNB (03-1-2012)" xfId="1243"/>
    <cellStyle name="2_Gia_VLQL48_duyet _KH TPCP vung TNB (03-1-2012)" xfId="1244"/>
    <cellStyle name="2_KlQdinhduyet" xfId="1245"/>
    <cellStyle name="2_KlQdinhduyet_!1 1 bao cao giao KH ve HTCMT vung TNB   12-12-2011" xfId="1246"/>
    <cellStyle name="2_KlQdinhduyet_Bieu4HTMT" xfId="1247"/>
    <cellStyle name="2_KlQdinhduyet_Bieu4HTMT_!1 1 bao cao giao KH ve HTCMT vung TNB   12-12-2011" xfId="1248"/>
    <cellStyle name="2_KlQdinhduyet_Bieu4HTMT_KH TPCP vung TNB (03-1-2012)" xfId="1249"/>
    <cellStyle name="2_KlQdinhduyet_KH TPCP vung TNB (03-1-2012)" xfId="1250"/>
    <cellStyle name="2_TRUNG PMU 5" xfId="1251"/>
    <cellStyle name="2_ÿÿÿÿÿ" xfId="1252"/>
    <cellStyle name="2_ÿÿÿÿÿ_Bieu tong hop nhu cau ung 2011 da chon loc -Mien nui" xfId="1253"/>
    <cellStyle name="2_ÿÿÿÿÿ_Bieu tong hop nhu cau ung 2011 da chon loc -Mien nui 2" xfId="1254"/>
    <cellStyle name="20% - Accent1 2" xfId="1255"/>
    <cellStyle name="20% - Accent2 2" xfId="1256"/>
    <cellStyle name="20% - Accent3 2" xfId="1257"/>
    <cellStyle name="20% - Accent4 2" xfId="1258"/>
    <cellStyle name="20% - Accent5 2" xfId="1259"/>
    <cellStyle name="20% - Accent6 2" xfId="1260"/>
    <cellStyle name="-2001" xfId="1261"/>
    <cellStyle name="3" xfId="1262"/>
    <cellStyle name="3_Book1" xfId="1263"/>
    <cellStyle name="3_Book1_1" xfId="1264"/>
    <cellStyle name="3_Book1_1_!1 1 bao cao giao KH ve HTCMT vung TNB   12-12-2011" xfId="1265"/>
    <cellStyle name="3_Book1_1_Bieu4HTMT" xfId="1266"/>
    <cellStyle name="3_Book1_1_Bieu4HTMT_!1 1 bao cao giao KH ve HTCMT vung TNB   12-12-2011" xfId="1267"/>
    <cellStyle name="3_Book1_1_Bieu4HTMT_KH TPCP vung TNB (03-1-2012)" xfId="1268"/>
    <cellStyle name="3_Book1_1_KH TPCP vung TNB (03-1-2012)" xfId="1269"/>
    <cellStyle name="3_Cau thuy dien Ban La (Cu Anh)" xfId="1270"/>
    <cellStyle name="3_Cau thuy dien Ban La (Cu Anh)_!1 1 bao cao giao KH ve HTCMT vung TNB   12-12-2011" xfId="1271"/>
    <cellStyle name="3_Cau thuy dien Ban La (Cu Anh)_Bieu4HTMT" xfId="1272"/>
    <cellStyle name="3_Cau thuy dien Ban La (Cu Anh)_Bieu4HTMT_!1 1 bao cao giao KH ve HTCMT vung TNB   12-12-2011" xfId="1273"/>
    <cellStyle name="3_Cau thuy dien Ban La (Cu Anh)_Bieu4HTMT_KH TPCP vung TNB (03-1-2012)" xfId="1274"/>
    <cellStyle name="3_Cau thuy dien Ban La (Cu Anh)_KH TPCP vung TNB (03-1-2012)" xfId="1275"/>
    <cellStyle name="3_Du toan 558 (Km17+508.12 - Km 22)" xfId="1276"/>
    <cellStyle name="3_Du toan 558 (Km17+508.12 - Km 22)_!1 1 bao cao giao KH ve HTCMT vung TNB   12-12-2011" xfId="1277"/>
    <cellStyle name="3_Du toan 558 (Km17+508.12 - Km 22)_Bieu4HTMT" xfId="1278"/>
    <cellStyle name="3_Du toan 558 (Km17+508.12 - Km 22)_Bieu4HTMT_!1 1 bao cao giao KH ve HTCMT vung TNB   12-12-2011" xfId="1279"/>
    <cellStyle name="3_Du toan 558 (Km17+508.12 - Km 22)_Bieu4HTMT_KH TPCP vung TNB (03-1-2012)" xfId="1280"/>
    <cellStyle name="3_Du toan 558 (Km17+508.12 - Km 22)_KH TPCP vung TNB (03-1-2012)" xfId="1281"/>
    <cellStyle name="3_Gia_VLQL48_duyet " xfId="1282"/>
    <cellStyle name="3_Gia_VLQL48_duyet _!1 1 bao cao giao KH ve HTCMT vung TNB   12-12-2011" xfId="1283"/>
    <cellStyle name="3_Gia_VLQL48_duyet _Bieu4HTMT" xfId="1284"/>
    <cellStyle name="3_Gia_VLQL48_duyet _Bieu4HTMT_!1 1 bao cao giao KH ve HTCMT vung TNB   12-12-2011" xfId="1285"/>
    <cellStyle name="3_Gia_VLQL48_duyet _Bieu4HTMT_KH TPCP vung TNB (03-1-2012)" xfId="1286"/>
    <cellStyle name="3_Gia_VLQL48_duyet _KH TPCP vung TNB (03-1-2012)" xfId="1287"/>
    <cellStyle name="3_KlQdinhduyet" xfId="1288"/>
    <cellStyle name="3_KlQdinhduyet_!1 1 bao cao giao KH ve HTCMT vung TNB   12-12-2011" xfId="1289"/>
    <cellStyle name="3_KlQdinhduyet_Bieu4HTMT" xfId="1290"/>
    <cellStyle name="3_KlQdinhduyet_Bieu4HTMT_!1 1 bao cao giao KH ve HTCMT vung TNB   12-12-2011" xfId="1291"/>
    <cellStyle name="3_KlQdinhduyet_Bieu4HTMT_KH TPCP vung TNB (03-1-2012)" xfId="1292"/>
    <cellStyle name="3_KlQdinhduyet_KH TPCP vung TNB (03-1-2012)" xfId="1293"/>
    <cellStyle name="3_ÿÿÿÿÿ" xfId="1294"/>
    <cellStyle name="4" xfId="1295"/>
    <cellStyle name="4_Book1" xfId="1296"/>
    <cellStyle name="4_Book1_1" xfId="1297"/>
    <cellStyle name="4_Book1_1_!1 1 bao cao giao KH ve HTCMT vung TNB   12-12-2011" xfId="1298"/>
    <cellStyle name="4_Book1_1_Bieu4HTMT" xfId="1299"/>
    <cellStyle name="4_Book1_1_Bieu4HTMT_!1 1 bao cao giao KH ve HTCMT vung TNB   12-12-2011" xfId="1300"/>
    <cellStyle name="4_Book1_1_Bieu4HTMT_KH TPCP vung TNB (03-1-2012)" xfId="1301"/>
    <cellStyle name="4_Book1_1_KH TPCP vung TNB (03-1-2012)" xfId="1302"/>
    <cellStyle name="4_Cau thuy dien Ban La (Cu Anh)" xfId="1303"/>
    <cellStyle name="4_Cau thuy dien Ban La (Cu Anh)_!1 1 bao cao giao KH ve HTCMT vung TNB   12-12-2011" xfId="1304"/>
    <cellStyle name="4_Cau thuy dien Ban La (Cu Anh)_Bieu4HTMT" xfId="1305"/>
    <cellStyle name="4_Cau thuy dien Ban La (Cu Anh)_Bieu4HTMT_!1 1 bao cao giao KH ve HTCMT vung TNB   12-12-2011" xfId="1306"/>
    <cellStyle name="4_Cau thuy dien Ban La (Cu Anh)_Bieu4HTMT_KH TPCP vung TNB (03-1-2012)" xfId="1307"/>
    <cellStyle name="4_Cau thuy dien Ban La (Cu Anh)_KH TPCP vung TNB (03-1-2012)" xfId="1308"/>
    <cellStyle name="4_Du toan 558 (Km17+508.12 - Km 22)" xfId="1309"/>
    <cellStyle name="4_Du toan 558 (Km17+508.12 - Km 22)_!1 1 bao cao giao KH ve HTCMT vung TNB   12-12-2011" xfId="1310"/>
    <cellStyle name="4_Du toan 558 (Km17+508.12 - Km 22)_Bieu4HTMT" xfId="1311"/>
    <cellStyle name="4_Du toan 558 (Km17+508.12 - Km 22)_Bieu4HTMT_!1 1 bao cao giao KH ve HTCMT vung TNB   12-12-2011" xfId="1312"/>
    <cellStyle name="4_Du toan 558 (Km17+508.12 - Km 22)_Bieu4HTMT_KH TPCP vung TNB (03-1-2012)" xfId="1313"/>
    <cellStyle name="4_Du toan 558 (Km17+508.12 - Km 22)_KH TPCP vung TNB (03-1-2012)" xfId="1314"/>
    <cellStyle name="4_Gia_VLQL48_duyet " xfId="1315"/>
    <cellStyle name="4_Gia_VLQL48_duyet _!1 1 bao cao giao KH ve HTCMT vung TNB   12-12-2011" xfId="1316"/>
    <cellStyle name="4_Gia_VLQL48_duyet _Bieu4HTMT" xfId="1317"/>
    <cellStyle name="4_Gia_VLQL48_duyet _Bieu4HTMT_!1 1 bao cao giao KH ve HTCMT vung TNB   12-12-2011" xfId="1318"/>
    <cellStyle name="4_Gia_VLQL48_duyet _Bieu4HTMT_KH TPCP vung TNB (03-1-2012)" xfId="1319"/>
    <cellStyle name="4_Gia_VLQL48_duyet _KH TPCP vung TNB (03-1-2012)" xfId="1320"/>
    <cellStyle name="4_KlQdinhduyet" xfId="1321"/>
    <cellStyle name="4_KlQdinhduyet_!1 1 bao cao giao KH ve HTCMT vung TNB   12-12-2011" xfId="1322"/>
    <cellStyle name="4_KlQdinhduyet_Bieu4HTMT" xfId="1323"/>
    <cellStyle name="4_KlQdinhduyet_Bieu4HTMT_!1 1 bao cao giao KH ve HTCMT vung TNB   12-12-2011" xfId="1324"/>
    <cellStyle name="4_KlQdinhduyet_Bieu4HTMT_KH TPCP vung TNB (03-1-2012)" xfId="1325"/>
    <cellStyle name="4_KlQdinhduyet_KH TPCP vung TNB (03-1-2012)" xfId="1326"/>
    <cellStyle name="4_ÿÿÿÿÿ" xfId="1327"/>
    <cellStyle name="40% - Accent1 2" xfId="1328"/>
    <cellStyle name="40% - Accent2 2" xfId="1329"/>
    <cellStyle name="40% - Accent3 2" xfId="1330"/>
    <cellStyle name="40% - Accent4 2" xfId="1331"/>
    <cellStyle name="40% - Accent5 2" xfId="1332"/>
    <cellStyle name="40% - Accent6 2" xfId="1333"/>
    <cellStyle name="52" xfId="1334"/>
    <cellStyle name="6" xfId="1335"/>
    <cellStyle name="6_15_10_2013 BC nhu cau von doi ung ODA (2014-2016) ngay 15102013 Sua" xfId="1336"/>
    <cellStyle name="6_BC nhu cau von doi ung ODA nganh NN (BKH)" xfId="1337"/>
    <cellStyle name="6_BC nhu cau von doi ung ODA nganh NN (BKH)_05-12  KH trung han 2016-2020 - Liem Thinh edited" xfId="1338"/>
    <cellStyle name="6_BC nhu cau von doi ung ODA nganh NN (BKH)_Copy of 05-12  KH trung han 2016-2020 - Liem Thinh edited (1)" xfId="1339"/>
    <cellStyle name="6_BC Tai co cau (bieu TH)" xfId="1340"/>
    <cellStyle name="6_BC Tai co cau (bieu TH)_05-12  KH trung han 2016-2020 - Liem Thinh edited" xfId="1341"/>
    <cellStyle name="6_BC Tai co cau (bieu TH)_Copy of 05-12  KH trung han 2016-2020 - Liem Thinh edited (1)" xfId="1342"/>
    <cellStyle name="6_Cong trinh co y kien LD_Dang_NN_2011-Tay nguyen-9-10" xfId="1343"/>
    <cellStyle name="6_Cong trinh co y kien LD_Dang_NN_2011-Tay nguyen-9-10_!1 1 bao cao giao KH ve HTCMT vung TNB   12-12-2011" xfId="1344"/>
    <cellStyle name="6_Cong trinh co y kien LD_Dang_NN_2011-Tay nguyen-9-10_Bieu4HTMT" xfId="1345"/>
    <cellStyle name="6_Cong trinh co y kien LD_Dang_NN_2011-Tay nguyen-9-10_Bieu4HTMT_!1 1 bao cao giao KH ve HTCMT vung TNB   12-12-2011" xfId="1346"/>
    <cellStyle name="6_Cong trinh co y kien LD_Dang_NN_2011-Tay nguyen-9-10_Bieu4HTMT_KH TPCP vung TNB (03-1-2012)" xfId="1347"/>
    <cellStyle name="6_Cong trinh co y kien LD_Dang_NN_2011-Tay nguyen-9-10_KH TPCP vung TNB (03-1-2012)" xfId="1348"/>
    <cellStyle name="6_DK 2014-2015 final" xfId="1349"/>
    <cellStyle name="6_DK 2014-2015 final_05-12  KH trung han 2016-2020 - Liem Thinh edited" xfId="1350"/>
    <cellStyle name="6_DK 2014-2015 final_Copy of 05-12  KH trung han 2016-2020 - Liem Thinh edited (1)" xfId="1351"/>
    <cellStyle name="6_DK 2014-2015 new" xfId="1352"/>
    <cellStyle name="6_DK 2014-2015 new_05-12  KH trung han 2016-2020 - Liem Thinh edited" xfId="1353"/>
    <cellStyle name="6_DK 2014-2015 new_Copy of 05-12  KH trung han 2016-2020 - Liem Thinh edited (1)" xfId="1354"/>
    <cellStyle name="6_DK KH CBDT 2014 11-11-2013" xfId="1355"/>
    <cellStyle name="6_DK KH CBDT 2014 11-11-2013(1)" xfId="1356"/>
    <cellStyle name="6_DK KH CBDT 2014 11-11-2013(1)_05-12  KH trung han 2016-2020 - Liem Thinh edited" xfId="1357"/>
    <cellStyle name="6_DK KH CBDT 2014 11-11-2013(1)_Copy of 05-12  KH trung han 2016-2020 - Liem Thinh edited (1)" xfId="1358"/>
    <cellStyle name="6_DK KH CBDT 2014 11-11-2013_05-12  KH trung han 2016-2020 - Liem Thinh edited" xfId="1359"/>
    <cellStyle name="6_DK KH CBDT 2014 11-11-2013_Copy of 05-12  KH trung han 2016-2020 - Liem Thinh edited (1)" xfId="1360"/>
    <cellStyle name="6_KH 2011-2015" xfId="1361"/>
    <cellStyle name="6_tai co cau dau tu (tong hop)1" xfId="1362"/>
    <cellStyle name="6_TN - Ho tro khac 2011" xfId="1363"/>
    <cellStyle name="6_TN - Ho tro khac 2011_!1 1 bao cao giao KH ve HTCMT vung TNB   12-12-2011" xfId="1364"/>
    <cellStyle name="6_TN - Ho tro khac 2011_Bieu4HTMT" xfId="1365"/>
    <cellStyle name="6_TN - Ho tro khac 2011_Bieu4HTMT_!1 1 bao cao giao KH ve HTCMT vung TNB   12-12-2011" xfId="1366"/>
    <cellStyle name="6_TN - Ho tro khac 2011_Bieu4HTMT_KH TPCP vung TNB (03-1-2012)" xfId="1367"/>
    <cellStyle name="6_TN - Ho tro khac 2011_KH TPCP vung TNB (03-1-2012)" xfId="1368"/>
    <cellStyle name="60% - Accent1 2" xfId="1369"/>
    <cellStyle name="60% - Accent2 2" xfId="1370"/>
    <cellStyle name="60% - Accent3 2" xfId="1371"/>
    <cellStyle name="60% - Accent4 2" xfId="1372"/>
    <cellStyle name="60% - Accent5 2" xfId="1373"/>
    <cellStyle name="60% - Accent6 2" xfId="1374"/>
    <cellStyle name="9" xfId="1375"/>
    <cellStyle name="9_!1 1 bao cao giao KH ve HTCMT vung TNB   12-12-2011" xfId="1376"/>
    <cellStyle name="9_Bieu4HTMT" xfId="1377"/>
    <cellStyle name="9_Bieu4HTMT_!1 1 bao cao giao KH ve HTCMT vung TNB   12-12-2011" xfId="1378"/>
    <cellStyle name="9_Bieu4HTMT_KH TPCP vung TNB (03-1-2012)" xfId="1379"/>
    <cellStyle name="9_KH TPCP vung TNB (03-1-2012)" xfId="1380"/>
    <cellStyle name="Accent1 2" xfId="1381"/>
    <cellStyle name="Accent2 2" xfId="1382"/>
    <cellStyle name="Accent3 2" xfId="1383"/>
    <cellStyle name="Accent4 2" xfId="1384"/>
    <cellStyle name="Accent5 2" xfId="1385"/>
    <cellStyle name="Accent6 2" xfId="1386"/>
    <cellStyle name="ÅëÈ­ [0]_      " xfId="1387"/>
    <cellStyle name="AeE­ [0]_INQUIRY ¿?¾÷AßAø " xfId="1388"/>
    <cellStyle name="ÅëÈ­ [0]_L601CPT" xfId="1389"/>
    <cellStyle name="ÅëÈ­_      " xfId="1390"/>
    <cellStyle name="AeE­_INQUIRY ¿?¾÷AßAø " xfId="1391"/>
    <cellStyle name="ÅëÈ­_L601CPT" xfId="1392"/>
    <cellStyle name="args.style" xfId="1393"/>
    <cellStyle name="args.style 2" xfId="1394"/>
    <cellStyle name="at" xfId="1395"/>
    <cellStyle name="ÄÞ¸¶ [0]_      " xfId="1396"/>
    <cellStyle name="AÞ¸¶ [0]_INQUIRY ¿?¾÷AßAø " xfId="1397"/>
    <cellStyle name="ÄÞ¸¶ [0]_L601CPT" xfId="1398"/>
    <cellStyle name="ÄÞ¸¶_      " xfId="1399"/>
    <cellStyle name="AÞ¸¶_INQUIRY ¿?¾÷AßAø " xfId="1400"/>
    <cellStyle name="ÄÞ¸¶_L601CPT" xfId="1401"/>
    <cellStyle name="AutoFormat Options" xfId="1402"/>
    <cellStyle name="AutoFormat Options 2" xfId="1403"/>
    <cellStyle name="Bad 2" xfId="1404"/>
    <cellStyle name="Bình thường 2" xfId="4264"/>
    <cellStyle name="Body" xfId="1405"/>
    <cellStyle name="C?AØ_¿?¾÷CoE² " xfId="1406"/>
    <cellStyle name="C~1" xfId="1407"/>
    <cellStyle name="Ç¥ÁØ_      " xfId="1408"/>
    <cellStyle name="C￥AØ_¿μ¾÷CoE² " xfId="1409"/>
    <cellStyle name="Ç¥ÁØ_±¸¹Ì´ëÃ¥" xfId="1410"/>
    <cellStyle name="C￥AØ_Sheet1_¿μ¾÷CoE² " xfId="1411"/>
    <cellStyle name="Ç¥ÁØ_ÿÿÿÿÿÿ_4_ÃÑÇÕ°è " xfId="1412"/>
    <cellStyle name="Calc Currency (0)" xfId="1413"/>
    <cellStyle name="Calc Currency (0) 2" xfId="1414"/>
    <cellStyle name="Calc Currency (2)" xfId="1415"/>
    <cellStyle name="Calc Currency (2) 10" xfId="1416"/>
    <cellStyle name="Calc Currency (2) 11" xfId="1417"/>
    <cellStyle name="Calc Currency (2) 12" xfId="1418"/>
    <cellStyle name="Calc Currency (2) 13" xfId="1419"/>
    <cellStyle name="Calc Currency (2) 14" xfId="1420"/>
    <cellStyle name="Calc Currency (2) 15" xfId="1421"/>
    <cellStyle name="Calc Currency (2) 16" xfId="1422"/>
    <cellStyle name="Calc Currency (2) 2" xfId="1423"/>
    <cellStyle name="Calc Currency (2) 3" xfId="1424"/>
    <cellStyle name="Calc Currency (2) 4" xfId="1425"/>
    <cellStyle name="Calc Currency (2) 5" xfId="1426"/>
    <cellStyle name="Calc Currency (2) 6" xfId="1427"/>
    <cellStyle name="Calc Currency (2) 7" xfId="1428"/>
    <cellStyle name="Calc Currency (2) 8" xfId="1429"/>
    <cellStyle name="Calc Currency (2) 9" xfId="1430"/>
    <cellStyle name="Calc Percent (0)" xfId="1431"/>
    <cellStyle name="Calc Percent (0) 10" xfId="1432"/>
    <cellStyle name="Calc Percent (0) 11" xfId="1433"/>
    <cellStyle name="Calc Percent (0) 12" xfId="1434"/>
    <cellStyle name="Calc Percent (0) 13" xfId="1435"/>
    <cellStyle name="Calc Percent (0) 14" xfId="1436"/>
    <cellStyle name="Calc Percent (0) 15" xfId="1437"/>
    <cellStyle name="Calc Percent (0) 16" xfId="1438"/>
    <cellStyle name="Calc Percent (0) 2" xfId="1439"/>
    <cellStyle name="Calc Percent (0) 3" xfId="1440"/>
    <cellStyle name="Calc Percent (0) 4" xfId="1441"/>
    <cellStyle name="Calc Percent (0) 5" xfId="1442"/>
    <cellStyle name="Calc Percent (0) 6" xfId="1443"/>
    <cellStyle name="Calc Percent (0) 7" xfId="1444"/>
    <cellStyle name="Calc Percent (0) 8" xfId="1445"/>
    <cellStyle name="Calc Percent (0) 9" xfId="1446"/>
    <cellStyle name="Calc Percent (1)" xfId="1447"/>
    <cellStyle name="Calc Percent (1) 10" xfId="1448"/>
    <cellStyle name="Calc Percent (1) 11" xfId="1449"/>
    <cellStyle name="Calc Percent (1) 12" xfId="1450"/>
    <cellStyle name="Calc Percent (1) 13" xfId="1451"/>
    <cellStyle name="Calc Percent (1) 14" xfId="1452"/>
    <cellStyle name="Calc Percent (1) 15" xfId="1453"/>
    <cellStyle name="Calc Percent (1) 16" xfId="1454"/>
    <cellStyle name="Calc Percent (1) 2" xfId="1455"/>
    <cellStyle name="Calc Percent (1) 3" xfId="1456"/>
    <cellStyle name="Calc Percent (1) 4" xfId="1457"/>
    <cellStyle name="Calc Percent (1) 5" xfId="1458"/>
    <cellStyle name="Calc Percent (1) 6" xfId="1459"/>
    <cellStyle name="Calc Percent (1) 7" xfId="1460"/>
    <cellStyle name="Calc Percent (1) 8" xfId="1461"/>
    <cellStyle name="Calc Percent (1) 9" xfId="1462"/>
    <cellStyle name="Calc Percent (2)" xfId="1463"/>
    <cellStyle name="Calc Percent (2) 10" xfId="1464"/>
    <cellStyle name="Calc Percent (2) 11" xfId="1465"/>
    <cellStyle name="Calc Percent (2) 12" xfId="1466"/>
    <cellStyle name="Calc Percent (2) 13" xfId="1467"/>
    <cellStyle name="Calc Percent (2) 14" xfId="1468"/>
    <cellStyle name="Calc Percent (2) 15" xfId="1469"/>
    <cellStyle name="Calc Percent (2) 16" xfId="1470"/>
    <cellStyle name="Calc Percent (2) 2" xfId="1471"/>
    <cellStyle name="Calc Percent (2) 3" xfId="1472"/>
    <cellStyle name="Calc Percent (2) 4" xfId="1473"/>
    <cellStyle name="Calc Percent (2) 5" xfId="1474"/>
    <cellStyle name="Calc Percent (2) 6" xfId="1475"/>
    <cellStyle name="Calc Percent (2) 7" xfId="1476"/>
    <cellStyle name="Calc Percent (2) 8" xfId="1477"/>
    <cellStyle name="Calc Percent (2) 9" xfId="1478"/>
    <cellStyle name="Calc Units (0)" xfId="1479"/>
    <cellStyle name="Calc Units (0) 10" xfId="1480"/>
    <cellStyle name="Calc Units (0) 11" xfId="1481"/>
    <cellStyle name="Calc Units (0) 12" xfId="1482"/>
    <cellStyle name="Calc Units (0) 13" xfId="1483"/>
    <cellStyle name="Calc Units (0) 14" xfId="1484"/>
    <cellStyle name="Calc Units (0) 15" xfId="1485"/>
    <cellStyle name="Calc Units (0) 16" xfId="1486"/>
    <cellStyle name="Calc Units (0) 2" xfId="1487"/>
    <cellStyle name="Calc Units (0) 3" xfId="1488"/>
    <cellStyle name="Calc Units (0) 4" xfId="1489"/>
    <cellStyle name="Calc Units (0) 5" xfId="1490"/>
    <cellStyle name="Calc Units (0) 6" xfId="1491"/>
    <cellStyle name="Calc Units (0) 7" xfId="1492"/>
    <cellStyle name="Calc Units (0) 8" xfId="1493"/>
    <cellStyle name="Calc Units (0) 9" xfId="1494"/>
    <cellStyle name="Calc Units (1)" xfId="1495"/>
    <cellStyle name="Calc Units (1) 10" xfId="1496"/>
    <cellStyle name="Calc Units (1) 11" xfId="1497"/>
    <cellStyle name="Calc Units (1) 12" xfId="1498"/>
    <cellStyle name="Calc Units (1) 13" xfId="1499"/>
    <cellStyle name="Calc Units (1) 14" xfId="1500"/>
    <cellStyle name="Calc Units (1) 15" xfId="1501"/>
    <cellStyle name="Calc Units (1) 16" xfId="1502"/>
    <cellStyle name="Calc Units (1) 2" xfId="1503"/>
    <cellStyle name="Calc Units (1) 3" xfId="1504"/>
    <cellStyle name="Calc Units (1) 4" xfId="1505"/>
    <cellStyle name="Calc Units (1) 5" xfId="1506"/>
    <cellStyle name="Calc Units (1) 6" xfId="1507"/>
    <cellStyle name="Calc Units (1) 7" xfId="1508"/>
    <cellStyle name="Calc Units (1) 8" xfId="1509"/>
    <cellStyle name="Calc Units (1) 9" xfId="1510"/>
    <cellStyle name="Calc Units (2)" xfId="1511"/>
    <cellStyle name="Calc Units (2) 10" xfId="1512"/>
    <cellStyle name="Calc Units (2) 11" xfId="1513"/>
    <cellStyle name="Calc Units (2) 12" xfId="1514"/>
    <cellStyle name="Calc Units (2) 13" xfId="1515"/>
    <cellStyle name="Calc Units (2) 14" xfId="1516"/>
    <cellStyle name="Calc Units (2) 15" xfId="1517"/>
    <cellStyle name="Calc Units (2) 16" xfId="1518"/>
    <cellStyle name="Calc Units (2) 2" xfId="1519"/>
    <cellStyle name="Calc Units (2) 3" xfId="1520"/>
    <cellStyle name="Calc Units (2) 4" xfId="1521"/>
    <cellStyle name="Calc Units (2) 5" xfId="1522"/>
    <cellStyle name="Calc Units (2) 6" xfId="1523"/>
    <cellStyle name="Calc Units (2) 7" xfId="1524"/>
    <cellStyle name="Calc Units (2) 8" xfId="1525"/>
    <cellStyle name="Calc Units (2) 9" xfId="1526"/>
    <cellStyle name="Calculation 2" xfId="1527"/>
    <cellStyle name="category" xfId="1528"/>
    <cellStyle name="category 2" xfId="1529"/>
    <cellStyle name="Centered Heading" xfId="1530"/>
    <cellStyle name="Cerrency_Sheet2_XANGDAU" xfId="1531"/>
    <cellStyle name="Column_Title" xfId="1532"/>
    <cellStyle name="Comma" xfId="4282" builtinId="3"/>
    <cellStyle name="Comma  - Style1" xfId="1533"/>
    <cellStyle name="Comma  - Style2" xfId="1534"/>
    <cellStyle name="Comma  - Style3" xfId="1535"/>
    <cellStyle name="Comma  - Style4" xfId="1536"/>
    <cellStyle name="Comma  - Style5" xfId="1537"/>
    <cellStyle name="Comma  - Style6" xfId="1538"/>
    <cellStyle name="Comma  - Style7" xfId="1539"/>
    <cellStyle name="Comma  - Style8" xfId="1540"/>
    <cellStyle name="Comma %" xfId="1541"/>
    <cellStyle name="Comma % 10" xfId="1542"/>
    <cellStyle name="Comma % 11" xfId="1543"/>
    <cellStyle name="Comma % 12" xfId="1544"/>
    <cellStyle name="Comma % 13" xfId="1545"/>
    <cellStyle name="Comma % 14" xfId="1546"/>
    <cellStyle name="Comma % 15" xfId="1547"/>
    <cellStyle name="Comma % 2" xfId="1548"/>
    <cellStyle name="Comma % 3" xfId="1549"/>
    <cellStyle name="Comma % 4" xfId="1550"/>
    <cellStyle name="Comma % 5" xfId="1551"/>
    <cellStyle name="Comma % 6" xfId="1552"/>
    <cellStyle name="Comma % 7" xfId="1553"/>
    <cellStyle name="Comma % 8" xfId="1554"/>
    <cellStyle name="Comma % 9" xfId="1555"/>
    <cellStyle name="Comma [0] 10" xfId="1556"/>
    <cellStyle name="Comma [0] 11" xfId="1557"/>
    <cellStyle name="Comma [0] 2" xfId="1558"/>
    <cellStyle name="Comma [0] 2 10" xfId="1559"/>
    <cellStyle name="Comma [0] 2 11" xfId="1560"/>
    <cellStyle name="Comma [0] 2 12" xfId="1561"/>
    <cellStyle name="Comma [0] 2 13" xfId="1562"/>
    <cellStyle name="Comma [0] 2 14" xfId="1563"/>
    <cellStyle name="Comma [0] 2 15" xfId="1564"/>
    <cellStyle name="Comma [0] 2 16" xfId="1565"/>
    <cellStyle name="Comma [0] 2 17" xfId="1566"/>
    <cellStyle name="Comma [0] 2 18" xfId="1567"/>
    <cellStyle name="Comma [0] 2 19" xfId="1568"/>
    <cellStyle name="Comma [0] 2 2" xfId="1569"/>
    <cellStyle name="Comma [0] 2 2 2" xfId="1570"/>
    <cellStyle name="Comma [0] 2 20" xfId="1571"/>
    <cellStyle name="Comma [0] 2 21" xfId="1572"/>
    <cellStyle name="Comma [0] 2 22" xfId="1573"/>
    <cellStyle name="Comma [0] 2 23" xfId="1574"/>
    <cellStyle name="Comma [0] 2 24" xfId="1575"/>
    <cellStyle name="Comma [0] 2 25" xfId="1576"/>
    <cellStyle name="Comma [0] 2 26" xfId="1577"/>
    <cellStyle name="Comma [0] 2 3" xfId="1578"/>
    <cellStyle name="Comma [0] 2 4" xfId="1579"/>
    <cellStyle name="Comma [0] 2 5" xfId="1580"/>
    <cellStyle name="Comma [0] 2 6" xfId="1581"/>
    <cellStyle name="Comma [0] 2 7" xfId="1582"/>
    <cellStyle name="Comma [0] 2 8" xfId="1583"/>
    <cellStyle name="Comma [0] 2 9" xfId="1584"/>
    <cellStyle name="Comma [0] 2_05-12  KH trung han 2016-2020 - Liem Thinh edited" xfId="1585"/>
    <cellStyle name="Comma [0] 3" xfId="1586"/>
    <cellStyle name="Comma [0] 3 2" xfId="1587"/>
    <cellStyle name="Comma [0] 3 3" xfId="1588"/>
    <cellStyle name="Comma [0] 4" xfId="1589"/>
    <cellStyle name="Comma [0] 5" xfId="1590"/>
    <cellStyle name="Comma [0] 6" xfId="1591"/>
    <cellStyle name="Comma [0] 7" xfId="1592"/>
    <cellStyle name="Comma [0] 8" xfId="1593"/>
    <cellStyle name="Comma [0] 9" xfId="1594"/>
    <cellStyle name="Comma [00]" xfId="1595"/>
    <cellStyle name="Comma [00] 10" xfId="1596"/>
    <cellStyle name="Comma [00] 11" xfId="1597"/>
    <cellStyle name="Comma [00] 12" xfId="1598"/>
    <cellStyle name="Comma [00] 13" xfId="1599"/>
    <cellStyle name="Comma [00] 14" xfId="1600"/>
    <cellStyle name="Comma [00] 15" xfId="1601"/>
    <cellStyle name="Comma [00] 16" xfId="1602"/>
    <cellStyle name="Comma [00] 2" xfId="1603"/>
    <cellStyle name="Comma [00] 3" xfId="1604"/>
    <cellStyle name="Comma [00] 4" xfId="1605"/>
    <cellStyle name="Comma [00] 5" xfId="1606"/>
    <cellStyle name="Comma [00] 6" xfId="1607"/>
    <cellStyle name="Comma [00] 7" xfId="1608"/>
    <cellStyle name="Comma [00] 8" xfId="1609"/>
    <cellStyle name="Comma [00] 9" xfId="1610"/>
    <cellStyle name="Comma 0.0" xfId="1611"/>
    <cellStyle name="Comma 0.0%" xfId="1612"/>
    <cellStyle name="Comma 0.00" xfId="1613"/>
    <cellStyle name="Comma 0.00%" xfId="1614"/>
    <cellStyle name="Comma 0.000" xfId="1615"/>
    <cellStyle name="Comma 0.000%" xfId="1616"/>
    <cellStyle name="Comma 10" xfId="1617"/>
    <cellStyle name="Comma 10 10" xfId="1618"/>
    <cellStyle name="Comma 10 2" xfId="1619"/>
    <cellStyle name="Comma 10 2 2" xfId="1620"/>
    <cellStyle name="Comma 10 3" xfId="1621"/>
    <cellStyle name="Comma 10 3 2" xfId="1622"/>
    <cellStyle name="Comma 10 3 3 2" xfId="1623"/>
    <cellStyle name="Comma 11" xfId="1624"/>
    <cellStyle name="Comma 11 2" xfId="1625"/>
    <cellStyle name="Comma 11 3" xfId="1626"/>
    <cellStyle name="Comma 11 3 2" xfId="1627"/>
    <cellStyle name="Comma 11 3 3" xfId="1628"/>
    <cellStyle name="Comma 12" xfId="1629"/>
    <cellStyle name="Comma 12 2" xfId="1630"/>
    <cellStyle name="Comma 12 3" xfId="1631"/>
    <cellStyle name="Comma 13" xfId="1632"/>
    <cellStyle name="Comma 13 2" xfId="1633"/>
    <cellStyle name="Comma 13 2 2" xfId="1634"/>
    <cellStyle name="Comma 13 2 2 2" xfId="1635"/>
    <cellStyle name="Comma 13 2 2 2 2" xfId="1636"/>
    <cellStyle name="Comma 13 2 2 2 3" xfId="1637"/>
    <cellStyle name="Comma 13 2 2 3" xfId="1638"/>
    <cellStyle name="Comma 13 2 2 4" xfId="1639"/>
    <cellStyle name="Comma 13 2 2 5" xfId="1640"/>
    <cellStyle name="Comma 13 2 3" xfId="1641"/>
    <cellStyle name="Comma 13 2 3 2" xfId="1642"/>
    <cellStyle name="Comma 13 2 4" xfId="1643"/>
    <cellStyle name="Comma 13 2 5" xfId="1644"/>
    <cellStyle name="Comma 13 3" xfId="1645"/>
    <cellStyle name="Comma 13 4" xfId="1646"/>
    <cellStyle name="Comma 14" xfId="1647"/>
    <cellStyle name="Comma 14 2" xfId="1648"/>
    <cellStyle name="Comma 14 2 2" xfId="1649"/>
    <cellStyle name="Comma 14 3" xfId="1650"/>
    <cellStyle name="Comma 15" xfId="1651"/>
    <cellStyle name="Comma 15 2" xfId="1652"/>
    <cellStyle name="Comma 15 3" xfId="1653"/>
    <cellStyle name="Comma 16" xfId="1654"/>
    <cellStyle name="Comma 16 2" xfId="1655"/>
    <cellStyle name="Comma 16 3" xfId="1656"/>
    <cellStyle name="Comma 16 3 2" xfId="1657"/>
    <cellStyle name="Comma 16 3 2 2" xfId="1658"/>
    <cellStyle name="Comma 16 3 3" xfId="1659"/>
    <cellStyle name="Comma 16 3 3 2" xfId="1660"/>
    <cellStyle name="Comma 16 3 4" xfId="1661"/>
    <cellStyle name="Comma 16 3 5" xfId="4280"/>
    <cellStyle name="Comma 17" xfId="1662"/>
    <cellStyle name="Comma 17 2" xfId="1663"/>
    <cellStyle name="Comma 17 3" xfId="1664"/>
    <cellStyle name="Comma 17 4" xfId="1665"/>
    <cellStyle name="Comma 18" xfId="1666"/>
    <cellStyle name="Comma 18 2" xfId="1667"/>
    <cellStyle name="Comma 18 3" xfId="1668"/>
    <cellStyle name="Comma 19" xfId="1669"/>
    <cellStyle name="Comma 19 2" xfId="1670"/>
    <cellStyle name="Comma 2" xfId="5"/>
    <cellStyle name="Comma 2 10" xfId="1671"/>
    <cellStyle name="Comma 2 11" xfId="1672"/>
    <cellStyle name="Comma 2 12" xfId="1673"/>
    <cellStyle name="Comma 2 13" xfId="1674"/>
    <cellStyle name="Comma 2 14" xfId="1675"/>
    <cellStyle name="Comma 2 15" xfId="1676"/>
    <cellStyle name="Comma 2 16" xfId="1677"/>
    <cellStyle name="Comma 2 17" xfId="1678"/>
    <cellStyle name="Comma 2 18" xfId="1679"/>
    <cellStyle name="Comma 2 19" xfId="1680"/>
    <cellStyle name="Comma 2 2" xfId="1681"/>
    <cellStyle name="Comma 2 2 10" xfId="1682"/>
    <cellStyle name="Comma 2 2 11" xfId="1683"/>
    <cellStyle name="Comma 2 2 12" xfId="1684"/>
    <cellStyle name="Comma 2 2 13" xfId="1685"/>
    <cellStyle name="Comma 2 2 14" xfId="1686"/>
    <cellStyle name="Comma 2 2 15" xfId="1687"/>
    <cellStyle name="Comma 2 2 16" xfId="1688"/>
    <cellStyle name="Comma 2 2 17" xfId="1689"/>
    <cellStyle name="Comma 2 2 18" xfId="1690"/>
    <cellStyle name="Comma 2 2 19" xfId="1691"/>
    <cellStyle name="Comma 2 2 2" xfId="1692"/>
    <cellStyle name="Comma 2 2 2 10" xfId="1693"/>
    <cellStyle name="Comma 2 2 2 11" xfId="1694"/>
    <cellStyle name="Comma 2 2 2 12" xfId="1695"/>
    <cellStyle name="Comma 2 2 2 13" xfId="1696"/>
    <cellStyle name="Comma 2 2 2 14" xfId="1697"/>
    <cellStyle name="Comma 2 2 2 15" xfId="1698"/>
    <cellStyle name="Comma 2 2 2 16" xfId="1699"/>
    <cellStyle name="Comma 2 2 2 17" xfId="1700"/>
    <cellStyle name="Comma 2 2 2 18" xfId="1701"/>
    <cellStyle name="Comma 2 2 2 19" xfId="1702"/>
    <cellStyle name="Comma 2 2 2 2" xfId="1703"/>
    <cellStyle name="Comma 2 2 2 2 2" xfId="1704"/>
    <cellStyle name="Comma 2 2 2 20" xfId="1705"/>
    <cellStyle name="Comma 2 2 2 21" xfId="1706"/>
    <cellStyle name="Comma 2 2 2 22" xfId="1707"/>
    <cellStyle name="Comma 2 2 2 23" xfId="1708"/>
    <cellStyle name="Comma 2 2 2 24" xfId="1709"/>
    <cellStyle name="Comma 2 2 2 3" xfId="1710"/>
    <cellStyle name="Comma 2 2 2 4" xfId="1711"/>
    <cellStyle name="Comma 2 2 2 5" xfId="1712"/>
    <cellStyle name="Comma 2 2 2 6" xfId="1713"/>
    <cellStyle name="Comma 2 2 2 7" xfId="1714"/>
    <cellStyle name="Comma 2 2 2 8" xfId="1715"/>
    <cellStyle name="Comma 2 2 2 9" xfId="1716"/>
    <cellStyle name="Comma 2 2 20" xfId="1717"/>
    <cellStyle name="Comma 2 2 21" xfId="1718"/>
    <cellStyle name="Comma 2 2 22" xfId="1719"/>
    <cellStyle name="Comma 2 2 23" xfId="1720"/>
    <cellStyle name="Comma 2 2 24" xfId="1721"/>
    <cellStyle name="Comma 2 2 24 2" xfId="1722"/>
    <cellStyle name="Comma 2 2 25" xfId="1723"/>
    <cellStyle name="Comma 2 2 26" xfId="4273"/>
    <cellStyle name="Comma 2 2 3" xfId="1724"/>
    <cellStyle name="Comma 2 2 3 2" xfId="1725"/>
    <cellStyle name="Comma 2 2 4" xfId="1726"/>
    <cellStyle name="Comma 2 2 5" xfId="1727"/>
    <cellStyle name="Comma 2 2 6" xfId="1728"/>
    <cellStyle name="Comma 2 2 7" xfId="1729"/>
    <cellStyle name="Comma 2 2 8" xfId="1730"/>
    <cellStyle name="Comma 2 2 9" xfId="1731"/>
    <cellStyle name="Comma 2 2_05-12  KH trung han 2016-2020 - Liem Thinh edited" xfId="1732"/>
    <cellStyle name="Comma 2 20" xfId="1733"/>
    <cellStyle name="Comma 2 21" xfId="1734"/>
    <cellStyle name="Comma 2 22" xfId="1735"/>
    <cellStyle name="Comma 2 23" xfId="1736"/>
    <cellStyle name="Comma 2 24" xfId="1737"/>
    <cellStyle name="Comma 2 25" xfId="1738"/>
    <cellStyle name="Comma 2 26" xfId="1739"/>
    <cellStyle name="Comma 2 26 2" xfId="1740"/>
    <cellStyle name="Comma 2 27" xfId="1741"/>
    <cellStyle name="Comma 2 3" xfId="1742"/>
    <cellStyle name="Comma 2 3 2" xfId="1743"/>
    <cellStyle name="Comma 2 3 2 2" xfId="1744"/>
    <cellStyle name="Comma 2 3 2 3" xfId="1745"/>
    <cellStyle name="Comma 2 3 3" xfId="1746"/>
    <cellStyle name="Comma 2 4" xfId="1747"/>
    <cellStyle name="Comma 2 4 2" xfId="1748"/>
    <cellStyle name="Comma 2 5" xfId="1749"/>
    <cellStyle name="Comma 2 5 2" xfId="1750"/>
    <cellStyle name="Comma 2 5 3" xfId="1751"/>
    <cellStyle name="Comma 2 6" xfId="1752"/>
    <cellStyle name="Comma 2 7" xfId="1753"/>
    <cellStyle name="Comma 2 8" xfId="1754"/>
    <cellStyle name="Comma 2 9" xfId="1755"/>
    <cellStyle name="Comma 2_05-12  KH trung han 2016-2020 - Liem Thinh edited" xfId="1756"/>
    <cellStyle name="Comma 20" xfId="1757"/>
    <cellStyle name="Comma 20 2" xfId="1758"/>
    <cellStyle name="Comma 20 3" xfId="1759"/>
    <cellStyle name="Comma 21" xfId="1760"/>
    <cellStyle name="Comma 21 2" xfId="1761"/>
    <cellStyle name="Comma 21 3" xfId="1762"/>
    <cellStyle name="Comma 22" xfId="1763"/>
    <cellStyle name="Comma 22 2" xfId="1764"/>
    <cellStyle name="Comma 22 3" xfId="1765"/>
    <cellStyle name="Comma 23" xfId="1766"/>
    <cellStyle name="Comma 23 2" xfId="1767"/>
    <cellStyle name="Comma 23 3" xfId="1768"/>
    <cellStyle name="Comma 24" xfId="1769"/>
    <cellStyle name="Comma 24 2" xfId="1770"/>
    <cellStyle name="Comma 25" xfId="1771"/>
    <cellStyle name="Comma 25 2" xfId="1772"/>
    <cellStyle name="Comma 26" xfId="1773"/>
    <cellStyle name="Comma 26 2" xfId="1774"/>
    <cellStyle name="Comma 27" xfId="1775"/>
    <cellStyle name="Comma 27 2" xfId="1776"/>
    <cellStyle name="Comma 28" xfId="1777"/>
    <cellStyle name="Comma 28 2" xfId="1778"/>
    <cellStyle name="Comma 29" xfId="1779"/>
    <cellStyle name="Comma 29 2" xfId="1780"/>
    <cellStyle name="Comma 3" xfId="6"/>
    <cellStyle name="Comma 3 2" xfId="1781"/>
    <cellStyle name="Comma 3 2 10" xfId="1782"/>
    <cellStyle name="Comma 3 2 11" xfId="1783"/>
    <cellStyle name="Comma 3 2 12" xfId="1784"/>
    <cellStyle name="Comma 3 2 13" xfId="1785"/>
    <cellStyle name="Comma 3 2 14" xfId="1786"/>
    <cellStyle name="Comma 3 2 15" xfId="1787"/>
    <cellStyle name="Comma 3 2 2" xfId="1788"/>
    <cellStyle name="Comma 3 2 2 2" xfId="1789"/>
    <cellStyle name="Comma 3 2 2 3" xfId="1790"/>
    <cellStyle name="Comma 3 2 3" xfId="1791"/>
    <cellStyle name="Comma 3 2 3 2" xfId="1792"/>
    <cellStyle name="Comma 3 2 3 3" xfId="1793"/>
    <cellStyle name="Comma 3 2 4" xfId="1794"/>
    <cellStyle name="Comma 3 2 5" xfId="1795"/>
    <cellStyle name="Comma 3 2 6" xfId="1796"/>
    <cellStyle name="Comma 3 2 7" xfId="1797"/>
    <cellStyle name="Comma 3 2 8" xfId="1798"/>
    <cellStyle name="Comma 3 2 9" xfId="1799"/>
    <cellStyle name="Comma 3 3" xfId="1800"/>
    <cellStyle name="Comma 3 3 2" xfId="1801"/>
    <cellStyle name="Comma 3 3 3" xfId="1802"/>
    <cellStyle name="Comma 3 4" xfId="1803"/>
    <cellStyle name="Comma 3 4 2" xfId="1804"/>
    <cellStyle name="Comma 3 4 3" xfId="1805"/>
    <cellStyle name="Comma 3 5" xfId="1806"/>
    <cellStyle name="Comma 3 5 2" xfId="1807"/>
    <cellStyle name="Comma 3 6" xfId="1808"/>
    <cellStyle name="Comma 3 6 2" xfId="1809"/>
    <cellStyle name="Comma 3_Biểu 14 - KH2015 dự án ODA" xfId="1810"/>
    <cellStyle name="Comma 30" xfId="1811"/>
    <cellStyle name="Comma 30 2" xfId="1812"/>
    <cellStyle name="Comma 31" xfId="1813"/>
    <cellStyle name="Comma 31 2" xfId="1814"/>
    <cellStyle name="Comma 32" xfId="1815"/>
    <cellStyle name="Comma 32 2" xfId="1816"/>
    <cellStyle name="Comma 32 2 2" xfId="1817"/>
    <cellStyle name="Comma 32 3" xfId="1818"/>
    <cellStyle name="Comma 33" xfId="1819"/>
    <cellStyle name="Comma 33 2" xfId="1820"/>
    <cellStyle name="Comma 34" xfId="1821"/>
    <cellStyle name="Comma 34 2" xfId="1822"/>
    <cellStyle name="Comma 35" xfId="1823"/>
    <cellStyle name="Comma 35 2" xfId="1824"/>
    <cellStyle name="Comma 35 3" xfId="1825"/>
    <cellStyle name="Comma 35 3 2" xfId="1826"/>
    <cellStyle name="Comma 35 4" xfId="1827"/>
    <cellStyle name="Comma 35 4 2" xfId="1828"/>
    <cellStyle name="Comma 36" xfId="1829"/>
    <cellStyle name="Comma 36 2" xfId="1830"/>
    <cellStyle name="Comma 37" xfId="1831"/>
    <cellStyle name="Comma 37 2" xfId="1832"/>
    <cellStyle name="Comma 38" xfId="1833"/>
    <cellStyle name="Comma 39" xfId="1834"/>
    <cellStyle name="Comma 39 2" xfId="1835"/>
    <cellStyle name="Comma 4" xfId="7"/>
    <cellStyle name="Comma 4 10" xfId="1836"/>
    <cellStyle name="Comma 4 11" xfId="1837"/>
    <cellStyle name="Comma 4 12" xfId="1838"/>
    <cellStyle name="Comma 4 13" xfId="1839"/>
    <cellStyle name="Comma 4 14" xfId="1840"/>
    <cellStyle name="Comma 4 15" xfId="1841"/>
    <cellStyle name="Comma 4 16" xfId="1842"/>
    <cellStyle name="Comma 4 17" xfId="1843"/>
    <cellStyle name="Comma 4 18" xfId="1844"/>
    <cellStyle name="Comma 4 19" xfId="1845"/>
    <cellStyle name="Comma 4 2" xfId="1846"/>
    <cellStyle name="Comma 4 2 2" xfId="1847"/>
    <cellStyle name="Comma 4 3" xfId="1848"/>
    <cellStyle name="Comma 4 3 2" xfId="1849"/>
    <cellStyle name="Comma 4 3 2 2" xfId="1850"/>
    <cellStyle name="Comma 4 3 3" xfId="1851"/>
    <cellStyle name="Comma 4 4" xfId="1852"/>
    <cellStyle name="Comma 4 4 2" xfId="1853"/>
    <cellStyle name="Comma 4 4 3" xfId="1854"/>
    <cellStyle name="Comma 4 4 4" xfId="1855"/>
    <cellStyle name="Comma 4 5" xfId="1856"/>
    <cellStyle name="Comma 4 6" xfId="1857"/>
    <cellStyle name="Comma 4 7" xfId="1858"/>
    <cellStyle name="Comma 4 8" xfId="1859"/>
    <cellStyle name="Comma 4 9" xfId="1860"/>
    <cellStyle name="Comma 4_THEO DOI THUC HIEN (GỐC 1)" xfId="1861"/>
    <cellStyle name="Comma 40" xfId="1862"/>
    <cellStyle name="Comma 40 2" xfId="1863"/>
    <cellStyle name="Comma 41" xfId="1864"/>
    <cellStyle name="Comma 42" xfId="1865"/>
    <cellStyle name="Comma 43" xfId="1866"/>
    <cellStyle name="Comma 44" xfId="1867"/>
    <cellStyle name="Comma 45" xfId="1868"/>
    <cellStyle name="Comma 46" xfId="1869"/>
    <cellStyle name="Comma 47" xfId="1870"/>
    <cellStyle name="Comma 48" xfId="1871"/>
    <cellStyle name="Comma 49" xfId="1872"/>
    <cellStyle name="Comma 5" xfId="1873"/>
    <cellStyle name="Comma 5 10" xfId="1874"/>
    <cellStyle name="Comma 5 11" xfId="1875"/>
    <cellStyle name="Comma 5 12" xfId="1876"/>
    <cellStyle name="Comma 5 13" xfId="1877"/>
    <cellStyle name="Comma 5 14" xfId="1878"/>
    <cellStyle name="Comma 5 15" xfId="1879"/>
    <cellStyle name="Comma 5 16" xfId="1880"/>
    <cellStyle name="Comma 5 17" xfId="1881"/>
    <cellStyle name="Comma 5 17 2" xfId="1882"/>
    <cellStyle name="Comma 5 18" xfId="1883"/>
    <cellStyle name="Comma 5 19" xfId="1884"/>
    <cellStyle name="Comma 5 2" xfId="1885"/>
    <cellStyle name="Comma 5 2 2" xfId="1886"/>
    <cellStyle name="Comma 5 20" xfId="1887"/>
    <cellStyle name="Comma 5 3" xfId="1888"/>
    <cellStyle name="Comma 5 3 2" xfId="1889"/>
    <cellStyle name="Comma 5 4" xfId="1890"/>
    <cellStyle name="Comma 5 4 2" xfId="1891"/>
    <cellStyle name="Comma 5 5" xfId="1892"/>
    <cellStyle name="Comma 5 5 2" xfId="1893"/>
    <cellStyle name="Comma 5 6" xfId="1894"/>
    <cellStyle name="Comma 5 7" xfId="1895"/>
    <cellStyle name="Comma 5 8" xfId="1896"/>
    <cellStyle name="Comma 5 9" xfId="1897"/>
    <cellStyle name="Comma 5_05-12  KH trung han 2016-2020 - Liem Thinh edited" xfId="1898"/>
    <cellStyle name="Comma 50" xfId="1899"/>
    <cellStyle name="Comma 50 2" xfId="1900"/>
    <cellStyle name="Comma 51" xfId="1901"/>
    <cellStyle name="Comma 51 2" xfId="1902"/>
    <cellStyle name="Comma 52" xfId="1903"/>
    <cellStyle name="Comma 53" xfId="4289"/>
    <cellStyle name="Comma 54" xfId="4294"/>
    <cellStyle name="Comma 55" xfId="4266"/>
    <cellStyle name="Comma 57" xfId="4267"/>
    <cellStyle name="Comma 6" xfId="8"/>
    <cellStyle name="Comma 6 2" xfId="1904"/>
    <cellStyle name="Comma 6 2 2" xfId="1905"/>
    <cellStyle name="Comma 6 3" xfId="1906"/>
    <cellStyle name="Comma 6 4" xfId="1907"/>
    <cellStyle name="Comma 60" xfId="4269"/>
    <cellStyle name="Comma 61" xfId="4270"/>
    <cellStyle name="Comma 64" xfId="4271"/>
    <cellStyle name="Comma 65" xfId="4272"/>
    <cellStyle name="Comma 7" xfId="9"/>
    <cellStyle name="Comma 7 2" xfId="1908"/>
    <cellStyle name="Comma 7 3" xfId="1909"/>
    <cellStyle name="Comma 7 3 2" xfId="1910"/>
    <cellStyle name="Comma 7_20131129 Nhu cau 2014_TPCP ODA (co hoan ung)" xfId="1911"/>
    <cellStyle name="Comma 72" xfId="4274"/>
    <cellStyle name="Comma 73" xfId="4275"/>
    <cellStyle name="Comma 8" xfId="1912"/>
    <cellStyle name="Comma 8 2" xfId="1913"/>
    <cellStyle name="Comma 8 2 2" xfId="1914"/>
    <cellStyle name="Comma 8 3" xfId="1915"/>
    <cellStyle name="Comma 8 4" xfId="1916"/>
    <cellStyle name="Comma 9" xfId="1917"/>
    <cellStyle name="Comma 9 2" xfId="1918"/>
    <cellStyle name="Comma 9 2 2" xfId="1919"/>
    <cellStyle name="Comma 9 2 3" xfId="1920"/>
    <cellStyle name="Comma 9 3" xfId="1921"/>
    <cellStyle name="Comma 9 3 2" xfId="1922"/>
    <cellStyle name="Comma 9 4" xfId="1923"/>
    <cellStyle name="Comma 9 5" xfId="1924"/>
    <cellStyle name="Comma 92" xfId="4277"/>
    <cellStyle name="Comma 93" xfId="4278"/>
    <cellStyle name="comma zerodec" xfId="1925"/>
    <cellStyle name="Comma_Ke hoach DTPT NS tinh 2016" xfId="4291"/>
    <cellStyle name="Comma_Ke hoach DTPT NS tinh 2016_PA bc UBND tỉnh" xfId="4290"/>
    <cellStyle name="Comma_Ke hoach DTPT NS tinh 2016_PA bc UBND tỉnh 2" xfId="4312"/>
    <cellStyle name="Comma_Trung han 2016-2020 (theo ti le 15%) CS 17.11" xfId="4309"/>
    <cellStyle name="Comma0" xfId="1926"/>
    <cellStyle name="Comma0 10" xfId="1927"/>
    <cellStyle name="Comma0 11" xfId="1928"/>
    <cellStyle name="Comma0 12" xfId="1929"/>
    <cellStyle name="Comma0 13" xfId="1930"/>
    <cellStyle name="Comma0 14" xfId="1931"/>
    <cellStyle name="Comma0 15" xfId="1932"/>
    <cellStyle name="Comma0 16" xfId="1933"/>
    <cellStyle name="Comma0 2" xfId="1934"/>
    <cellStyle name="Comma0 2 2" xfId="1935"/>
    <cellStyle name="Comma0 3" xfId="1936"/>
    <cellStyle name="Comma0 4" xfId="1937"/>
    <cellStyle name="Comma0 5" xfId="1938"/>
    <cellStyle name="Comma0 6" xfId="1939"/>
    <cellStyle name="Comma0 7" xfId="1940"/>
    <cellStyle name="Comma0 8" xfId="1941"/>
    <cellStyle name="Comma0 9" xfId="1942"/>
    <cellStyle name="Company Name" xfId="1943"/>
    <cellStyle name="cong" xfId="1944"/>
    <cellStyle name="Copied" xfId="1945"/>
    <cellStyle name="Co聭ma_Sheet1" xfId="1946"/>
    <cellStyle name="CR Comma" xfId="1947"/>
    <cellStyle name="CR Currency" xfId="1948"/>
    <cellStyle name="Credit" xfId="1949"/>
    <cellStyle name="Credit subtotal" xfId="1950"/>
    <cellStyle name="Credit Total" xfId="1951"/>
    <cellStyle name="Cࡵrrency_Sheet1_PRODUCTĠ" xfId="1952"/>
    <cellStyle name="Curråncy [0]_FCST_RESULTS" xfId="1953"/>
    <cellStyle name="Currency %" xfId="1954"/>
    <cellStyle name="Currency % 10" xfId="1955"/>
    <cellStyle name="Currency % 11" xfId="1956"/>
    <cellStyle name="Currency % 12" xfId="1957"/>
    <cellStyle name="Currency % 13" xfId="1958"/>
    <cellStyle name="Currency % 14" xfId="1959"/>
    <cellStyle name="Currency % 15" xfId="1960"/>
    <cellStyle name="Currency % 2" xfId="1961"/>
    <cellStyle name="Currency % 3" xfId="1962"/>
    <cellStyle name="Currency % 4" xfId="1963"/>
    <cellStyle name="Currency % 5" xfId="1964"/>
    <cellStyle name="Currency % 6" xfId="1965"/>
    <cellStyle name="Currency % 7" xfId="1966"/>
    <cellStyle name="Currency % 8" xfId="1967"/>
    <cellStyle name="Currency % 9" xfId="1968"/>
    <cellStyle name="Currency %_05-12  KH trung han 2016-2020 - Liem Thinh edited" xfId="1969"/>
    <cellStyle name="Currency [0]ßmud plant bolted_RESULTS" xfId="1970"/>
    <cellStyle name="Currency [00]" xfId="1971"/>
    <cellStyle name="Currency [00] 10" xfId="1972"/>
    <cellStyle name="Currency [00] 11" xfId="1973"/>
    <cellStyle name="Currency [00] 12" xfId="1974"/>
    <cellStyle name="Currency [00] 13" xfId="1975"/>
    <cellStyle name="Currency [00] 14" xfId="1976"/>
    <cellStyle name="Currency [00] 15" xfId="1977"/>
    <cellStyle name="Currency [00] 16" xfId="1978"/>
    <cellStyle name="Currency [00] 2" xfId="1979"/>
    <cellStyle name="Currency [00] 3" xfId="1980"/>
    <cellStyle name="Currency [00] 4" xfId="1981"/>
    <cellStyle name="Currency [00] 5" xfId="1982"/>
    <cellStyle name="Currency [00] 6" xfId="1983"/>
    <cellStyle name="Currency [00] 7" xfId="1984"/>
    <cellStyle name="Currency [00] 8" xfId="1985"/>
    <cellStyle name="Currency [00] 9" xfId="1986"/>
    <cellStyle name="Currency 0.0" xfId="1987"/>
    <cellStyle name="Currency 0.0%" xfId="1988"/>
    <cellStyle name="Currency 0.0_05-12  KH trung han 2016-2020 - Liem Thinh edited" xfId="1989"/>
    <cellStyle name="Currency 0.00" xfId="1990"/>
    <cellStyle name="Currency 0.00%" xfId="1991"/>
    <cellStyle name="Currency 0.00_05-12  KH trung han 2016-2020 - Liem Thinh edited" xfId="1992"/>
    <cellStyle name="Currency 0.000" xfId="1993"/>
    <cellStyle name="Currency 0.000%" xfId="1994"/>
    <cellStyle name="Currency 0.000_05-12  KH trung han 2016-2020 - Liem Thinh edited" xfId="1995"/>
    <cellStyle name="Currency 2" xfId="1996"/>
    <cellStyle name="Currency 2 10" xfId="1997"/>
    <cellStyle name="Currency 2 11" xfId="1998"/>
    <cellStyle name="Currency 2 12" xfId="1999"/>
    <cellStyle name="Currency 2 13" xfId="2000"/>
    <cellStyle name="Currency 2 14" xfId="2001"/>
    <cellStyle name="Currency 2 15" xfId="2002"/>
    <cellStyle name="Currency 2 16" xfId="2003"/>
    <cellStyle name="Currency 2 2" xfId="2004"/>
    <cellStyle name="Currency 2 3" xfId="2005"/>
    <cellStyle name="Currency 2 4" xfId="2006"/>
    <cellStyle name="Currency 2 5" xfId="2007"/>
    <cellStyle name="Currency 2 6" xfId="2008"/>
    <cellStyle name="Currency 2 7" xfId="2009"/>
    <cellStyle name="Currency 2 8" xfId="2010"/>
    <cellStyle name="Currency 2 9" xfId="2011"/>
    <cellStyle name="Currency![0]_FCSt (2)" xfId="2012"/>
    <cellStyle name="Currency0" xfId="2013"/>
    <cellStyle name="Currency0 10" xfId="2014"/>
    <cellStyle name="Currency0 11" xfId="2015"/>
    <cellStyle name="Currency0 12" xfId="2016"/>
    <cellStyle name="Currency0 13" xfId="2017"/>
    <cellStyle name="Currency0 14" xfId="2018"/>
    <cellStyle name="Currency0 15" xfId="2019"/>
    <cellStyle name="Currency0 16" xfId="2020"/>
    <cellStyle name="Currency0 2" xfId="2021"/>
    <cellStyle name="Currency0 2 2" xfId="2022"/>
    <cellStyle name="Currency0 3" xfId="2023"/>
    <cellStyle name="Currency0 4" xfId="2024"/>
    <cellStyle name="Currency0 5" xfId="2025"/>
    <cellStyle name="Currency0 6" xfId="2026"/>
    <cellStyle name="Currency0 7" xfId="2027"/>
    <cellStyle name="Currency0 8" xfId="2028"/>
    <cellStyle name="Currency0 9" xfId="2029"/>
    <cellStyle name="Currency1" xfId="2030"/>
    <cellStyle name="Currency1 10" xfId="2031"/>
    <cellStyle name="Currency1 11" xfId="2032"/>
    <cellStyle name="Currency1 12" xfId="2033"/>
    <cellStyle name="Currency1 13" xfId="2034"/>
    <cellStyle name="Currency1 14" xfId="2035"/>
    <cellStyle name="Currency1 15" xfId="2036"/>
    <cellStyle name="Currency1 16" xfId="2037"/>
    <cellStyle name="Currency1 2" xfId="2038"/>
    <cellStyle name="Currency1 2 2" xfId="2039"/>
    <cellStyle name="Currency1 3" xfId="2040"/>
    <cellStyle name="Currency1 4" xfId="2041"/>
    <cellStyle name="Currency1 5" xfId="2042"/>
    <cellStyle name="Currency1 6" xfId="2043"/>
    <cellStyle name="Currency1 7" xfId="2044"/>
    <cellStyle name="Currency1 8" xfId="2045"/>
    <cellStyle name="Currency1 9" xfId="2046"/>
    <cellStyle name="Check Cell 2" xfId="2047"/>
    <cellStyle name="Chi phÝ kh¸c_Book1" xfId="2048"/>
    <cellStyle name="CHUONG" xfId="2049"/>
    <cellStyle name="D1" xfId="2050"/>
    <cellStyle name="Date" xfId="2051"/>
    <cellStyle name="Date 10" xfId="2052"/>
    <cellStyle name="Date 11" xfId="2053"/>
    <cellStyle name="Date 12" xfId="2054"/>
    <cellStyle name="Date 13" xfId="2055"/>
    <cellStyle name="Date 14" xfId="2056"/>
    <cellStyle name="Date 15" xfId="2057"/>
    <cellStyle name="Date 16" xfId="2058"/>
    <cellStyle name="Date 2" xfId="2059"/>
    <cellStyle name="Date 2 2" xfId="2060"/>
    <cellStyle name="Date 3" xfId="2061"/>
    <cellStyle name="Date 4" xfId="2062"/>
    <cellStyle name="Date 5" xfId="2063"/>
    <cellStyle name="Date 6" xfId="2064"/>
    <cellStyle name="Date 7" xfId="2065"/>
    <cellStyle name="Date 8" xfId="2066"/>
    <cellStyle name="Date 9" xfId="2067"/>
    <cellStyle name="Date Short" xfId="2068"/>
    <cellStyle name="Date Short 2" xfId="2069"/>
    <cellStyle name="Date_Book1" xfId="2070"/>
    <cellStyle name="DAUDE" xfId="2071"/>
    <cellStyle name="Dấu phẩy 2" xfId="4265"/>
    <cellStyle name="Dấu phẩy 2 2" xfId="4268"/>
    <cellStyle name="Dấu_phảy 2" xfId="2072"/>
    <cellStyle name="Debit" xfId="2073"/>
    <cellStyle name="Debit subtotal" xfId="2074"/>
    <cellStyle name="Debit Total" xfId="2075"/>
    <cellStyle name="DELTA" xfId="2076"/>
    <cellStyle name="DELTA 10" xfId="2077"/>
    <cellStyle name="DELTA 11" xfId="2078"/>
    <cellStyle name="DELTA 12" xfId="2079"/>
    <cellStyle name="DELTA 13" xfId="2080"/>
    <cellStyle name="DELTA 14" xfId="2081"/>
    <cellStyle name="DELTA 15" xfId="2082"/>
    <cellStyle name="DELTA 2" xfId="2083"/>
    <cellStyle name="DELTA 3" xfId="2084"/>
    <cellStyle name="DELTA 4" xfId="2085"/>
    <cellStyle name="DELTA 5" xfId="2086"/>
    <cellStyle name="DELTA 6" xfId="2087"/>
    <cellStyle name="DELTA 7" xfId="2088"/>
    <cellStyle name="DELTA 8" xfId="2089"/>
    <cellStyle name="DELTA 9" xfId="2090"/>
    <cellStyle name="Dezimal [0]_35ERI8T2gbIEMixb4v26icuOo" xfId="2091"/>
    <cellStyle name="Dezimal_35ERI8T2gbIEMixb4v26icuOo" xfId="2092"/>
    <cellStyle name="Dg" xfId="2093"/>
    <cellStyle name="Dgia" xfId="2094"/>
    <cellStyle name="Dgia 2" xfId="2095"/>
    <cellStyle name="Dollar (zero dec)" xfId="2096"/>
    <cellStyle name="Dollar (zero dec) 10" xfId="2097"/>
    <cellStyle name="Dollar (zero dec) 11" xfId="2098"/>
    <cellStyle name="Dollar (zero dec) 12" xfId="2099"/>
    <cellStyle name="Dollar (zero dec) 13" xfId="2100"/>
    <cellStyle name="Dollar (zero dec) 14" xfId="2101"/>
    <cellStyle name="Dollar (zero dec) 15" xfId="2102"/>
    <cellStyle name="Dollar (zero dec) 16" xfId="2103"/>
    <cellStyle name="Dollar (zero dec) 2" xfId="2104"/>
    <cellStyle name="Dollar (zero dec) 2 2" xfId="2105"/>
    <cellStyle name="Dollar (zero dec) 3" xfId="2106"/>
    <cellStyle name="Dollar (zero dec) 4" xfId="2107"/>
    <cellStyle name="Dollar (zero dec) 5" xfId="2108"/>
    <cellStyle name="Dollar (zero dec) 6" xfId="2109"/>
    <cellStyle name="Dollar (zero dec) 7" xfId="2110"/>
    <cellStyle name="Dollar (zero dec) 8" xfId="2111"/>
    <cellStyle name="Dollar (zero dec) 9" xfId="2112"/>
    <cellStyle name="Don gia" xfId="2113"/>
    <cellStyle name="Dziesi?tny [0]_Invoices2001Slovakia" xfId="2114"/>
    <cellStyle name="Dziesi?tny_Invoices2001Slovakia" xfId="2115"/>
    <cellStyle name="Dziesietny [0]_Invoices2001Slovakia" xfId="2116"/>
    <cellStyle name="Dziesiętny [0]_Invoices2001Slovakia" xfId="2117"/>
    <cellStyle name="Dziesietny [0]_Invoices2001Slovakia 2" xfId="2118"/>
    <cellStyle name="Dziesiętny [0]_Invoices2001Slovakia 2" xfId="2119"/>
    <cellStyle name="Dziesietny [0]_Invoices2001Slovakia 3" xfId="2120"/>
    <cellStyle name="Dziesiętny [0]_Invoices2001Slovakia 3" xfId="2121"/>
    <cellStyle name="Dziesietny [0]_Invoices2001Slovakia 4" xfId="2122"/>
    <cellStyle name="Dziesiętny [0]_Invoices2001Slovakia 4" xfId="2123"/>
    <cellStyle name="Dziesietny [0]_Invoices2001Slovakia 5" xfId="2124"/>
    <cellStyle name="Dziesiętny [0]_Invoices2001Slovakia 5" xfId="2125"/>
    <cellStyle name="Dziesietny [0]_Invoices2001Slovakia 6" xfId="2126"/>
    <cellStyle name="Dziesiętny [0]_Invoices2001Slovakia 6" xfId="2127"/>
    <cellStyle name="Dziesietny [0]_Invoices2001Slovakia 7" xfId="2128"/>
    <cellStyle name="Dziesiętny [0]_Invoices2001Slovakia 7" xfId="2129"/>
    <cellStyle name="Dziesietny [0]_Invoices2001Slovakia_01_Nha so 1_Dien" xfId="2130"/>
    <cellStyle name="Dziesiętny [0]_Invoices2001Slovakia_01_Nha so 1_Dien" xfId="2131"/>
    <cellStyle name="Dziesietny [0]_Invoices2001Slovakia_05-12  KH trung han 2016-2020 - Liem Thinh edited" xfId="2132"/>
    <cellStyle name="Dziesiętny [0]_Invoices2001Slovakia_05-12  KH trung han 2016-2020 - Liem Thinh edited" xfId="2133"/>
    <cellStyle name="Dziesietny [0]_Invoices2001Slovakia_10_Nha so 10_Dien1" xfId="2134"/>
    <cellStyle name="Dziesiętny [0]_Invoices2001Slovakia_10_Nha so 10_Dien1" xfId="2135"/>
    <cellStyle name="Dziesietny [0]_Invoices2001Slovakia_Book1" xfId="2136"/>
    <cellStyle name="Dziesiętny [0]_Invoices2001Slovakia_Book1" xfId="2137"/>
    <cellStyle name="Dziesietny [0]_Invoices2001Slovakia_Book1_1" xfId="2138"/>
    <cellStyle name="Dziesiętny [0]_Invoices2001Slovakia_Book1_1" xfId="2139"/>
    <cellStyle name="Dziesietny [0]_Invoices2001Slovakia_Book1_1_Book1" xfId="2140"/>
    <cellStyle name="Dziesiętny [0]_Invoices2001Slovakia_Book1_1_Book1" xfId="2141"/>
    <cellStyle name="Dziesietny [0]_Invoices2001Slovakia_Book1_2" xfId="2142"/>
    <cellStyle name="Dziesiętny [0]_Invoices2001Slovakia_Book1_2" xfId="2143"/>
    <cellStyle name="Dziesietny [0]_Invoices2001Slovakia_Book1_Nhu cau von ung truoc 2011 Tha h Hoa + Nge An gui TW" xfId="2144"/>
    <cellStyle name="Dziesiętny [0]_Invoices2001Slovakia_Book1_Nhu cau von ung truoc 2011 Tha h Hoa + Nge An gui TW" xfId="2145"/>
    <cellStyle name="Dziesietny [0]_Invoices2001Slovakia_Book1_Tong hop Cac tuyen(9-1-06)" xfId="2146"/>
    <cellStyle name="Dziesiętny [0]_Invoices2001Slovakia_Book1_Tong hop Cac tuyen(9-1-06)" xfId="2147"/>
    <cellStyle name="Dziesietny [0]_Invoices2001Slovakia_Book1_ung truoc 2011 NSTW Thanh Hoa + Nge An gui Thu 12-5" xfId="2148"/>
    <cellStyle name="Dziesiętny [0]_Invoices2001Slovakia_Book1_ung truoc 2011 NSTW Thanh Hoa + Nge An gui Thu 12-5" xfId="2149"/>
    <cellStyle name="Dziesietny [0]_Invoices2001Slovakia_Copy of 05-12  KH trung han 2016-2020 - Liem Thinh edited (1)" xfId="2150"/>
    <cellStyle name="Dziesiętny [0]_Invoices2001Slovakia_Copy of 05-12  KH trung han 2016-2020 - Liem Thinh edited (1)" xfId="2151"/>
    <cellStyle name="Dziesietny [0]_Invoices2001Slovakia_d-uong+TDT" xfId="2152"/>
    <cellStyle name="Dziesiętny [0]_Invoices2001Slovakia_KH TPCP 2016-2020 (tong hop)" xfId="2153"/>
    <cellStyle name="Dziesietny [0]_Invoices2001Slovakia_Nha bao ve(28-7-05)" xfId="2154"/>
    <cellStyle name="Dziesiętny [0]_Invoices2001Slovakia_Nha bao ve(28-7-05)" xfId="2155"/>
    <cellStyle name="Dziesietny [0]_Invoices2001Slovakia_NHA de xe nguyen du" xfId="2156"/>
    <cellStyle name="Dziesiętny [0]_Invoices2001Slovakia_NHA de xe nguyen du" xfId="2157"/>
    <cellStyle name="Dziesietny [0]_Invoices2001Slovakia_Nhalamviec VTC(25-1-05)" xfId="2158"/>
    <cellStyle name="Dziesiętny [0]_Invoices2001Slovakia_Nhalamviec VTC(25-1-05)" xfId="2159"/>
    <cellStyle name="Dziesietny [0]_Invoices2001Slovakia_Nhu cau von ung truoc 2011 Tha h Hoa + Nge An gui TW" xfId="2160"/>
    <cellStyle name="Dziesiętny [0]_Invoices2001Slovakia_TDT KHANH HOA" xfId="2161"/>
    <cellStyle name="Dziesietny [0]_Invoices2001Slovakia_TDT KHANH HOA_Tong hop Cac tuyen(9-1-06)" xfId="2162"/>
    <cellStyle name="Dziesiętny [0]_Invoices2001Slovakia_TDT KHANH HOA_Tong hop Cac tuyen(9-1-06)" xfId="2163"/>
    <cellStyle name="Dziesietny [0]_Invoices2001Slovakia_TDT quangngai" xfId="2164"/>
    <cellStyle name="Dziesiętny [0]_Invoices2001Slovakia_TDT quangngai" xfId="2165"/>
    <cellStyle name="Dziesietny [0]_Invoices2001Slovakia_TMDT(10-5-06)" xfId="2166"/>
    <cellStyle name="Dziesietny_Invoices2001Slovakia" xfId="2167"/>
    <cellStyle name="Dziesiętny_Invoices2001Slovakia" xfId="2168"/>
    <cellStyle name="Dziesietny_Invoices2001Slovakia 2" xfId="2169"/>
    <cellStyle name="Dziesiętny_Invoices2001Slovakia 2" xfId="2170"/>
    <cellStyle name="Dziesietny_Invoices2001Slovakia 3" xfId="2171"/>
    <cellStyle name="Dziesiętny_Invoices2001Slovakia 3" xfId="2172"/>
    <cellStyle name="Dziesietny_Invoices2001Slovakia 4" xfId="2173"/>
    <cellStyle name="Dziesiętny_Invoices2001Slovakia 4" xfId="2174"/>
    <cellStyle name="Dziesietny_Invoices2001Slovakia 5" xfId="2175"/>
    <cellStyle name="Dziesiętny_Invoices2001Slovakia 5" xfId="2176"/>
    <cellStyle name="Dziesietny_Invoices2001Slovakia 6" xfId="2177"/>
    <cellStyle name="Dziesiętny_Invoices2001Slovakia 6" xfId="2178"/>
    <cellStyle name="Dziesietny_Invoices2001Slovakia 7" xfId="2179"/>
    <cellStyle name="Dziesiętny_Invoices2001Slovakia 7" xfId="2180"/>
    <cellStyle name="Dziesietny_Invoices2001Slovakia_01_Nha so 1_Dien" xfId="2181"/>
    <cellStyle name="Dziesiętny_Invoices2001Slovakia_01_Nha so 1_Dien" xfId="2182"/>
    <cellStyle name="Dziesietny_Invoices2001Slovakia_05-12  KH trung han 2016-2020 - Liem Thinh edited" xfId="2183"/>
    <cellStyle name="Dziesiętny_Invoices2001Slovakia_05-12  KH trung han 2016-2020 - Liem Thinh edited" xfId="2184"/>
    <cellStyle name="Dziesietny_Invoices2001Slovakia_10_Nha so 10_Dien1" xfId="2185"/>
    <cellStyle name="Dziesiętny_Invoices2001Slovakia_10_Nha so 10_Dien1" xfId="2186"/>
    <cellStyle name="Dziesietny_Invoices2001Slovakia_Book1" xfId="2187"/>
    <cellStyle name="Dziesiętny_Invoices2001Slovakia_Book1" xfId="2188"/>
    <cellStyle name="Dziesietny_Invoices2001Slovakia_Book1_1" xfId="2189"/>
    <cellStyle name="Dziesiętny_Invoices2001Slovakia_Book1_1" xfId="2190"/>
    <cellStyle name="Dziesietny_Invoices2001Slovakia_Book1_1_Book1" xfId="2191"/>
    <cellStyle name="Dziesiętny_Invoices2001Slovakia_Book1_1_Book1" xfId="2192"/>
    <cellStyle name="Dziesietny_Invoices2001Slovakia_Book1_2" xfId="2193"/>
    <cellStyle name="Dziesiętny_Invoices2001Slovakia_Book1_2" xfId="2194"/>
    <cellStyle name="Dziesietny_Invoices2001Slovakia_Book1_Nhu cau von ung truoc 2011 Tha h Hoa + Nge An gui TW" xfId="2195"/>
    <cellStyle name="Dziesiętny_Invoices2001Slovakia_Book1_Nhu cau von ung truoc 2011 Tha h Hoa + Nge An gui TW" xfId="2196"/>
    <cellStyle name="Dziesietny_Invoices2001Slovakia_Book1_Tong hop Cac tuyen(9-1-06)" xfId="2197"/>
    <cellStyle name="Dziesiętny_Invoices2001Slovakia_Book1_Tong hop Cac tuyen(9-1-06)" xfId="2198"/>
    <cellStyle name="Dziesietny_Invoices2001Slovakia_Book1_ung truoc 2011 NSTW Thanh Hoa + Nge An gui Thu 12-5" xfId="2199"/>
    <cellStyle name="Dziesiętny_Invoices2001Slovakia_Book1_ung truoc 2011 NSTW Thanh Hoa + Nge An gui Thu 12-5" xfId="2200"/>
    <cellStyle name="Dziesietny_Invoices2001Slovakia_Copy of 05-12  KH trung han 2016-2020 - Liem Thinh edited (1)" xfId="2201"/>
    <cellStyle name="Dziesiętny_Invoices2001Slovakia_Copy of 05-12  KH trung han 2016-2020 - Liem Thinh edited (1)" xfId="2202"/>
    <cellStyle name="Dziesietny_Invoices2001Slovakia_d-uong+TDT" xfId="2203"/>
    <cellStyle name="Dziesiętny_Invoices2001Slovakia_KH TPCP 2016-2020 (tong hop)" xfId="2204"/>
    <cellStyle name="Dziesietny_Invoices2001Slovakia_Nha bao ve(28-7-05)" xfId="2205"/>
    <cellStyle name="Dziesiętny_Invoices2001Slovakia_Nha bao ve(28-7-05)" xfId="2206"/>
    <cellStyle name="Dziesietny_Invoices2001Slovakia_NHA de xe nguyen du" xfId="2207"/>
    <cellStyle name="Dziesiętny_Invoices2001Slovakia_NHA de xe nguyen du" xfId="2208"/>
    <cellStyle name="Dziesietny_Invoices2001Slovakia_Nhalamviec VTC(25-1-05)" xfId="2209"/>
    <cellStyle name="Dziesiętny_Invoices2001Slovakia_Nhalamviec VTC(25-1-05)" xfId="2210"/>
    <cellStyle name="Dziesietny_Invoices2001Slovakia_Nhu cau von ung truoc 2011 Tha h Hoa + Nge An gui TW" xfId="2211"/>
    <cellStyle name="Dziesiętny_Invoices2001Slovakia_TDT KHANH HOA" xfId="2212"/>
    <cellStyle name="Dziesietny_Invoices2001Slovakia_TDT KHANH HOA_Tong hop Cac tuyen(9-1-06)" xfId="2213"/>
    <cellStyle name="Dziesiętny_Invoices2001Slovakia_TDT KHANH HOA_Tong hop Cac tuyen(9-1-06)" xfId="2214"/>
    <cellStyle name="Dziesietny_Invoices2001Slovakia_TDT quangngai" xfId="2215"/>
    <cellStyle name="Dziesiętny_Invoices2001Slovakia_TDT quangngai" xfId="2216"/>
    <cellStyle name="Dziesietny_Invoices2001Slovakia_TMDT(10-5-06)" xfId="2217"/>
    <cellStyle name="e" xfId="2218"/>
    <cellStyle name="Enter Currency (0)" xfId="2219"/>
    <cellStyle name="Enter Currency (0) 10" xfId="2220"/>
    <cellStyle name="Enter Currency (0) 11" xfId="2221"/>
    <cellStyle name="Enter Currency (0) 12" xfId="2222"/>
    <cellStyle name="Enter Currency (0) 13" xfId="2223"/>
    <cellStyle name="Enter Currency (0) 14" xfId="2224"/>
    <cellStyle name="Enter Currency (0) 15" xfId="2225"/>
    <cellStyle name="Enter Currency (0) 16" xfId="2226"/>
    <cellStyle name="Enter Currency (0) 2" xfId="2227"/>
    <cellStyle name="Enter Currency (0) 3" xfId="2228"/>
    <cellStyle name="Enter Currency (0) 4" xfId="2229"/>
    <cellStyle name="Enter Currency (0) 5" xfId="2230"/>
    <cellStyle name="Enter Currency (0) 6" xfId="2231"/>
    <cellStyle name="Enter Currency (0) 7" xfId="2232"/>
    <cellStyle name="Enter Currency (0) 8" xfId="2233"/>
    <cellStyle name="Enter Currency (0) 9" xfId="2234"/>
    <cellStyle name="Enter Currency (2)" xfId="2235"/>
    <cellStyle name="Enter Currency (2) 10" xfId="2236"/>
    <cellStyle name="Enter Currency (2) 11" xfId="2237"/>
    <cellStyle name="Enter Currency (2) 12" xfId="2238"/>
    <cellStyle name="Enter Currency (2) 13" xfId="2239"/>
    <cellStyle name="Enter Currency (2) 14" xfId="2240"/>
    <cellStyle name="Enter Currency (2) 15" xfId="2241"/>
    <cellStyle name="Enter Currency (2) 16" xfId="2242"/>
    <cellStyle name="Enter Currency (2) 2" xfId="2243"/>
    <cellStyle name="Enter Currency (2) 3" xfId="2244"/>
    <cellStyle name="Enter Currency (2) 4" xfId="2245"/>
    <cellStyle name="Enter Currency (2) 5" xfId="2246"/>
    <cellStyle name="Enter Currency (2) 6" xfId="2247"/>
    <cellStyle name="Enter Currency (2) 7" xfId="2248"/>
    <cellStyle name="Enter Currency (2) 8" xfId="2249"/>
    <cellStyle name="Enter Currency (2) 9" xfId="2250"/>
    <cellStyle name="Enter Units (0)" xfId="2251"/>
    <cellStyle name="Enter Units (0) 10" xfId="2252"/>
    <cellStyle name="Enter Units (0) 11" xfId="2253"/>
    <cellStyle name="Enter Units (0) 12" xfId="2254"/>
    <cellStyle name="Enter Units (0) 13" xfId="2255"/>
    <cellStyle name="Enter Units (0) 14" xfId="2256"/>
    <cellStyle name="Enter Units (0) 15" xfId="2257"/>
    <cellStyle name="Enter Units (0) 16" xfId="2258"/>
    <cellStyle name="Enter Units (0) 2" xfId="2259"/>
    <cellStyle name="Enter Units (0) 3" xfId="2260"/>
    <cellStyle name="Enter Units (0) 4" xfId="2261"/>
    <cellStyle name="Enter Units (0) 5" xfId="2262"/>
    <cellStyle name="Enter Units (0) 6" xfId="2263"/>
    <cellStyle name="Enter Units (0) 7" xfId="2264"/>
    <cellStyle name="Enter Units (0) 8" xfId="2265"/>
    <cellStyle name="Enter Units (0) 9" xfId="2266"/>
    <cellStyle name="Enter Units (1)" xfId="2267"/>
    <cellStyle name="Enter Units (1) 10" xfId="2268"/>
    <cellStyle name="Enter Units (1) 11" xfId="2269"/>
    <cellStyle name="Enter Units (1) 12" xfId="2270"/>
    <cellStyle name="Enter Units (1) 13" xfId="2271"/>
    <cellStyle name="Enter Units (1) 14" xfId="2272"/>
    <cellStyle name="Enter Units (1) 15" xfId="2273"/>
    <cellStyle name="Enter Units (1) 16" xfId="2274"/>
    <cellStyle name="Enter Units (1) 2" xfId="2275"/>
    <cellStyle name="Enter Units (1) 3" xfId="2276"/>
    <cellStyle name="Enter Units (1) 4" xfId="2277"/>
    <cellStyle name="Enter Units (1) 5" xfId="2278"/>
    <cellStyle name="Enter Units (1) 6" xfId="2279"/>
    <cellStyle name="Enter Units (1) 7" xfId="2280"/>
    <cellStyle name="Enter Units (1) 8" xfId="2281"/>
    <cellStyle name="Enter Units (1) 9" xfId="2282"/>
    <cellStyle name="Enter Units (2)" xfId="2283"/>
    <cellStyle name="Enter Units (2) 10" xfId="2284"/>
    <cellStyle name="Enter Units (2) 11" xfId="2285"/>
    <cellStyle name="Enter Units (2) 12" xfId="2286"/>
    <cellStyle name="Enter Units (2) 13" xfId="2287"/>
    <cellStyle name="Enter Units (2) 14" xfId="2288"/>
    <cellStyle name="Enter Units (2) 15" xfId="2289"/>
    <cellStyle name="Enter Units (2) 16" xfId="2290"/>
    <cellStyle name="Enter Units (2) 2" xfId="2291"/>
    <cellStyle name="Enter Units (2) 3" xfId="2292"/>
    <cellStyle name="Enter Units (2) 4" xfId="2293"/>
    <cellStyle name="Enter Units (2) 5" xfId="2294"/>
    <cellStyle name="Enter Units (2) 6" xfId="2295"/>
    <cellStyle name="Enter Units (2) 7" xfId="2296"/>
    <cellStyle name="Enter Units (2) 8" xfId="2297"/>
    <cellStyle name="Enter Units (2) 9" xfId="2298"/>
    <cellStyle name="Entered" xfId="2299"/>
    <cellStyle name="Euro" xfId="2300"/>
    <cellStyle name="Euro 10" xfId="2301"/>
    <cellStyle name="Euro 11" xfId="2302"/>
    <cellStyle name="Euro 12" xfId="2303"/>
    <cellStyle name="Euro 13" xfId="2304"/>
    <cellStyle name="Euro 14" xfId="2305"/>
    <cellStyle name="Euro 15" xfId="2306"/>
    <cellStyle name="Euro 16" xfId="2307"/>
    <cellStyle name="Euro 2" xfId="2308"/>
    <cellStyle name="Euro 3" xfId="2309"/>
    <cellStyle name="Euro 4" xfId="2310"/>
    <cellStyle name="Euro 5" xfId="2311"/>
    <cellStyle name="Euro 6" xfId="2312"/>
    <cellStyle name="Euro 7" xfId="2313"/>
    <cellStyle name="Euro 8" xfId="2314"/>
    <cellStyle name="Euro 9" xfId="2315"/>
    <cellStyle name="Excel Built-in Normal" xfId="2316"/>
    <cellStyle name="Explanatory Text 2" xfId="2317"/>
    <cellStyle name="f" xfId="2318"/>
    <cellStyle name="f_Danhmuc_Quyhoach2009" xfId="2319"/>
    <cellStyle name="f_Danhmuc_Quyhoach2009 2" xfId="2320"/>
    <cellStyle name="f_Danhmuc_Quyhoach2009 2 2" xfId="2321"/>
    <cellStyle name="Fixed" xfId="2322"/>
    <cellStyle name="Fixed 10" xfId="2323"/>
    <cellStyle name="Fixed 11" xfId="2324"/>
    <cellStyle name="Fixed 12" xfId="2325"/>
    <cellStyle name="Fixed 13" xfId="2326"/>
    <cellStyle name="Fixed 14" xfId="2327"/>
    <cellStyle name="Fixed 15" xfId="2328"/>
    <cellStyle name="Fixed 16" xfId="2329"/>
    <cellStyle name="Fixed 2" xfId="2330"/>
    <cellStyle name="Fixed 2 2" xfId="2331"/>
    <cellStyle name="Fixed 3" xfId="2332"/>
    <cellStyle name="Fixed 4" xfId="2333"/>
    <cellStyle name="Fixed 5" xfId="2334"/>
    <cellStyle name="Fixed 6" xfId="2335"/>
    <cellStyle name="Fixed 7" xfId="2336"/>
    <cellStyle name="Fixed 8" xfId="2337"/>
    <cellStyle name="Fixed 9" xfId="2338"/>
    <cellStyle name="Font Britannic16" xfId="2339"/>
    <cellStyle name="Font Britannic18" xfId="2340"/>
    <cellStyle name="Font CenturyCond 18" xfId="2341"/>
    <cellStyle name="Font Cond20" xfId="2342"/>
    <cellStyle name="Font LucidaSans16" xfId="2343"/>
    <cellStyle name="Font NewCenturyCond18" xfId="2344"/>
    <cellStyle name="Font Ottawa14" xfId="2345"/>
    <cellStyle name="Font Ottawa16" xfId="2346"/>
    <cellStyle name="Good 2" xfId="2347"/>
    <cellStyle name="Grey" xfId="2348"/>
    <cellStyle name="Grey 10" xfId="2349"/>
    <cellStyle name="Grey 11" xfId="2350"/>
    <cellStyle name="Grey 12" xfId="2351"/>
    <cellStyle name="Grey 13" xfId="2352"/>
    <cellStyle name="Grey 14" xfId="2353"/>
    <cellStyle name="Grey 15" xfId="2354"/>
    <cellStyle name="Grey 16" xfId="2355"/>
    <cellStyle name="Grey 2" xfId="2356"/>
    <cellStyle name="Grey 3" xfId="2357"/>
    <cellStyle name="Grey 4" xfId="2358"/>
    <cellStyle name="Grey 5" xfId="2359"/>
    <cellStyle name="Grey 6" xfId="2360"/>
    <cellStyle name="Grey 7" xfId="2361"/>
    <cellStyle name="Grey 8" xfId="2362"/>
    <cellStyle name="Grey 9" xfId="2363"/>
    <cellStyle name="Grey_KH TPCP 2016-2020 (tong hop)" xfId="2364"/>
    <cellStyle name="Group" xfId="2365"/>
    <cellStyle name="gia" xfId="2366"/>
    <cellStyle name="H" xfId="2367"/>
    <cellStyle name="ha" xfId="2368"/>
    <cellStyle name="HAI" xfId="2369"/>
    <cellStyle name="Head 1" xfId="2370"/>
    <cellStyle name="HEADER" xfId="2371"/>
    <cellStyle name="HEADER 2" xfId="2372"/>
    <cellStyle name="Header1" xfId="2373"/>
    <cellStyle name="Header1 2" xfId="2374"/>
    <cellStyle name="Header2" xfId="2375"/>
    <cellStyle name="Header2 2" xfId="2376"/>
    <cellStyle name="Heading" xfId="2377"/>
    <cellStyle name="Heading 1 2" xfId="2378"/>
    <cellStyle name="Heading 2 2" xfId="2379"/>
    <cellStyle name="Heading 3 2" xfId="2380"/>
    <cellStyle name="Heading 4 2" xfId="2381"/>
    <cellStyle name="Heading No Underline" xfId="2382"/>
    <cellStyle name="Heading With Underline" xfId="2383"/>
    <cellStyle name="HEADING1" xfId="2384"/>
    <cellStyle name="HEADING2" xfId="2385"/>
    <cellStyle name="HEADINGS" xfId="2386"/>
    <cellStyle name="HEADINGSTOP" xfId="2387"/>
    <cellStyle name="headoption" xfId="2388"/>
    <cellStyle name="headoption 2" xfId="2389"/>
    <cellStyle name="headoption 3" xfId="2390"/>
    <cellStyle name="Hoa-Scholl" xfId="2391"/>
    <cellStyle name="Hoa-Scholl 2" xfId="2392"/>
    <cellStyle name="HUY" xfId="2393"/>
    <cellStyle name="i phÝ kh¸c_B¶ng 2" xfId="2394"/>
    <cellStyle name="I.3" xfId="2395"/>
    <cellStyle name="i·0" xfId="2396"/>
    <cellStyle name="i·0 2" xfId="2397"/>
    <cellStyle name="ï-¾È»ê_BiÓu TB" xfId="2398"/>
    <cellStyle name="Input [yellow]" xfId="2399"/>
    <cellStyle name="Input [yellow] 10" xfId="2400"/>
    <cellStyle name="Input [yellow] 11" xfId="2401"/>
    <cellStyle name="Input [yellow] 12" xfId="2402"/>
    <cellStyle name="Input [yellow] 13" xfId="2403"/>
    <cellStyle name="Input [yellow] 14" xfId="2404"/>
    <cellStyle name="Input [yellow] 15" xfId="2405"/>
    <cellStyle name="Input [yellow] 16" xfId="2406"/>
    <cellStyle name="Input [yellow] 2" xfId="2407"/>
    <cellStyle name="Input [yellow] 2 2" xfId="2408"/>
    <cellStyle name="Input [yellow] 3" xfId="2409"/>
    <cellStyle name="Input [yellow] 4" xfId="2410"/>
    <cellStyle name="Input [yellow] 5" xfId="2411"/>
    <cellStyle name="Input [yellow] 6" xfId="2412"/>
    <cellStyle name="Input [yellow] 7" xfId="2413"/>
    <cellStyle name="Input [yellow] 8" xfId="2414"/>
    <cellStyle name="Input [yellow] 9" xfId="2415"/>
    <cellStyle name="Input [yellow]_KH TPCP 2016-2020 (tong hop)" xfId="2416"/>
    <cellStyle name="Input 2" xfId="2417"/>
    <cellStyle name="Input 3" xfId="2418"/>
    <cellStyle name="Input 4" xfId="2419"/>
    <cellStyle name="Input 5" xfId="2420"/>
    <cellStyle name="Input 6" xfId="2421"/>
    <cellStyle name="Input 7" xfId="2422"/>
    <cellStyle name="k_TONG HOP KINH PHI" xfId="2423"/>
    <cellStyle name="k_TONG HOP KINH PHI_!1 1 bao cao giao KH ve HTCMT vung TNB   12-12-2011" xfId="2424"/>
    <cellStyle name="k_TONG HOP KINH PHI_Bieu4HTMT" xfId="2425"/>
    <cellStyle name="k_TONG HOP KINH PHI_Bieu4HTMT_!1 1 bao cao giao KH ve HTCMT vung TNB   12-12-2011" xfId="2426"/>
    <cellStyle name="k_TONG HOP KINH PHI_Bieu4HTMT_KH TPCP vung TNB (03-1-2012)" xfId="2427"/>
    <cellStyle name="k_TONG HOP KINH PHI_KH TPCP vung TNB (03-1-2012)" xfId="2428"/>
    <cellStyle name="k_ÿÿÿÿÿ" xfId="2429"/>
    <cellStyle name="k_ÿÿÿÿÿ_!1 1 bao cao giao KH ve HTCMT vung TNB   12-12-2011" xfId="2430"/>
    <cellStyle name="k_ÿÿÿÿÿ_1" xfId="2431"/>
    <cellStyle name="k_ÿÿÿÿÿ_2" xfId="2432"/>
    <cellStyle name="k_ÿÿÿÿÿ_2_!1 1 bao cao giao KH ve HTCMT vung TNB   12-12-2011" xfId="2433"/>
    <cellStyle name="k_ÿÿÿÿÿ_2_Bieu4HTMT" xfId="2434"/>
    <cellStyle name="k_ÿÿÿÿÿ_2_Bieu4HTMT_!1 1 bao cao giao KH ve HTCMT vung TNB   12-12-2011" xfId="2435"/>
    <cellStyle name="k_ÿÿÿÿÿ_2_Bieu4HTMT_KH TPCP vung TNB (03-1-2012)" xfId="2436"/>
    <cellStyle name="k_ÿÿÿÿÿ_2_KH TPCP vung TNB (03-1-2012)" xfId="2437"/>
    <cellStyle name="k_ÿÿÿÿÿ_Bieu4HTMT" xfId="2438"/>
    <cellStyle name="k_ÿÿÿÿÿ_Bieu4HTMT_!1 1 bao cao giao KH ve HTCMT vung TNB   12-12-2011" xfId="2439"/>
    <cellStyle name="k_ÿÿÿÿÿ_Bieu4HTMT_KH TPCP vung TNB (03-1-2012)" xfId="2440"/>
    <cellStyle name="k_ÿÿÿÿÿ_KH TPCP vung TNB (03-1-2012)" xfId="2441"/>
    <cellStyle name="kh¸c_Bang Chi tieu" xfId="2442"/>
    <cellStyle name="khanh" xfId="2443"/>
    <cellStyle name="khung" xfId="2444"/>
    <cellStyle name="Ledger 17 x 11 in" xfId="2445"/>
    <cellStyle name="left" xfId="2446"/>
    <cellStyle name="Line" xfId="2447"/>
    <cellStyle name="Link Currency (0)" xfId="2448"/>
    <cellStyle name="Link Currency (0) 10" xfId="2449"/>
    <cellStyle name="Link Currency (0) 11" xfId="2450"/>
    <cellStyle name="Link Currency (0) 12" xfId="2451"/>
    <cellStyle name="Link Currency (0) 13" xfId="2452"/>
    <cellStyle name="Link Currency (0) 14" xfId="2453"/>
    <cellStyle name="Link Currency (0) 15" xfId="2454"/>
    <cellStyle name="Link Currency (0) 16" xfId="2455"/>
    <cellStyle name="Link Currency (0) 2" xfId="2456"/>
    <cellStyle name="Link Currency (0) 3" xfId="2457"/>
    <cellStyle name="Link Currency (0) 4" xfId="2458"/>
    <cellStyle name="Link Currency (0) 5" xfId="2459"/>
    <cellStyle name="Link Currency (0) 6" xfId="2460"/>
    <cellStyle name="Link Currency (0) 7" xfId="2461"/>
    <cellStyle name="Link Currency (0) 8" xfId="2462"/>
    <cellStyle name="Link Currency (0) 9" xfId="2463"/>
    <cellStyle name="Link Currency (2)" xfId="2464"/>
    <cellStyle name="Link Currency (2) 10" xfId="2465"/>
    <cellStyle name="Link Currency (2) 11" xfId="2466"/>
    <cellStyle name="Link Currency (2) 12" xfId="2467"/>
    <cellStyle name="Link Currency (2) 13" xfId="2468"/>
    <cellStyle name="Link Currency (2) 14" xfId="2469"/>
    <cellStyle name="Link Currency (2) 15" xfId="2470"/>
    <cellStyle name="Link Currency (2) 16" xfId="2471"/>
    <cellStyle name="Link Currency (2) 2" xfId="2472"/>
    <cellStyle name="Link Currency (2) 3" xfId="2473"/>
    <cellStyle name="Link Currency (2) 4" xfId="2474"/>
    <cellStyle name="Link Currency (2) 5" xfId="2475"/>
    <cellStyle name="Link Currency (2) 6" xfId="2476"/>
    <cellStyle name="Link Currency (2) 7" xfId="2477"/>
    <cellStyle name="Link Currency (2) 8" xfId="2478"/>
    <cellStyle name="Link Currency (2) 9" xfId="2479"/>
    <cellStyle name="Link Units (0)" xfId="2480"/>
    <cellStyle name="Link Units (0) 10" xfId="2481"/>
    <cellStyle name="Link Units (0) 11" xfId="2482"/>
    <cellStyle name="Link Units (0) 12" xfId="2483"/>
    <cellStyle name="Link Units (0) 13" xfId="2484"/>
    <cellStyle name="Link Units (0) 14" xfId="2485"/>
    <cellStyle name="Link Units (0) 15" xfId="2486"/>
    <cellStyle name="Link Units (0) 16" xfId="2487"/>
    <cellStyle name="Link Units (0) 2" xfId="2488"/>
    <cellStyle name="Link Units (0) 3" xfId="2489"/>
    <cellStyle name="Link Units (0) 4" xfId="2490"/>
    <cellStyle name="Link Units (0) 5" xfId="2491"/>
    <cellStyle name="Link Units (0) 6" xfId="2492"/>
    <cellStyle name="Link Units (0) 7" xfId="2493"/>
    <cellStyle name="Link Units (0) 8" xfId="2494"/>
    <cellStyle name="Link Units (0) 9" xfId="2495"/>
    <cellStyle name="Link Units (1)" xfId="2496"/>
    <cellStyle name="Link Units (1) 10" xfId="2497"/>
    <cellStyle name="Link Units (1) 11" xfId="2498"/>
    <cellStyle name="Link Units (1) 12" xfId="2499"/>
    <cellStyle name="Link Units (1) 13" xfId="2500"/>
    <cellStyle name="Link Units (1) 14" xfId="2501"/>
    <cellStyle name="Link Units (1) 15" xfId="2502"/>
    <cellStyle name="Link Units (1) 16" xfId="2503"/>
    <cellStyle name="Link Units (1) 2" xfId="2504"/>
    <cellStyle name="Link Units (1) 3" xfId="2505"/>
    <cellStyle name="Link Units (1) 4" xfId="2506"/>
    <cellStyle name="Link Units (1) 5" xfId="2507"/>
    <cellStyle name="Link Units (1) 6" xfId="2508"/>
    <cellStyle name="Link Units (1) 7" xfId="2509"/>
    <cellStyle name="Link Units (1) 8" xfId="2510"/>
    <cellStyle name="Link Units (1) 9" xfId="2511"/>
    <cellStyle name="Link Units (2)" xfId="2512"/>
    <cellStyle name="Link Units (2) 10" xfId="2513"/>
    <cellStyle name="Link Units (2) 11" xfId="2514"/>
    <cellStyle name="Link Units (2) 12" xfId="2515"/>
    <cellStyle name="Link Units (2) 13" xfId="2516"/>
    <cellStyle name="Link Units (2) 14" xfId="2517"/>
    <cellStyle name="Link Units (2) 15" xfId="2518"/>
    <cellStyle name="Link Units (2) 16" xfId="2519"/>
    <cellStyle name="Link Units (2) 2" xfId="2520"/>
    <cellStyle name="Link Units (2) 3" xfId="2521"/>
    <cellStyle name="Link Units (2) 4" xfId="2522"/>
    <cellStyle name="Link Units (2) 5" xfId="2523"/>
    <cellStyle name="Link Units (2) 6" xfId="2524"/>
    <cellStyle name="Link Units (2) 7" xfId="2525"/>
    <cellStyle name="Link Units (2) 8" xfId="2526"/>
    <cellStyle name="Link Units (2) 9" xfId="2527"/>
    <cellStyle name="Linked Cell 2" xfId="2528"/>
    <cellStyle name="Loai CBDT" xfId="2529"/>
    <cellStyle name="Loai CT" xfId="2530"/>
    <cellStyle name="Loai GD" xfId="2531"/>
    <cellStyle name="MAU" xfId="2532"/>
    <cellStyle name="MAU 2" xfId="2533"/>
    <cellStyle name="Millares [0]_Well Timing" xfId="2534"/>
    <cellStyle name="Millares_Well Timing" xfId="2535"/>
    <cellStyle name="Milliers [0]_      " xfId="2536"/>
    <cellStyle name="Milliers_      " xfId="2537"/>
    <cellStyle name="Model" xfId="2538"/>
    <cellStyle name="Model 2" xfId="2539"/>
    <cellStyle name="moi" xfId="2540"/>
    <cellStyle name="moi 2" xfId="2541"/>
    <cellStyle name="moi 3" xfId="2542"/>
    <cellStyle name="Moneda [0]_Well Timing" xfId="2543"/>
    <cellStyle name="Moneda_Well Timing" xfId="2544"/>
    <cellStyle name="Monétaire [0]_      " xfId="2545"/>
    <cellStyle name="Monétaire_      " xfId="2546"/>
    <cellStyle name="n" xfId="2547"/>
    <cellStyle name="Neutral 2" xfId="2548"/>
    <cellStyle name="New" xfId="2549"/>
    <cellStyle name="New Times Roman" xfId="2550"/>
    <cellStyle name="no dec" xfId="2551"/>
    <cellStyle name="no dec 2" xfId="2552"/>
    <cellStyle name="no dec 2 2" xfId="2553"/>
    <cellStyle name="ÑONVÒ" xfId="2554"/>
    <cellStyle name="ÑONVÒ 2" xfId="2555"/>
    <cellStyle name="Normal" xfId="0" builtinId="0"/>
    <cellStyle name="Normal - Style1" xfId="2556"/>
    <cellStyle name="Normal - Style1 2" xfId="2557"/>
    <cellStyle name="Normal - Style1 3" xfId="2558"/>
    <cellStyle name="Normal - Style1_KH TPCP 2016-2020 (tong hop)" xfId="2559"/>
    <cellStyle name="Normal - 유형1" xfId="2560"/>
    <cellStyle name="Normal 10" xfId="21"/>
    <cellStyle name="Normal 10 2" xfId="22"/>
    <cellStyle name="Normal 10 3" xfId="2561"/>
    <cellStyle name="Normal 10 3 2" xfId="2562"/>
    <cellStyle name="Normal 10 4" xfId="2563"/>
    <cellStyle name="Normal 10 5" xfId="2564"/>
    <cellStyle name="Normal 10 6" xfId="2565"/>
    <cellStyle name="Normal 10 7" xfId="4263"/>
    <cellStyle name="Normal 10_05-12  KH trung han 2016-2020 - Liem Thinh edited" xfId="2566"/>
    <cellStyle name="Normal 11" xfId="2567"/>
    <cellStyle name="Normal 11 2" xfId="2568"/>
    <cellStyle name="Normal 11 2 2" xfId="2569"/>
    <cellStyle name="Normal 11 3" xfId="2570"/>
    <cellStyle name="Normal 11 3 2" xfId="2571"/>
    <cellStyle name="Normal 11 3 3" xfId="2572"/>
    <cellStyle name="Normal 11 3 4" xfId="23"/>
    <cellStyle name="Normal 11 4 2 2" xfId="4279"/>
    <cellStyle name="Normal 12" xfId="2573"/>
    <cellStyle name="Normal 12 2" xfId="2574"/>
    <cellStyle name="Normal 12 3" xfId="2575"/>
    <cellStyle name="Normal 13" xfId="2576"/>
    <cellStyle name="Normal 13 2" xfId="2577"/>
    <cellStyle name="Normal 14" xfId="2578"/>
    <cellStyle name="Normal 14 2" xfId="2579"/>
    <cellStyle name="Normal 14 3" xfId="2580"/>
    <cellStyle name="Normal 15" xfId="2581"/>
    <cellStyle name="Normal 15 2" xfId="2582"/>
    <cellStyle name="Normal 15 3" xfId="2583"/>
    <cellStyle name="Normal 16" xfId="2584"/>
    <cellStyle name="Normal 16 2" xfId="2585"/>
    <cellStyle name="Normal 16 2 2" xfId="2586"/>
    <cellStyle name="Normal 16 2 2 2" xfId="2587"/>
    <cellStyle name="Normal 16 2 3" xfId="2588"/>
    <cellStyle name="Normal 16 2 3 2" xfId="2589"/>
    <cellStyle name="Normal 16 2 4" xfId="2590"/>
    <cellStyle name="Normal 16 3" xfId="2591"/>
    <cellStyle name="Normal 16 4" xfId="2592"/>
    <cellStyle name="Normal 16 4 2" xfId="2593"/>
    <cellStyle name="Normal 16 5" xfId="2594"/>
    <cellStyle name="Normal 16 5 2" xfId="2595"/>
    <cellStyle name="Normal 17" xfId="2596"/>
    <cellStyle name="Normal 17 2" xfId="2597"/>
    <cellStyle name="Normal 17 3 2" xfId="2598"/>
    <cellStyle name="Normal 17 3 2 2" xfId="2599"/>
    <cellStyle name="Normal 17 3 2 2 2" xfId="2600"/>
    <cellStyle name="Normal 17 3 2 3" xfId="2601"/>
    <cellStyle name="Normal 17 3 2 3 2" xfId="2602"/>
    <cellStyle name="Normal 17 3 2 4" xfId="2603"/>
    <cellStyle name="Normal 17_Tong hop no XDCB 31.12 (TH chung 1.12)" xfId="4305"/>
    <cellStyle name="Normal 18" xfId="2604"/>
    <cellStyle name="Normal 18 2" xfId="2605"/>
    <cellStyle name="Normal 18 2 2" xfId="2606"/>
    <cellStyle name="Normal 18 3" xfId="2607"/>
    <cellStyle name="Normal 18_05-12  KH trung han 2016-2020 - Liem Thinh edited" xfId="2608"/>
    <cellStyle name="Normal 19" xfId="2609"/>
    <cellStyle name="Normal 19 2" xfId="2610"/>
    <cellStyle name="Normal 19 3" xfId="2611"/>
    <cellStyle name="Normal 2" xfId="10"/>
    <cellStyle name="Normal 2 10" xfId="2612"/>
    <cellStyle name="Normal 2 10 2" xfId="2613"/>
    <cellStyle name="Normal 2 11" xfId="2614"/>
    <cellStyle name="Normal 2 11 2" xfId="2615"/>
    <cellStyle name="Normal 2 12" xfId="2616"/>
    <cellStyle name="Normal 2 12 2" xfId="2617"/>
    <cellStyle name="Normal 2 13" xfId="2618"/>
    <cellStyle name="Normal 2 13 2" xfId="2619"/>
    <cellStyle name="Normal 2 14" xfId="2620"/>
    <cellStyle name="Normal 2 14 2" xfId="2621"/>
    <cellStyle name="Normal 2 14_Phuongangiao 1-giaoxulykythuat" xfId="2622"/>
    <cellStyle name="Normal 2 15" xfId="2623"/>
    <cellStyle name="Normal 2 16" xfId="2624"/>
    <cellStyle name="Normal 2 17" xfId="2625"/>
    <cellStyle name="Normal 2 18" xfId="2626"/>
    <cellStyle name="Normal 2 19" xfId="2627"/>
    <cellStyle name="Normal 2 2" xfId="11"/>
    <cellStyle name="Normal 2 2 10" xfId="2628"/>
    <cellStyle name="Normal 2 2 10 2" xfId="2629"/>
    <cellStyle name="Normal 2 2 11" xfId="2630"/>
    <cellStyle name="Normal 2 2 12" xfId="2631"/>
    <cellStyle name="Normal 2 2 13" xfId="2632"/>
    <cellStyle name="Normal 2 2 14" xfId="2633"/>
    <cellStyle name="Normal 2 2 15" xfId="2634"/>
    <cellStyle name="Normal 2 2 2" xfId="2635"/>
    <cellStyle name="Normal 2 2 2 2" xfId="2636"/>
    <cellStyle name="Normal 2 2 2 3" xfId="2637"/>
    <cellStyle name="Normal 2 2 3" xfId="2638"/>
    <cellStyle name="Normal 2 2 4" xfId="2639"/>
    <cellStyle name="Normal 2 2 4 2" xfId="2640"/>
    <cellStyle name="Normal 2 2 4 3" xfId="2641"/>
    <cellStyle name="Normal 2 2 5" xfId="2642"/>
    <cellStyle name="Normal 2 2 6" xfId="2643"/>
    <cellStyle name="Normal 2 2 7" xfId="2644"/>
    <cellStyle name="Normal 2 2 8" xfId="2645"/>
    <cellStyle name="Normal 2 2 9" xfId="2646"/>
    <cellStyle name="Normal 2 2_Bieu chi tiet tang quy mo, dch ky thuat 4" xfId="2647"/>
    <cellStyle name="Normal 2 20" xfId="2648"/>
    <cellStyle name="Normal 2 21" xfId="2649"/>
    <cellStyle name="Normal 2 22" xfId="2650"/>
    <cellStyle name="Normal 2 23" xfId="2651"/>
    <cellStyle name="Normal 2 24" xfId="2652"/>
    <cellStyle name="Normal 2 25" xfId="2653"/>
    <cellStyle name="Normal 2 26" xfId="2654"/>
    <cellStyle name="Normal 2 26 2" xfId="2655"/>
    <cellStyle name="Normal 2 27" xfId="2656"/>
    <cellStyle name="Normal 2 3" xfId="4"/>
    <cellStyle name="Normal 2 3 10" xfId="4281"/>
    <cellStyle name="Normal 2 3 2" xfId="2657"/>
    <cellStyle name="Normal 2 3 2 2" xfId="2658"/>
    <cellStyle name="Normal 2 3 3" xfId="2659"/>
    <cellStyle name="Normal 2 3 4" xfId="4276"/>
    <cellStyle name="Normal 2 32" xfId="2660"/>
    <cellStyle name="Normal 2 4" xfId="2661"/>
    <cellStyle name="Normal 2 4 2" xfId="2662"/>
    <cellStyle name="Normal 2 4 2 2" xfId="2663"/>
    <cellStyle name="Normal 2 4 3" xfId="2664"/>
    <cellStyle name="Normal 2 4 3 2" xfId="2665"/>
    <cellStyle name="Normal 2 5" xfId="2666"/>
    <cellStyle name="Normal 2 5 2" xfId="2667"/>
    <cellStyle name="Normal 2 6" xfId="2668"/>
    <cellStyle name="Normal 2 6 2" xfId="2669"/>
    <cellStyle name="Normal 2 7" xfId="2670"/>
    <cellStyle name="Normal 2 7 2" xfId="2671"/>
    <cellStyle name="Normal 2 8" xfId="2672"/>
    <cellStyle name="Normal 2 8 2" xfId="2673"/>
    <cellStyle name="Normal 2 9" xfId="2674"/>
    <cellStyle name="Normal 2 9 2" xfId="2675"/>
    <cellStyle name="Normal 2_05-12  KH trung han 2016-2020 - Liem Thinh edited" xfId="2676"/>
    <cellStyle name="Normal 20" xfId="2677"/>
    <cellStyle name="Normal 20 2" xfId="2678"/>
    <cellStyle name="Normal 21" xfId="2679"/>
    <cellStyle name="Normal 21 2" xfId="2680"/>
    <cellStyle name="Normal 22" xfId="2681"/>
    <cellStyle name="Normal 22 2" xfId="2682"/>
    <cellStyle name="Normal 23" xfId="2683"/>
    <cellStyle name="Normal 23 2" xfId="2684"/>
    <cellStyle name="Normal 23 3" xfId="2685"/>
    <cellStyle name="Normal 24" xfId="2686"/>
    <cellStyle name="Normal 24 2" xfId="2687"/>
    <cellStyle name="Normal 24 2 2" xfId="2688"/>
    <cellStyle name="Normal 25" xfId="2689"/>
    <cellStyle name="Normal 25 2" xfId="2690"/>
    <cellStyle name="Normal 25 3" xfId="2691"/>
    <cellStyle name="Normal 26" xfId="2692"/>
    <cellStyle name="Normal 26 2" xfId="2693"/>
    <cellStyle name="Normal 27" xfId="2694"/>
    <cellStyle name="Normal 27 2" xfId="2695"/>
    <cellStyle name="Normal 28" xfId="2696"/>
    <cellStyle name="Normal 28 2" xfId="2697"/>
    <cellStyle name="Normal 29" xfId="2698"/>
    <cellStyle name="Normal 29 2" xfId="2699"/>
    <cellStyle name="Normal 3" xfId="12"/>
    <cellStyle name="Normal 3 10" xfId="2700"/>
    <cellStyle name="Normal 3 11" xfId="2701"/>
    <cellStyle name="Normal 3 12" xfId="2702"/>
    <cellStyle name="Normal 3 13" xfId="2703"/>
    <cellStyle name="Normal 3 14" xfId="2704"/>
    <cellStyle name="Normal 3 15" xfId="2705"/>
    <cellStyle name="Normal 3 16" xfId="2706"/>
    <cellStyle name="Normal 3 17" xfId="2707"/>
    <cellStyle name="Normal 3 18" xfId="2708"/>
    <cellStyle name="Normal 3 2" xfId="2709"/>
    <cellStyle name="Normal 3 2 2" xfId="2710"/>
    <cellStyle name="Normal 3 2 2 2" xfId="2711"/>
    <cellStyle name="Normal 3 2 3" xfId="2712"/>
    <cellStyle name="Normal 3 2 3 2" xfId="2713"/>
    <cellStyle name="Normal 3 2 4" xfId="2714"/>
    <cellStyle name="Normal 3 2 5" xfId="2715"/>
    <cellStyle name="Normal 3 2 5 2" xfId="2716"/>
    <cellStyle name="Normal 3 2 6" xfId="2717"/>
    <cellStyle name="Normal 3 2 6 2" xfId="2718"/>
    <cellStyle name="Normal 3 2 7" xfId="2719"/>
    <cellStyle name="Normal 3 3" xfId="2720"/>
    <cellStyle name="Normal 3 3 2" xfId="2721"/>
    <cellStyle name="Normal 3 4" xfId="2722"/>
    <cellStyle name="Normal 3 4 2" xfId="2723"/>
    <cellStyle name="Normal 3 5" xfId="2724"/>
    <cellStyle name="Normal 3 6" xfId="2725"/>
    <cellStyle name="Normal 3 7" xfId="2726"/>
    <cellStyle name="Normal 3 8" xfId="2727"/>
    <cellStyle name="Normal 3 9" xfId="2728"/>
    <cellStyle name="Normal 3_Bieu TH TPCP Vung TNB ngay 4-1-2012" xfId="2729"/>
    <cellStyle name="Normal 30" xfId="2730"/>
    <cellStyle name="Normal 30 2" xfId="2731"/>
    <cellStyle name="Normal 30 2 2" xfId="2732"/>
    <cellStyle name="Normal 30 3" xfId="2733"/>
    <cellStyle name="Normal 30 3 2" xfId="2734"/>
    <cellStyle name="Normal 30 4" xfId="2735"/>
    <cellStyle name="Normal 31" xfId="2736"/>
    <cellStyle name="Normal 31 2" xfId="2737"/>
    <cellStyle name="Normal 31 2 2" xfId="2738"/>
    <cellStyle name="Normal 31 3" xfId="2739"/>
    <cellStyle name="Normal 31 3 2" xfId="2740"/>
    <cellStyle name="Normal 31 4" xfId="2741"/>
    <cellStyle name="Normal 32" xfId="2742"/>
    <cellStyle name="Normal 32 2" xfId="2743"/>
    <cellStyle name="Normal 32 2 2" xfId="2744"/>
    <cellStyle name="Normal 33" xfId="2745"/>
    <cellStyle name="Normal 33 2" xfId="2746"/>
    <cellStyle name="Normal 34" xfId="2747"/>
    <cellStyle name="Normal 35" xfId="2748"/>
    <cellStyle name="Normal 36" xfId="2749"/>
    <cellStyle name="Normal 37" xfId="2750"/>
    <cellStyle name="Normal 37 2" xfId="2751"/>
    <cellStyle name="Normal 37 2 2" xfId="2752"/>
    <cellStyle name="Normal 37 2 3" xfId="2753"/>
    <cellStyle name="Normal 37 3" xfId="2754"/>
    <cellStyle name="Normal 37 3 2" xfId="2755"/>
    <cellStyle name="Normal 37 4" xfId="2756"/>
    <cellStyle name="Normal 38" xfId="2757"/>
    <cellStyle name="Normal 38 2" xfId="2758"/>
    <cellStyle name="Normal 38 2 2" xfId="2759"/>
    <cellStyle name="Normal 39" xfId="2760"/>
    <cellStyle name="Normal 39 2" xfId="2761"/>
    <cellStyle name="Normal 39 2 2" xfId="2762"/>
    <cellStyle name="Normal 39 3" xfId="2763"/>
    <cellStyle name="Normal 39 3 2" xfId="2764"/>
    <cellStyle name="Normal 4" xfId="13"/>
    <cellStyle name="Normal 4 10" xfId="2765"/>
    <cellStyle name="Normal 4 11" xfId="2766"/>
    <cellStyle name="Normal 4 12" xfId="2767"/>
    <cellStyle name="Normal 4 13" xfId="2768"/>
    <cellStyle name="Normal 4 14" xfId="2769"/>
    <cellStyle name="Normal 4 15" xfId="2770"/>
    <cellStyle name="Normal 4 16" xfId="2771"/>
    <cellStyle name="Normal 4 17" xfId="2772"/>
    <cellStyle name="Normal 4 2" xfId="14"/>
    <cellStyle name="Normal 4 2 2" xfId="2773"/>
    <cellStyle name="Normal 4 3" xfId="2774"/>
    <cellStyle name="Normal 4 4" xfId="2775"/>
    <cellStyle name="Normal 4 5" xfId="2776"/>
    <cellStyle name="Normal 4 6" xfId="2777"/>
    <cellStyle name="Normal 4 7" xfId="2778"/>
    <cellStyle name="Normal 4 8" xfId="2779"/>
    <cellStyle name="Normal 4 9" xfId="2780"/>
    <cellStyle name="Normal 4_Bang bieu" xfId="15"/>
    <cellStyle name="Normal 40" xfId="2781"/>
    <cellStyle name="Normal 41" xfId="2782"/>
    <cellStyle name="Normal 42" xfId="2783"/>
    <cellStyle name="Normal 43" xfId="2784"/>
    <cellStyle name="Normal 44" xfId="2785"/>
    <cellStyle name="Normal 45" xfId="2786"/>
    <cellStyle name="Normal 46" xfId="2787"/>
    <cellStyle name="Normal 46 2" xfId="2788"/>
    <cellStyle name="Normal 47" xfId="2789"/>
    <cellStyle name="Normal 48" xfId="2790"/>
    <cellStyle name="Normal 49" xfId="2791"/>
    <cellStyle name="Normal 5" xfId="16"/>
    <cellStyle name="Normal 5 2" xfId="2792"/>
    <cellStyle name="Normal 5 2 2" xfId="2793"/>
    <cellStyle name="Normal 50" xfId="2794"/>
    <cellStyle name="Normal 51" xfId="2795"/>
    <cellStyle name="Normal 52" xfId="2796"/>
    <cellStyle name="Normal 53" xfId="2797"/>
    <cellStyle name="Normal 54" xfId="2798"/>
    <cellStyle name="Normal 55" xfId="4262"/>
    <cellStyle name="Normal 6" xfId="17"/>
    <cellStyle name="Normal 6 10" xfId="2799"/>
    <cellStyle name="Normal 6 11" xfId="2800"/>
    <cellStyle name="Normal 6 12" xfId="2801"/>
    <cellStyle name="Normal 6 13" xfId="2802"/>
    <cellStyle name="Normal 6 14" xfId="2803"/>
    <cellStyle name="Normal 6 15" xfId="2804"/>
    <cellStyle name="Normal 6 16" xfId="2805"/>
    <cellStyle name="Normal 6 2" xfId="2806"/>
    <cellStyle name="Normal 6 2 2" xfId="2807"/>
    <cellStyle name="Normal 6 3" xfId="2808"/>
    <cellStyle name="Normal 6 4" xfId="2809"/>
    <cellStyle name="Normal 6 5" xfId="2810"/>
    <cellStyle name="Normal 6 6" xfId="2811"/>
    <cellStyle name="Normal 6 7" xfId="2812"/>
    <cellStyle name="Normal 6 8" xfId="2813"/>
    <cellStyle name="Normal 6 9" xfId="2814"/>
    <cellStyle name="Normal 6_TPCP trinh UBND ngay 27-12" xfId="2815"/>
    <cellStyle name="Normal 7" xfId="18"/>
    <cellStyle name="Normal 7 2" xfId="2816"/>
    <cellStyle name="Normal 7 3" xfId="2817"/>
    <cellStyle name="Normal 7 3 2" xfId="2818"/>
    <cellStyle name="Normal 7 3 3" xfId="2819"/>
    <cellStyle name="Normal 7_!1 1 bao cao giao KH ve HTCMT vung TNB   12-12-2011" xfId="2820"/>
    <cellStyle name="Normal 8" xfId="19"/>
    <cellStyle name="Normal 8 2" xfId="2821"/>
    <cellStyle name="Normal 8 2 2" xfId="2822"/>
    <cellStyle name="Normal 8 2 2 2" xfId="2823"/>
    <cellStyle name="Normal 8 2 3" xfId="2824"/>
    <cellStyle name="Normal 8 2_Phuongangiao 1-giaoxulykythuat" xfId="2825"/>
    <cellStyle name="Normal 8 3" xfId="2826"/>
    <cellStyle name="Normal 8_KH KH2014-TPCP (11-12-2013)-3 ( lay theo DH TPCP 2012-2015 da trinh)" xfId="2827"/>
    <cellStyle name="Normal 9" xfId="2"/>
    <cellStyle name="Normal 9 10" xfId="2828"/>
    <cellStyle name="Normal 9 12" xfId="2829"/>
    <cellStyle name="Normal 9 13" xfId="2830"/>
    <cellStyle name="Normal 9 17" xfId="2831"/>
    <cellStyle name="Normal 9 2" xfId="2832"/>
    <cellStyle name="Normal 9 21" xfId="2833"/>
    <cellStyle name="Normal 9 23" xfId="2834"/>
    <cellStyle name="Normal 9 3" xfId="2835"/>
    <cellStyle name="Normal 9 46" xfId="2836"/>
    <cellStyle name="Normal 9 47" xfId="2837"/>
    <cellStyle name="Normal 9 48" xfId="2838"/>
    <cellStyle name="Normal 9 49" xfId="2839"/>
    <cellStyle name="Normal 9 50" xfId="2840"/>
    <cellStyle name="Normal 9 51" xfId="2841"/>
    <cellStyle name="Normal 9 52" xfId="2842"/>
    <cellStyle name="Normal 9_Bieu KH trung han BKH TW" xfId="2843"/>
    <cellStyle name="Normal_Bieu mau (CV )" xfId="1"/>
    <cellStyle name="Normal_Bieu mau (CV ) 2" xfId="3"/>
    <cellStyle name="Normal_Bieu mau (CV ) 2 10" xfId="4288"/>
    <cellStyle name="Normal_Bieu mau (CV ) 2 2" xfId="4285"/>
    <cellStyle name="Normal_Bieu mau (CV ) 2 2_Bieu Giao thong van tai (12)" xfId="4302"/>
    <cellStyle name="Normal_Bieu mau (CV ) 2 2_Bieu Nong nghiep (11)" xfId="4293"/>
    <cellStyle name="Normal_Bieu mau (CV ) 2_Bieu Nong nghiep (11)" xfId="4306"/>
    <cellStyle name="Normal_Bieu mau (CV ) 2_Tong hop no XDCB 31.12 (TH chung 3.12)_Bieu Giao thong van tai (12)" xfId="4303"/>
    <cellStyle name="Normal_Bieu mau (CV ) 2_Tong hop no XDCB 31.12 (TH chung 5.12)" xfId="4284"/>
    <cellStyle name="Normal_Bieu mau (CV )_Bieu Giao thong van tai (12)" xfId="4311"/>
    <cellStyle name="Normal_Bieu mau (CV )_Bieu Nong nghiep (11)" xfId="4297"/>
    <cellStyle name="Normal_Bieu mau (CV )_Bieu Nong nghiep (11) 2" xfId="4287"/>
    <cellStyle name="Normal_Bieu mau (CV )_PA bc UBND tỉnh" xfId="4298"/>
    <cellStyle name="Normal_Bieu mau (CV )_Trung han 2016-2020 (theo ti le 15%) CS 17.11" xfId="4296"/>
    <cellStyle name="Normal_Bieu mau (CV )_Trung han 2016-2020 (theo ti le 15%) CS 17.11 2" xfId="4315"/>
    <cellStyle name="Normal_Bieu mau huong dan" xfId="4310"/>
    <cellStyle name="Normal_Bieu no XDCB den NS tinh bc HDND tinh no 162 ty 09.6.2015" xfId="4313"/>
    <cellStyle name="Normal_Ke hoach DTPT NS tinh 2016" xfId="4304"/>
    <cellStyle name="Normal_Ke hoach DTPT NS tinh 2016_PA bc UBND tỉnh" xfId="4295"/>
    <cellStyle name="Normal_PA bc UBND tỉnh_22" xfId="4299"/>
    <cellStyle name="Normal_Sheet1 2" xfId="4301"/>
    <cellStyle name="Normal_Sheet1 2_KH trung han NS tinh 2016-2020 (17.11) Phi CHA LO" xfId="4300"/>
    <cellStyle name="Normal_Sheet1_1" xfId="4308"/>
    <cellStyle name="Normal_Sheet1_Bieu Giao thong van tai (12) 2" xfId="4292"/>
    <cellStyle name="Normal_Sheet1_Bieu Giao thong van tai (12) 2 2" xfId="4316"/>
    <cellStyle name="Normal_Sheet1_Bieu mau XD KH 2016-2020(NS tinh quan ly) phong VX 16.4" xfId="4286"/>
    <cellStyle name="Normal_Sheet1_PA bc UBND tỉnh" xfId="4314"/>
    <cellStyle name="Normal_Trung han 2016-2020 (theo ti le 15%) CS 17.11" xfId="4307"/>
    <cellStyle name="Normal1" xfId="2844"/>
    <cellStyle name="Normal8" xfId="2845"/>
    <cellStyle name="Normalny_Cennik obowiazuje od 06-08-2001 r (1)" xfId="2846"/>
    <cellStyle name="Note 2" xfId="2847"/>
    <cellStyle name="Note 2 2" xfId="2848"/>
    <cellStyle name="Note 3" xfId="2849"/>
    <cellStyle name="Note 3 2" xfId="2850"/>
    <cellStyle name="Note 4" xfId="2851"/>
    <cellStyle name="Note 4 2" xfId="2852"/>
    <cellStyle name="Note 5" xfId="2853"/>
    <cellStyle name="NWM" xfId="2854"/>
    <cellStyle name="nga" xfId="2855"/>
    <cellStyle name="Ò_x000a_Normal_123569" xfId="2856"/>
    <cellStyle name="Ò_x000d_Normal_123569" xfId="2857"/>
    <cellStyle name="Ò_x005f_x000d_Normal_123569" xfId="2858"/>
    <cellStyle name="Ò_x005f_x005f_x005f_x000d_Normal_123569" xfId="2859"/>
    <cellStyle name="Œ…‹æØ‚è [0.00]_ÆÂ¹²" xfId="2860"/>
    <cellStyle name="Œ…‹æØ‚è_laroux" xfId="2861"/>
    <cellStyle name="oft Excel]_x000a__x000a_Comment=open=/f ‚ðw’è‚·‚é‚ÆAƒ†[ƒU[’è‹`ŠÖ”‚ðŠÖ”“\‚è•t‚¯‚Ìˆê——‚É“o˜^‚·‚é‚±‚Æ‚ª‚Å‚«‚Ü‚·B_x000a__x000a_Maximized" xfId="2862"/>
    <cellStyle name="oft Excel]_x000a__x000a_Comment=open=/f ‚ðŽw’è‚·‚é‚ÆAƒ†[ƒU[’è‹`ŠÖ”‚ðŠÖ”“\‚è•t‚¯‚Ìˆê——‚É“o˜^‚·‚é‚±‚Æ‚ª‚Å‚«‚Ü‚·B_x000a__x000a_Maximized" xfId="2863"/>
    <cellStyle name="oft Excel]_x000a__x000a_Comment=The open=/f lines load custom functions into the Paste Function list._x000a__x000a_Maximized=2_x000a__x000a_Basics=1_x000a__x000a_A" xfId="2864"/>
    <cellStyle name="oft Excel]_x000a__x000a_Comment=The open=/f lines load custom functions into the Paste Function list._x000a__x000a_Maximized=3_x000a__x000a_Basics=1_x000a__x000a_A" xfId="2865"/>
    <cellStyle name="oft Excel]_x000d__x000a_Comment=open=/f ‚ðw’è‚·‚é‚ÆAƒ†[ƒU[’è‹`ŠÖ”‚ðŠÖ”“\‚è•t‚¯‚Ìˆê——‚É“o˜^‚·‚é‚±‚Æ‚ª‚Å‚«‚Ü‚·B_x000d__x000a_Maximized" xfId="2866"/>
    <cellStyle name="oft Excel]_x000d__x000a_Comment=open=/f ‚ðŽw’è‚·‚é‚ÆAƒ†[ƒU[’è‹`ŠÖ”‚ðŠÖ”“\‚è•t‚¯‚Ìˆê——‚É“o˜^‚·‚é‚±‚Æ‚ª‚Å‚«‚Ü‚·B_x000d__x000a_Maximized" xfId="2867"/>
    <cellStyle name="oft Excel]_x000d__x000a_Comment=The open=/f lines load custom functions into the Paste Function list._x000d__x000a_Maximized=2_x000d__x000a_Basics=1_x000d__x000a_A" xfId="2868"/>
    <cellStyle name="oft Excel]_x000d__x000a_Comment=The open=/f lines load custom functions into the Paste Function list._x000d__x000a_Maximized=3_x000d__x000a_Basics=1_x000d__x000a_A" xfId="2869"/>
    <cellStyle name="oft Excel]_x005f_x000d__x005f_x000a_Comment=open=/f ‚ðw’è‚·‚é‚ÆAƒ†[ƒU[’è‹`ŠÖ”‚ðŠÖ”“\‚è•t‚¯‚Ìˆê——‚É“o˜^‚·‚é‚±‚Æ‚ª‚Å‚«‚Ü‚·B_x005f_x000d__x005f_x000a_Maximized" xfId="2870"/>
    <cellStyle name="omma [0]_Mktg Prog" xfId="2871"/>
    <cellStyle name="ormal_Sheet1_1" xfId="2872"/>
    <cellStyle name="Output 2" xfId="2873"/>
    <cellStyle name="p" xfId="2874"/>
    <cellStyle name="paint" xfId="2875"/>
    <cellStyle name="paint 2" xfId="2876"/>
    <cellStyle name="paint_05-12  KH trung han 2016-2020 - Liem Thinh edited" xfId="2877"/>
    <cellStyle name="Pattern" xfId="2878"/>
    <cellStyle name="Pattern 10" xfId="2879"/>
    <cellStyle name="Pattern 11" xfId="2880"/>
    <cellStyle name="Pattern 12" xfId="2881"/>
    <cellStyle name="Pattern 13" xfId="2882"/>
    <cellStyle name="Pattern 14" xfId="2883"/>
    <cellStyle name="Pattern 15" xfId="2884"/>
    <cellStyle name="Pattern 16" xfId="2885"/>
    <cellStyle name="Pattern 2" xfId="2886"/>
    <cellStyle name="Pattern 3" xfId="2887"/>
    <cellStyle name="Pattern 4" xfId="2888"/>
    <cellStyle name="Pattern 5" xfId="2889"/>
    <cellStyle name="Pattern 6" xfId="2890"/>
    <cellStyle name="Pattern 7" xfId="2891"/>
    <cellStyle name="Pattern 8" xfId="2892"/>
    <cellStyle name="Pattern 9" xfId="2893"/>
    <cellStyle name="per.style" xfId="2894"/>
    <cellStyle name="per.style 2" xfId="2895"/>
    <cellStyle name="Percent" xfId="4283" builtinId="5"/>
    <cellStyle name="Percent %" xfId="2896"/>
    <cellStyle name="Percent % Long Underline" xfId="2897"/>
    <cellStyle name="Percent %_Worksheet in  US Financial Statements Ref. Workbook - Single Co" xfId="2898"/>
    <cellStyle name="Percent (0)" xfId="2899"/>
    <cellStyle name="Percent (0) 10" xfId="2900"/>
    <cellStyle name="Percent (0) 11" xfId="2901"/>
    <cellStyle name="Percent (0) 12" xfId="2902"/>
    <cellStyle name="Percent (0) 13" xfId="2903"/>
    <cellStyle name="Percent (0) 14" xfId="2904"/>
    <cellStyle name="Percent (0) 15" xfId="2905"/>
    <cellStyle name="Percent (0) 2" xfId="2906"/>
    <cellStyle name="Percent (0) 3" xfId="2907"/>
    <cellStyle name="Percent (0) 4" xfId="2908"/>
    <cellStyle name="Percent (0) 5" xfId="2909"/>
    <cellStyle name="Percent (0) 6" xfId="2910"/>
    <cellStyle name="Percent (0) 7" xfId="2911"/>
    <cellStyle name="Percent (0) 8" xfId="2912"/>
    <cellStyle name="Percent (0) 9" xfId="2913"/>
    <cellStyle name="Percent [0]" xfId="2914"/>
    <cellStyle name="Percent [0] 10" xfId="2915"/>
    <cellStyle name="Percent [0] 11" xfId="2916"/>
    <cellStyle name="Percent [0] 12" xfId="2917"/>
    <cellStyle name="Percent [0] 13" xfId="2918"/>
    <cellStyle name="Percent [0] 14" xfId="2919"/>
    <cellStyle name="Percent [0] 15" xfId="2920"/>
    <cellStyle name="Percent [0] 16" xfId="2921"/>
    <cellStyle name="Percent [0] 2" xfId="2922"/>
    <cellStyle name="Percent [0] 3" xfId="2923"/>
    <cellStyle name="Percent [0] 4" xfId="2924"/>
    <cellStyle name="Percent [0] 5" xfId="2925"/>
    <cellStyle name="Percent [0] 6" xfId="2926"/>
    <cellStyle name="Percent [0] 7" xfId="2927"/>
    <cellStyle name="Percent [0] 8" xfId="2928"/>
    <cellStyle name="Percent [0] 9" xfId="2929"/>
    <cellStyle name="Percent [00]" xfId="2930"/>
    <cellStyle name="Percent [00] 10" xfId="2931"/>
    <cellStyle name="Percent [00] 11" xfId="2932"/>
    <cellStyle name="Percent [00] 12" xfId="2933"/>
    <cellStyle name="Percent [00] 13" xfId="2934"/>
    <cellStyle name="Percent [00] 14" xfId="2935"/>
    <cellStyle name="Percent [00] 15" xfId="2936"/>
    <cellStyle name="Percent [00] 16" xfId="2937"/>
    <cellStyle name="Percent [00] 2" xfId="2938"/>
    <cellStyle name="Percent [00] 3" xfId="2939"/>
    <cellStyle name="Percent [00] 4" xfId="2940"/>
    <cellStyle name="Percent [00] 5" xfId="2941"/>
    <cellStyle name="Percent [00] 6" xfId="2942"/>
    <cellStyle name="Percent [00] 7" xfId="2943"/>
    <cellStyle name="Percent [00] 8" xfId="2944"/>
    <cellStyle name="Percent [00] 9" xfId="2945"/>
    <cellStyle name="Percent [2]" xfId="2946"/>
    <cellStyle name="Percent [2] 10" xfId="2947"/>
    <cellStyle name="Percent [2] 11" xfId="2948"/>
    <cellStyle name="Percent [2] 12" xfId="2949"/>
    <cellStyle name="Percent [2] 13" xfId="2950"/>
    <cellStyle name="Percent [2] 14" xfId="2951"/>
    <cellStyle name="Percent [2] 15" xfId="2952"/>
    <cellStyle name="Percent [2] 16" xfId="2953"/>
    <cellStyle name="Percent [2] 2" xfId="2954"/>
    <cellStyle name="Percent [2] 2 2" xfId="2955"/>
    <cellStyle name="Percent [2] 3" xfId="2956"/>
    <cellStyle name="Percent [2] 4" xfId="2957"/>
    <cellStyle name="Percent [2] 5" xfId="2958"/>
    <cellStyle name="Percent [2] 6" xfId="2959"/>
    <cellStyle name="Percent [2] 7" xfId="2960"/>
    <cellStyle name="Percent [2] 8" xfId="2961"/>
    <cellStyle name="Percent [2] 9" xfId="2962"/>
    <cellStyle name="Percent 0.0%" xfId="2963"/>
    <cellStyle name="Percent 0.0% Long Underline" xfId="2964"/>
    <cellStyle name="Percent 0.00%" xfId="2965"/>
    <cellStyle name="Percent 0.00% Long Underline" xfId="2966"/>
    <cellStyle name="Percent 0.000%" xfId="2967"/>
    <cellStyle name="Percent 0.000% Long Underline" xfId="2968"/>
    <cellStyle name="Percent 10" xfId="2969"/>
    <cellStyle name="Percent 10 2" xfId="2970"/>
    <cellStyle name="Percent 11" xfId="2971"/>
    <cellStyle name="Percent 11 2" xfId="2972"/>
    <cellStyle name="Percent 12" xfId="2973"/>
    <cellStyle name="Percent 12 2" xfId="2974"/>
    <cellStyle name="Percent 13" xfId="2975"/>
    <cellStyle name="Percent 13 2" xfId="2976"/>
    <cellStyle name="Percent 14" xfId="2977"/>
    <cellStyle name="Percent 14 2" xfId="2978"/>
    <cellStyle name="Percent 15" xfId="2979"/>
    <cellStyle name="Percent 16" xfId="2980"/>
    <cellStyle name="Percent 17" xfId="2981"/>
    <cellStyle name="Percent 18" xfId="2982"/>
    <cellStyle name="Percent 19" xfId="2983"/>
    <cellStyle name="Percent 19 2" xfId="2984"/>
    <cellStyle name="Percent 2" xfId="20"/>
    <cellStyle name="Percent 2 2" xfId="2985"/>
    <cellStyle name="Percent 2 2 2" xfId="2986"/>
    <cellStyle name="Percent 2 2 3" xfId="2987"/>
    <cellStyle name="Percent 2 3" xfId="2988"/>
    <cellStyle name="Percent 2 4" xfId="2989"/>
    <cellStyle name="Percent 20" xfId="2990"/>
    <cellStyle name="Percent 20 2" xfId="2991"/>
    <cellStyle name="Percent 21" xfId="2992"/>
    <cellStyle name="Percent 22" xfId="2993"/>
    <cellStyle name="Percent 23" xfId="2994"/>
    <cellStyle name="Percent 3" xfId="2995"/>
    <cellStyle name="Percent 3 2" xfId="2996"/>
    <cellStyle name="Percent 3 3" xfId="2997"/>
    <cellStyle name="Percent 4" xfId="2998"/>
    <cellStyle name="Percent 4 2" xfId="2999"/>
    <cellStyle name="Percent 5" xfId="3000"/>
    <cellStyle name="Percent 5 2" xfId="3001"/>
    <cellStyle name="Percent 6" xfId="3002"/>
    <cellStyle name="Percent 6 2" xfId="3003"/>
    <cellStyle name="Percent 7" xfId="3004"/>
    <cellStyle name="Percent 7 2" xfId="3005"/>
    <cellStyle name="Percent 8" xfId="3006"/>
    <cellStyle name="Percent 8 2" xfId="3007"/>
    <cellStyle name="Percent 9" xfId="3008"/>
    <cellStyle name="Percent 9 2" xfId="3009"/>
    <cellStyle name="PERCENTAGE" xfId="3010"/>
    <cellStyle name="PERCENTAGE 2" xfId="3011"/>
    <cellStyle name="PrePop Currency (0)" xfId="3012"/>
    <cellStyle name="PrePop Currency (0) 10" xfId="3013"/>
    <cellStyle name="PrePop Currency (0) 11" xfId="3014"/>
    <cellStyle name="PrePop Currency (0) 12" xfId="3015"/>
    <cellStyle name="PrePop Currency (0) 13" xfId="3016"/>
    <cellStyle name="PrePop Currency (0) 14" xfId="3017"/>
    <cellStyle name="PrePop Currency (0) 15" xfId="3018"/>
    <cellStyle name="PrePop Currency (0) 16" xfId="3019"/>
    <cellStyle name="PrePop Currency (0) 2" xfId="3020"/>
    <cellStyle name="PrePop Currency (0) 3" xfId="3021"/>
    <cellStyle name="PrePop Currency (0) 4" xfId="3022"/>
    <cellStyle name="PrePop Currency (0) 5" xfId="3023"/>
    <cellStyle name="PrePop Currency (0) 6" xfId="3024"/>
    <cellStyle name="PrePop Currency (0) 7" xfId="3025"/>
    <cellStyle name="PrePop Currency (0) 8" xfId="3026"/>
    <cellStyle name="PrePop Currency (0) 9" xfId="3027"/>
    <cellStyle name="PrePop Currency (2)" xfId="3028"/>
    <cellStyle name="PrePop Currency (2) 10" xfId="3029"/>
    <cellStyle name="PrePop Currency (2) 11" xfId="3030"/>
    <cellStyle name="PrePop Currency (2) 12" xfId="3031"/>
    <cellStyle name="PrePop Currency (2) 13" xfId="3032"/>
    <cellStyle name="PrePop Currency (2) 14" xfId="3033"/>
    <cellStyle name="PrePop Currency (2) 15" xfId="3034"/>
    <cellStyle name="PrePop Currency (2) 16" xfId="3035"/>
    <cellStyle name="PrePop Currency (2) 2" xfId="3036"/>
    <cellStyle name="PrePop Currency (2) 3" xfId="3037"/>
    <cellStyle name="PrePop Currency (2) 4" xfId="3038"/>
    <cellStyle name="PrePop Currency (2) 5" xfId="3039"/>
    <cellStyle name="PrePop Currency (2) 6" xfId="3040"/>
    <cellStyle name="PrePop Currency (2) 7" xfId="3041"/>
    <cellStyle name="PrePop Currency (2) 8" xfId="3042"/>
    <cellStyle name="PrePop Currency (2) 9" xfId="3043"/>
    <cellStyle name="PrePop Units (0)" xfId="3044"/>
    <cellStyle name="PrePop Units (0) 10" xfId="3045"/>
    <cellStyle name="PrePop Units (0) 11" xfId="3046"/>
    <cellStyle name="PrePop Units (0) 12" xfId="3047"/>
    <cellStyle name="PrePop Units (0) 13" xfId="3048"/>
    <cellStyle name="PrePop Units (0) 14" xfId="3049"/>
    <cellStyle name="PrePop Units (0) 15" xfId="3050"/>
    <cellStyle name="PrePop Units (0) 16" xfId="3051"/>
    <cellStyle name="PrePop Units (0) 2" xfId="3052"/>
    <cellStyle name="PrePop Units (0) 3" xfId="3053"/>
    <cellStyle name="PrePop Units (0) 4" xfId="3054"/>
    <cellStyle name="PrePop Units (0) 5" xfId="3055"/>
    <cellStyle name="PrePop Units (0) 6" xfId="3056"/>
    <cellStyle name="PrePop Units (0) 7" xfId="3057"/>
    <cellStyle name="PrePop Units (0) 8" xfId="3058"/>
    <cellStyle name="PrePop Units (0) 9" xfId="3059"/>
    <cellStyle name="PrePop Units (1)" xfId="3060"/>
    <cellStyle name="PrePop Units (1) 10" xfId="3061"/>
    <cellStyle name="PrePop Units (1) 11" xfId="3062"/>
    <cellStyle name="PrePop Units (1) 12" xfId="3063"/>
    <cellStyle name="PrePop Units (1) 13" xfId="3064"/>
    <cellStyle name="PrePop Units (1) 14" xfId="3065"/>
    <cellStyle name="PrePop Units (1) 15" xfId="3066"/>
    <cellStyle name="PrePop Units (1) 16" xfId="3067"/>
    <cellStyle name="PrePop Units (1) 2" xfId="3068"/>
    <cellStyle name="PrePop Units (1) 3" xfId="3069"/>
    <cellStyle name="PrePop Units (1) 4" xfId="3070"/>
    <cellStyle name="PrePop Units (1) 5" xfId="3071"/>
    <cellStyle name="PrePop Units (1) 6" xfId="3072"/>
    <cellStyle name="PrePop Units (1) 7" xfId="3073"/>
    <cellStyle name="PrePop Units (1) 8" xfId="3074"/>
    <cellStyle name="PrePop Units (1) 9" xfId="3075"/>
    <cellStyle name="PrePop Units (2)" xfId="3076"/>
    <cellStyle name="PrePop Units (2) 10" xfId="3077"/>
    <cellStyle name="PrePop Units (2) 11" xfId="3078"/>
    <cellStyle name="PrePop Units (2) 12" xfId="3079"/>
    <cellStyle name="PrePop Units (2) 13" xfId="3080"/>
    <cellStyle name="PrePop Units (2) 14" xfId="3081"/>
    <cellStyle name="PrePop Units (2) 15" xfId="3082"/>
    <cellStyle name="PrePop Units (2) 16" xfId="3083"/>
    <cellStyle name="PrePop Units (2) 2" xfId="3084"/>
    <cellStyle name="PrePop Units (2) 3" xfId="3085"/>
    <cellStyle name="PrePop Units (2) 4" xfId="3086"/>
    <cellStyle name="PrePop Units (2) 5" xfId="3087"/>
    <cellStyle name="PrePop Units (2) 6" xfId="3088"/>
    <cellStyle name="PrePop Units (2) 7" xfId="3089"/>
    <cellStyle name="PrePop Units (2) 8" xfId="3090"/>
    <cellStyle name="PrePop Units (2) 9" xfId="3091"/>
    <cellStyle name="pricing" xfId="3092"/>
    <cellStyle name="pricing 2" xfId="3093"/>
    <cellStyle name="PSChar" xfId="3094"/>
    <cellStyle name="PSHeading" xfId="3095"/>
    <cellStyle name="Quantity" xfId="3096"/>
    <cellStyle name="regstoresfromspecstores" xfId="3097"/>
    <cellStyle name="regstoresfromspecstores 2" xfId="3098"/>
    <cellStyle name="RevList" xfId="3099"/>
    <cellStyle name="rlink_tiªn l­în_x005f_x001b_Hyperlink_TONG HOP KINH PHI" xfId="3100"/>
    <cellStyle name="rmal_ADAdot" xfId="3101"/>
    <cellStyle name="S—_x0008_" xfId="3102"/>
    <cellStyle name="S—_x0008_ 2" xfId="3103"/>
    <cellStyle name="s]_x000a__x000a_spooler=yes_x000a__x000a_load=_x000a__x000a_Beep=yes_x000a__x000a_NullPort=None_x000a__x000a_BorderWidth=3_x000a__x000a_CursorBlinkRate=1200_x000a__x000a_DoubleClickSpeed=452_x000a__x000a_Programs=co" xfId="3104"/>
    <cellStyle name="s]_x000d__x000a_spooler=yes_x000d__x000a_load=_x000d__x000a_Beep=yes_x000d__x000a_NullPort=None_x000d__x000a_BorderWidth=3_x000d__x000a_CursorBlinkRate=1200_x000d__x000a_DoubleClickSpeed=452_x000d__x000a_Programs=co" xfId="3105"/>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106"/>
    <cellStyle name="S—_x0008__KH TPCP vung TNB (03-1-2012)" xfId="3107"/>
    <cellStyle name="S—_x005f_x0008_" xfId="3108"/>
    <cellStyle name="SAPBEXaggData" xfId="3109"/>
    <cellStyle name="SAPBEXaggData 2" xfId="3110"/>
    <cellStyle name="SAPBEXaggDataEmph" xfId="3111"/>
    <cellStyle name="SAPBEXaggDataEmph 2" xfId="3112"/>
    <cellStyle name="SAPBEXaggItem" xfId="3113"/>
    <cellStyle name="SAPBEXaggItem 2" xfId="3114"/>
    <cellStyle name="SAPBEXchaText" xfId="3115"/>
    <cellStyle name="SAPBEXchaText 2" xfId="3116"/>
    <cellStyle name="SAPBEXexcBad7" xfId="3117"/>
    <cellStyle name="SAPBEXexcBad7 2" xfId="3118"/>
    <cellStyle name="SAPBEXexcBad8" xfId="3119"/>
    <cellStyle name="SAPBEXexcBad8 2" xfId="3120"/>
    <cellStyle name="SAPBEXexcBad9" xfId="3121"/>
    <cellStyle name="SAPBEXexcBad9 2" xfId="3122"/>
    <cellStyle name="SAPBEXexcCritical4" xfId="3123"/>
    <cellStyle name="SAPBEXexcCritical4 2" xfId="3124"/>
    <cellStyle name="SAPBEXexcCritical5" xfId="3125"/>
    <cellStyle name="SAPBEXexcCritical5 2" xfId="3126"/>
    <cellStyle name="SAPBEXexcCritical6" xfId="3127"/>
    <cellStyle name="SAPBEXexcCritical6 2" xfId="3128"/>
    <cellStyle name="SAPBEXexcGood1" xfId="3129"/>
    <cellStyle name="SAPBEXexcGood1 2" xfId="3130"/>
    <cellStyle name="SAPBEXexcGood2" xfId="3131"/>
    <cellStyle name="SAPBEXexcGood2 2" xfId="3132"/>
    <cellStyle name="SAPBEXexcGood3" xfId="3133"/>
    <cellStyle name="SAPBEXexcGood3 2" xfId="3134"/>
    <cellStyle name="SAPBEXfilterDrill" xfId="3135"/>
    <cellStyle name="SAPBEXfilterDrill 2" xfId="3136"/>
    <cellStyle name="SAPBEXfilterItem" xfId="3137"/>
    <cellStyle name="SAPBEXfilterItem 2" xfId="3138"/>
    <cellStyle name="SAPBEXfilterText" xfId="3139"/>
    <cellStyle name="SAPBEXfilterText 2" xfId="3140"/>
    <cellStyle name="SAPBEXformats" xfId="3141"/>
    <cellStyle name="SAPBEXformats 2" xfId="3142"/>
    <cellStyle name="SAPBEXheaderItem" xfId="3143"/>
    <cellStyle name="SAPBEXheaderItem 2" xfId="3144"/>
    <cellStyle name="SAPBEXheaderText" xfId="3145"/>
    <cellStyle name="SAPBEXheaderText 2" xfId="3146"/>
    <cellStyle name="SAPBEXresData" xfId="3147"/>
    <cellStyle name="SAPBEXresData 2" xfId="3148"/>
    <cellStyle name="SAPBEXresDataEmph" xfId="3149"/>
    <cellStyle name="SAPBEXresDataEmph 2" xfId="3150"/>
    <cellStyle name="SAPBEXresItem" xfId="3151"/>
    <cellStyle name="SAPBEXresItem 2" xfId="3152"/>
    <cellStyle name="SAPBEXstdData" xfId="3153"/>
    <cellStyle name="SAPBEXstdData 2" xfId="3154"/>
    <cellStyle name="SAPBEXstdDataEmph" xfId="3155"/>
    <cellStyle name="SAPBEXstdDataEmph 2" xfId="3156"/>
    <cellStyle name="SAPBEXstdItem" xfId="3157"/>
    <cellStyle name="SAPBEXstdItem 2" xfId="3158"/>
    <cellStyle name="SAPBEXtitle" xfId="3159"/>
    <cellStyle name="SAPBEXtitle 2" xfId="3160"/>
    <cellStyle name="SAPBEXundefined" xfId="3161"/>
    <cellStyle name="SAPBEXundefined 2" xfId="3162"/>
    <cellStyle name="serJet 1200 Series PCL 6" xfId="3163"/>
    <cellStyle name="SHADEDSTORES" xfId="3164"/>
    <cellStyle name="SHADEDSTORES 2" xfId="3165"/>
    <cellStyle name="songuyen" xfId="3166"/>
    <cellStyle name="specstores" xfId="3167"/>
    <cellStyle name="Standard_AAbgleich" xfId="3168"/>
    <cellStyle name="STTDG" xfId="3169"/>
    <cellStyle name="Style 1" xfId="3170"/>
    <cellStyle name="Style 1 2" xfId="3171"/>
    <cellStyle name="Style 1 3" xfId="3172"/>
    <cellStyle name="Style 10" xfId="3173"/>
    <cellStyle name="Style 10 2" xfId="3174"/>
    <cellStyle name="Style 100" xfId="3175"/>
    <cellStyle name="Style 101" xfId="3176"/>
    <cellStyle name="Style 102" xfId="3177"/>
    <cellStyle name="Style 103" xfId="3178"/>
    <cellStyle name="Style 104" xfId="3179"/>
    <cellStyle name="Style 105" xfId="3180"/>
    <cellStyle name="Style 106" xfId="3181"/>
    <cellStyle name="Style 107" xfId="3182"/>
    <cellStyle name="Style 108" xfId="3183"/>
    <cellStyle name="Style 109" xfId="3184"/>
    <cellStyle name="Style 11" xfId="3185"/>
    <cellStyle name="Style 11 2" xfId="3186"/>
    <cellStyle name="Style 110" xfId="3187"/>
    <cellStyle name="Style 111" xfId="3188"/>
    <cellStyle name="Style 112" xfId="3189"/>
    <cellStyle name="Style 113" xfId="3190"/>
    <cellStyle name="Style 114" xfId="3191"/>
    <cellStyle name="Style 115" xfId="3192"/>
    <cellStyle name="Style 116" xfId="3193"/>
    <cellStyle name="Style 117" xfId="3194"/>
    <cellStyle name="Style 118" xfId="3195"/>
    <cellStyle name="Style 119" xfId="3196"/>
    <cellStyle name="Style 12" xfId="3197"/>
    <cellStyle name="Style 12 2" xfId="3198"/>
    <cellStyle name="Style 120" xfId="3199"/>
    <cellStyle name="Style 121" xfId="3200"/>
    <cellStyle name="Style 122" xfId="3201"/>
    <cellStyle name="Style 123" xfId="3202"/>
    <cellStyle name="Style 124" xfId="3203"/>
    <cellStyle name="Style 125" xfId="3204"/>
    <cellStyle name="Style 126" xfId="3205"/>
    <cellStyle name="Style 127" xfId="3206"/>
    <cellStyle name="Style 128" xfId="3207"/>
    <cellStyle name="Style 129" xfId="3208"/>
    <cellStyle name="Style 13" xfId="3209"/>
    <cellStyle name="Style 13 2" xfId="3210"/>
    <cellStyle name="Style 130" xfId="3211"/>
    <cellStyle name="Style 131" xfId="3212"/>
    <cellStyle name="Style 132" xfId="3213"/>
    <cellStyle name="Style 133" xfId="3214"/>
    <cellStyle name="Style 134" xfId="3215"/>
    <cellStyle name="Style 135" xfId="3216"/>
    <cellStyle name="Style 136" xfId="3217"/>
    <cellStyle name="Style 137" xfId="3218"/>
    <cellStyle name="Style 138" xfId="3219"/>
    <cellStyle name="Style 139" xfId="3220"/>
    <cellStyle name="Style 14" xfId="3221"/>
    <cellStyle name="Style 14 2" xfId="3222"/>
    <cellStyle name="Style 140" xfId="3223"/>
    <cellStyle name="Style 141" xfId="3224"/>
    <cellStyle name="Style 142" xfId="3225"/>
    <cellStyle name="Style 143" xfId="3226"/>
    <cellStyle name="Style 144" xfId="3227"/>
    <cellStyle name="Style 145" xfId="3228"/>
    <cellStyle name="Style 146" xfId="3229"/>
    <cellStyle name="Style 147" xfId="3230"/>
    <cellStyle name="Style 148" xfId="3231"/>
    <cellStyle name="Style 149" xfId="3232"/>
    <cellStyle name="Style 15" xfId="3233"/>
    <cellStyle name="Style 15 2" xfId="3234"/>
    <cellStyle name="Style 150" xfId="3235"/>
    <cellStyle name="Style 151" xfId="3236"/>
    <cellStyle name="Style 152" xfId="3237"/>
    <cellStyle name="Style 153" xfId="3238"/>
    <cellStyle name="Style 154" xfId="3239"/>
    <cellStyle name="Style 155" xfId="3240"/>
    <cellStyle name="Style 16" xfId="3241"/>
    <cellStyle name="Style 16 2" xfId="3242"/>
    <cellStyle name="Style 17" xfId="3243"/>
    <cellStyle name="Style 17 2" xfId="3244"/>
    <cellStyle name="Style 18" xfId="3245"/>
    <cellStyle name="Style 18 2" xfId="3246"/>
    <cellStyle name="Style 19" xfId="3247"/>
    <cellStyle name="Style 19 2" xfId="3248"/>
    <cellStyle name="Style 2" xfId="3249"/>
    <cellStyle name="Style 2 2" xfId="3250"/>
    <cellStyle name="Style 20" xfId="3251"/>
    <cellStyle name="Style 20 2" xfId="3252"/>
    <cellStyle name="Style 21" xfId="3253"/>
    <cellStyle name="Style 21 2" xfId="3254"/>
    <cellStyle name="Style 22" xfId="3255"/>
    <cellStyle name="Style 22 2" xfId="3256"/>
    <cellStyle name="Style 23" xfId="3257"/>
    <cellStyle name="Style 23 2" xfId="3258"/>
    <cellStyle name="Style 24" xfId="3259"/>
    <cellStyle name="Style 24 2" xfId="3260"/>
    <cellStyle name="Style 25" xfId="3261"/>
    <cellStyle name="Style 25 2" xfId="3262"/>
    <cellStyle name="Style 26" xfId="3263"/>
    <cellStyle name="Style 26 2" xfId="3264"/>
    <cellStyle name="Style 27" xfId="3265"/>
    <cellStyle name="Style 27 2" xfId="3266"/>
    <cellStyle name="Style 28" xfId="3267"/>
    <cellStyle name="Style 28 2" xfId="3268"/>
    <cellStyle name="Style 29" xfId="3269"/>
    <cellStyle name="Style 29 2" xfId="3270"/>
    <cellStyle name="Style 3" xfId="3271"/>
    <cellStyle name="Style 3 2" xfId="3272"/>
    <cellStyle name="Style 30" xfId="3273"/>
    <cellStyle name="Style 30 2" xfId="3274"/>
    <cellStyle name="Style 31" xfId="3275"/>
    <cellStyle name="Style 31 2" xfId="3276"/>
    <cellStyle name="Style 32" xfId="3277"/>
    <cellStyle name="Style 32 2" xfId="3278"/>
    <cellStyle name="Style 33" xfId="3279"/>
    <cellStyle name="Style 33 2" xfId="3280"/>
    <cellStyle name="Style 34" xfId="3281"/>
    <cellStyle name="Style 34 2" xfId="3282"/>
    <cellStyle name="Style 35" xfId="3283"/>
    <cellStyle name="Style 35 2" xfId="3284"/>
    <cellStyle name="Style 36" xfId="3285"/>
    <cellStyle name="Style 37" xfId="3286"/>
    <cellStyle name="Style 37 2" xfId="3287"/>
    <cellStyle name="Style 38" xfId="3288"/>
    <cellStyle name="Style 38 2" xfId="3289"/>
    <cellStyle name="Style 39" xfId="3290"/>
    <cellStyle name="Style 39 2" xfId="3291"/>
    <cellStyle name="Style 4" xfId="3292"/>
    <cellStyle name="Style 4 2" xfId="3293"/>
    <cellStyle name="Style 40" xfId="3294"/>
    <cellStyle name="Style 40 2" xfId="3295"/>
    <cellStyle name="Style 41" xfId="3296"/>
    <cellStyle name="Style 41 2" xfId="3297"/>
    <cellStyle name="Style 42" xfId="3298"/>
    <cellStyle name="Style 42 2" xfId="3299"/>
    <cellStyle name="Style 43" xfId="3300"/>
    <cellStyle name="Style 43 2" xfId="3301"/>
    <cellStyle name="Style 44" xfId="3302"/>
    <cellStyle name="Style 44 2" xfId="3303"/>
    <cellStyle name="Style 45" xfId="3304"/>
    <cellStyle name="Style 45 2" xfId="3305"/>
    <cellStyle name="Style 46" xfId="3306"/>
    <cellStyle name="Style 46 2" xfId="3307"/>
    <cellStyle name="Style 47" xfId="3308"/>
    <cellStyle name="Style 47 2" xfId="3309"/>
    <cellStyle name="Style 48" xfId="3310"/>
    <cellStyle name="Style 48 2" xfId="3311"/>
    <cellStyle name="Style 49" xfId="3312"/>
    <cellStyle name="Style 49 2" xfId="3313"/>
    <cellStyle name="Style 5" xfId="3314"/>
    <cellStyle name="Style 50" xfId="3315"/>
    <cellStyle name="Style 50 2" xfId="3316"/>
    <cellStyle name="Style 51" xfId="3317"/>
    <cellStyle name="Style 51 2" xfId="3318"/>
    <cellStyle name="Style 52" xfId="3319"/>
    <cellStyle name="Style 52 2" xfId="3320"/>
    <cellStyle name="Style 53" xfId="3321"/>
    <cellStyle name="Style 53 2" xfId="3322"/>
    <cellStyle name="Style 54" xfId="3323"/>
    <cellStyle name="Style 54 2" xfId="3324"/>
    <cellStyle name="Style 55" xfId="3325"/>
    <cellStyle name="Style 55 2" xfId="3326"/>
    <cellStyle name="Style 56" xfId="3327"/>
    <cellStyle name="Style 57" xfId="3328"/>
    <cellStyle name="Style 58" xfId="3329"/>
    <cellStyle name="Style 59" xfId="3330"/>
    <cellStyle name="Style 6" xfId="3331"/>
    <cellStyle name="Style 6 2" xfId="3332"/>
    <cellStyle name="Style 60" xfId="3333"/>
    <cellStyle name="Style 61" xfId="3334"/>
    <cellStyle name="Style 62" xfId="3335"/>
    <cellStyle name="Style 63" xfId="3336"/>
    <cellStyle name="Style 64" xfId="3337"/>
    <cellStyle name="Style 65" xfId="3338"/>
    <cellStyle name="Style 66" xfId="3339"/>
    <cellStyle name="Style 67" xfId="3340"/>
    <cellStyle name="Style 68" xfId="3341"/>
    <cellStyle name="Style 69" xfId="3342"/>
    <cellStyle name="Style 7" xfId="3343"/>
    <cellStyle name="Style 7 2" xfId="3344"/>
    <cellStyle name="Style 70" xfId="3345"/>
    <cellStyle name="Style 71" xfId="3346"/>
    <cellStyle name="Style 72" xfId="3347"/>
    <cellStyle name="Style 73" xfId="3348"/>
    <cellStyle name="Style 74" xfId="3349"/>
    <cellStyle name="Style 75" xfId="3350"/>
    <cellStyle name="Style 76" xfId="3351"/>
    <cellStyle name="Style 77" xfId="3352"/>
    <cellStyle name="Style 78" xfId="3353"/>
    <cellStyle name="Style 79" xfId="3354"/>
    <cellStyle name="Style 8" xfId="3355"/>
    <cellStyle name="Style 8 2" xfId="3356"/>
    <cellStyle name="Style 80" xfId="3357"/>
    <cellStyle name="Style 81" xfId="3358"/>
    <cellStyle name="Style 82" xfId="3359"/>
    <cellStyle name="Style 83" xfId="3360"/>
    <cellStyle name="Style 84" xfId="3361"/>
    <cellStyle name="Style 85" xfId="3362"/>
    <cellStyle name="Style 86" xfId="3363"/>
    <cellStyle name="Style 87" xfId="3364"/>
    <cellStyle name="Style 88" xfId="3365"/>
    <cellStyle name="Style 89" xfId="3366"/>
    <cellStyle name="Style 9" xfId="3367"/>
    <cellStyle name="Style 9 2" xfId="3368"/>
    <cellStyle name="Style 90" xfId="3369"/>
    <cellStyle name="Style 91" xfId="3370"/>
    <cellStyle name="Style 92" xfId="3371"/>
    <cellStyle name="Style 93" xfId="3372"/>
    <cellStyle name="Style 94" xfId="3373"/>
    <cellStyle name="Style 95" xfId="3374"/>
    <cellStyle name="Style 96" xfId="3375"/>
    <cellStyle name="Style 97" xfId="3376"/>
    <cellStyle name="Style 98" xfId="3377"/>
    <cellStyle name="Style 99" xfId="3378"/>
    <cellStyle name="Style Date" xfId="3379"/>
    <cellStyle name="style_1" xfId="3380"/>
    <cellStyle name="subhead" xfId="3381"/>
    <cellStyle name="subhead 2" xfId="3382"/>
    <cellStyle name="Subtotal" xfId="3383"/>
    <cellStyle name="symbol" xfId="3384"/>
    <cellStyle name="T" xfId="3385"/>
    <cellStyle name="T 2" xfId="3386"/>
    <cellStyle name="T_15_10_2013 BC nhu cau von doi ung ODA (2014-2016) ngay 15102013 Sua" xfId="3387"/>
    <cellStyle name="T_bao cao" xfId="3388"/>
    <cellStyle name="T_bao cao 2" xfId="3389"/>
    <cellStyle name="T_bao cao phan bo KHDT 2011(final)" xfId="3390"/>
    <cellStyle name="T_Bao cao so lieu kiem toan nam 2007 sua" xfId="3391"/>
    <cellStyle name="T_Bao cao so lieu kiem toan nam 2007 sua 2" xfId="3392"/>
    <cellStyle name="T_Bao cao so lieu kiem toan nam 2007 sua_!1 1 bao cao giao KH ve HTCMT vung TNB   12-12-2011" xfId="3393"/>
    <cellStyle name="T_Bao cao so lieu kiem toan nam 2007 sua_!1 1 bao cao giao KH ve HTCMT vung TNB   12-12-2011 2" xfId="3394"/>
    <cellStyle name="T_Bao cao so lieu kiem toan nam 2007 sua_KH TPCP vung TNB (03-1-2012)" xfId="3395"/>
    <cellStyle name="T_Bao cao so lieu kiem toan nam 2007 sua_KH TPCP vung TNB (03-1-2012) 2" xfId="3396"/>
    <cellStyle name="T_bao cao_!1 1 bao cao giao KH ve HTCMT vung TNB   12-12-2011" xfId="3397"/>
    <cellStyle name="T_bao cao_!1 1 bao cao giao KH ve HTCMT vung TNB   12-12-2011 2" xfId="3398"/>
    <cellStyle name="T_bao cao_Bieu4HTMT" xfId="3399"/>
    <cellStyle name="T_bao cao_Bieu4HTMT 2" xfId="3400"/>
    <cellStyle name="T_bao cao_Bieu4HTMT_!1 1 bao cao giao KH ve HTCMT vung TNB   12-12-2011" xfId="3401"/>
    <cellStyle name="T_bao cao_Bieu4HTMT_!1 1 bao cao giao KH ve HTCMT vung TNB   12-12-2011 2" xfId="3402"/>
    <cellStyle name="T_bao cao_Bieu4HTMT_KH TPCP vung TNB (03-1-2012)" xfId="3403"/>
    <cellStyle name="T_bao cao_Bieu4HTMT_KH TPCP vung TNB (03-1-2012) 2" xfId="3404"/>
    <cellStyle name="T_bao cao_KH TPCP vung TNB (03-1-2012)" xfId="3405"/>
    <cellStyle name="T_bao cao_KH TPCP vung TNB (03-1-2012) 2" xfId="3406"/>
    <cellStyle name="T_BBTNG-06" xfId="3407"/>
    <cellStyle name="T_BBTNG-06 2" xfId="3408"/>
    <cellStyle name="T_BBTNG-06_!1 1 bao cao giao KH ve HTCMT vung TNB   12-12-2011" xfId="3409"/>
    <cellStyle name="T_BBTNG-06_!1 1 bao cao giao KH ve HTCMT vung TNB   12-12-2011 2" xfId="3410"/>
    <cellStyle name="T_BBTNG-06_Bieu4HTMT" xfId="3411"/>
    <cellStyle name="T_BBTNG-06_Bieu4HTMT 2" xfId="3412"/>
    <cellStyle name="T_BBTNG-06_Bieu4HTMT_!1 1 bao cao giao KH ve HTCMT vung TNB   12-12-2011" xfId="3413"/>
    <cellStyle name="T_BBTNG-06_Bieu4HTMT_!1 1 bao cao giao KH ve HTCMT vung TNB   12-12-2011 2" xfId="3414"/>
    <cellStyle name="T_BBTNG-06_Bieu4HTMT_KH TPCP vung TNB (03-1-2012)" xfId="3415"/>
    <cellStyle name="T_BBTNG-06_Bieu4HTMT_KH TPCP vung TNB (03-1-2012) 2" xfId="3416"/>
    <cellStyle name="T_BBTNG-06_KH TPCP vung TNB (03-1-2012)" xfId="3417"/>
    <cellStyle name="T_BBTNG-06_KH TPCP vung TNB (03-1-2012) 2" xfId="3418"/>
    <cellStyle name="T_BC  NAM 2007" xfId="3419"/>
    <cellStyle name="T_BC  NAM 2007 2" xfId="3420"/>
    <cellStyle name="T_BC CTMT-2008 Ttinh" xfId="3421"/>
    <cellStyle name="T_BC CTMT-2008 Ttinh 2" xfId="3422"/>
    <cellStyle name="T_BC CTMT-2008 Ttinh_!1 1 bao cao giao KH ve HTCMT vung TNB   12-12-2011" xfId="3423"/>
    <cellStyle name="T_BC CTMT-2008 Ttinh_!1 1 bao cao giao KH ve HTCMT vung TNB   12-12-2011 2" xfId="3424"/>
    <cellStyle name="T_BC CTMT-2008 Ttinh_KH TPCP vung TNB (03-1-2012)" xfId="3425"/>
    <cellStyle name="T_BC CTMT-2008 Ttinh_KH TPCP vung TNB (03-1-2012) 2" xfId="3426"/>
    <cellStyle name="T_BC nhu cau von doi ung ODA nganh NN (BKH)" xfId="3427"/>
    <cellStyle name="T_BC nhu cau von doi ung ODA nganh NN (BKH)_05-12  KH trung han 2016-2020 - Liem Thinh edited" xfId="3428"/>
    <cellStyle name="T_BC nhu cau von doi ung ODA nganh NN (BKH)_Copy of 05-12  KH trung han 2016-2020 - Liem Thinh edited (1)" xfId="3429"/>
    <cellStyle name="T_BC Tai co cau (bieu TH)" xfId="3430"/>
    <cellStyle name="T_BC Tai co cau (bieu TH)_05-12  KH trung han 2016-2020 - Liem Thinh edited" xfId="3431"/>
    <cellStyle name="T_BC Tai co cau (bieu TH)_Copy of 05-12  KH trung han 2016-2020 - Liem Thinh edited (1)" xfId="3432"/>
    <cellStyle name="T_Bieu 4.2 A, B KHCTgiong 2011" xfId="3433"/>
    <cellStyle name="T_Bieu 4.2 A, B KHCTgiong 2011 10" xfId="3434"/>
    <cellStyle name="T_Bieu 4.2 A, B KHCTgiong 2011 11" xfId="3435"/>
    <cellStyle name="T_Bieu 4.2 A, B KHCTgiong 2011 12" xfId="3436"/>
    <cellStyle name="T_Bieu 4.2 A, B KHCTgiong 2011 13" xfId="3437"/>
    <cellStyle name="T_Bieu 4.2 A, B KHCTgiong 2011 14" xfId="3438"/>
    <cellStyle name="T_Bieu 4.2 A, B KHCTgiong 2011 15" xfId="3439"/>
    <cellStyle name="T_Bieu 4.2 A, B KHCTgiong 2011 2" xfId="3440"/>
    <cellStyle name="T_Bieu 4.2 A, B KHCTgiong 2011 3" xfId="3441"/>
    <cellStyle name="T_Bieu 4.2 A, B KHCTgiong 2011 4" xfId="3442"/>
    <cellStyle name="T_Bieu 4.2 A, B KHCTgiong 2011 5" xfId="3443"/>
    <cellStyle name="T_Bieu 4.2 A, B KHCTgiong 2011 6" xfId="3444"/>
    <cellStyle name="T_Bieu 4.2 A, B KHCTgiong 2011 7" xfId="3445"/>
    <cellStyle name="T_Bieu 4.2 A, B KHCTgiong 2011 8" xfId="3446"/>
    <cellStyle name="T_Bieu 4.2 A, B KHCTgiong 2011 9" xfId="3447"/>
    <cellStyle name="T_Bieu mau cong trinh khoi cong moi 3-4" xfId="3448"/>
    <cellStyle name="T_Bieu mau cong trinh khoi cong moi 3-4 2" xfId="3449"/>
    <cellStyle name="T_Bieu mau cong trinh khoi cong moi 3-4_!1 1 bao cao giao KH ve HTCMT vung TNB   12-12-2011" xfId="3450"/>
    <cellStyle name="T_Bieu mau cong trinh khoi cong moi 3-4_!1 1 bao cao giao KH ve HTCMT vung TNB   12-12-2011 2" xfId="3451"/>
    <cellStyle name="T_Bieu mau cong trinh khoi cong moi 3-4_KH TPCP vung TNB (03-1-2012)" xfId="3452"/>
    <cellStyle name="T_Bieu mau cong trinh khoi cong moi 3-4_KH TPCP vung TNB (03-1-2012) 2" xfId="3453"/>
    <cellStyle name="T_Bieu mau danh muc du an thuoc CTMTQG nam 2008" xfId="3454"/>
    <cellStyle name="T_Bieu mau danh muc du an thuoc CTMTQG nam 2008 2" xfId="3455"/>
    <cellStyle name="T_Bieu mau danh muc du an thuoc CTMTQG nam 2008_!1 1 bao cao giao KH ve HTCMT vung TNB   12-12-2011" xfId="3456"/>
    <cellStyle name="T_Bieu mau danh muc du an thuoc CTMTQG nam 2008_!1 1 bao cao giao KH ve HTCMT vung TNB   12-12-2011 2" xfId="3457"/>
    <cellStyle name="T_Bieu mau danh muc du an thuoc CTMTQG nam 2008_KH TPCP vung TNB (03-1-2012)" xfId="3458"/>
    <cellStyle name="T_Bieu mau danh muc du an thuoc CTMTQG nam 2008_KH TPCP vung TNB (03-1-2012) 2" xfId="3459"/>
    <cellStyle name="T_Bieu tong hop nhu cau ung 2011 da chon loc -Mien nui" xfId="3460"/>
    <cellStyle name="T_Bieu tong hop nhu cau ung 2011 da chon loc -Mien nui 2" xfId="3461"/>
    <cellStyle name="T_Bieu tong hop nhu cau ung 2011 da chon loc -Mien nui_!1 1 bao cao giao KH ve HTCMT vung TNB   12-12-2011" xfId="3462"/>
    <cellStyle name="T_Bieu tong hop nhu cau ung 2011 da chon loc -Mien nui_!1 1 bao cao giao KH ve HTCMT vung TNB   12-12-2011 2" xfId="3463"/>
    <cellStyle name="T_Bieu tong hop nhu cau ung 2011 da chon loc -Mien nui_KH TPCP vung TNB (03-1-2012)" xfId="3464"/>
    <cellStyle name="T_Bieu tong hop nhu cau ung 2011 da chon loc -Mien nui_KH TPCP vung TNB (03-1-2012) 2" xfId="3465"/>
    <cellStyle name="T_Bieu3ODA" xfId="3466"/>
    <cellStyle name="T_Bieu3ODA 2" xfId="3467"/>
    <cellStyle name="T_Bieu3ODA_!1 1 bao cao giao KH ve HTCMT vung TNB   12-12-2011" xfId="3468"/>
    <cellStyle name="T_Bieu3ODA_!1 1 bao cao giao KH ve HTCMT vung TNB   12-12-2011 2" xfId="3469"/>
    <cellStyle name="T_Bieu3ODA_1" xfId="3470"/>
    <cellStyle name="T_Bieu3ODA_1 2" xfId="3471"/>
    <cellStyle name="T_Bieu3ODA_1_!1 1 bao cao giao KH ve HTCMT vung TNB   12-12-2011" xfId="3472"/>
    <cellStyle name="T_Bieu3ODA_1_!1 1 bao cao giao KH ve HTCMT vung TNB   12-12-2011 2" xfId="3473"/>
    <cellStyle name="T_Bieu3ODA_1_KH TPCP vung TNB (03-1-2012)" xfId="3474"/>
    <cellStyle name="T_Bieu3ODA_1_KH TPCP vung TNB (03-1-2012) 2" xfId="3475"/>
    <cellStyle name="T_Bieu3ODA_KH TPCP vung TNB (03-1-2012)" xfId="3476"/>
    <cellStyle name="T_Bieu3ODA_KH TPCP vung TNB (03-1-2012) 2" xfId="3477"/>
    <cellStyle name="T_Bieu4HTMT" xfId="3478"/>
    <cellStyle name="T_Bieu4HTMT 2" xfId="3479"/>
    <cellStyle name="T_Bieu4HTMT_!1 1 bao cao giao KH ve HTCMT vung TNB   12-12-2011" xfId="3480"/>
    <cellStyle name="T_Bieu4HTMT_!1 1 bao cao giao KH ve HTCMT vung TNB   12-12-2011 2" xfId="3481"/>
    <cellStyle name="T_Bieu4HTMT_KH TPCP vung TNB (03-1-2012)" xfId="3482"/>
    <cellStyle name="T_Bieu4HTMT_KH TPCP vung TNB (03-1-2012) 2" xfId="3483"/>
    <cellStyle name="T_bo sung von KCH nam 2010 va Du an tre kho khan" xfId="3484"/>
    <cellStyle name="T_bo sung von KCH nam 2010 va Du an tre kho khan 2" xfId="3485"/>
    <cellStyle name="T_bo sung von KCH nam 2010 va Du an tre kho khan_!1 1 bao cao giao KH ve HTCMT vung TNB   12-12-2011" xfId="3486"/>
    <cellStyle name="T_bo sung von KCH nam 2010 va Du an tre kho khan_!1 1 bao cao giao KH ve HTCMT vung TNB   12-12-2011 2" xfId="3487"/>
    <cellStyle name="T_bo sung von KCH nam 2010 va Du an tre kho khan_KH TPCP vung TNB (03-1-2012)" xfId="3488"/>
    <cellStyle name="T_bo sung von KCH nam 2010 va Du an tre kho khan_KH TPCP vung TNB (03-1-2012) 2" xfId="3489"/>
    <cellStyle name="T_Book1" xfId="3490"/>
    <cellStyle name="T_Book1 2" xfId="3491"/>
    <cellStyle name="T_Book1 3" xfId="3492"/>
    <cellStyle name="T_Book1_!1 1 bao cao giao KH ve HTCMT vung TNB   12-12-2011" xfId="3493"/>
    <cellStyle name="T_Book1_!1 1 bao cao giao KH ve HTCMT vung TNB   12-12-2011 2" xfId="3494"/>
    <cellStyle name="T_Book1_1" xfId="3495"/>
    <cellStyle name="T_Book1_1 2" xfId="3496"/>
    <cellStyle name="T_Book1_1_Bieu tong hop nhu cau ung 2011 da chon loc -Mien nui" xfId="3497"/>
    <cellStyle name="T_Book1_1_Bieu tong hop nhu cau ung 2011 da chon loc -Mien nui 2" xfId="3498"/>
    <cellStyle name="T_Book1_1_Bieu tong hop nhu cau ung 2011 da chon loc -Mien nui_!1 1 bao cao giao KH ve HTCMT vung TNB   12-12-2011" xfId="3499"/>
    <cellStyle name="T_Book1_1_Bieu tong hop nhu cau ung 2011 da chon loc -Mien nui_!1 1 bao cao giao KH ve HTCMT vung TNB   12-12-2011 2" xfId="3500"/>
    <cellStyle name="T_Book1_1_Bieu tong hop nhu cau ung 2011 da chon loc -Mien nui_KH TPCP vung TNB (03-1-2012)" xfId="3501"/>
    <cellStyle name="T_Book1_1_Bieu tong hop nhu cau ung 2011 da chon loc -Mien nui_KH TPCP vung TNB (03-1-2012) 2" xfId="3502"/>
    <cellStyle name="T_Book1_1_Bieu3ODA" xfId="3503"/>
    <cellStyle name="T_Book1_1_Bieu3ODA 2" xfId="3504"/>
    <cellStyle name="T_Book1_1_Bieu3ODA_!1 1 bao cao giao KH ve HTCMT vung TNB   12-12-2011" xfId="3505"/>
    <cellStyle name="T_Book1_1_Bieu3ODA_!1 1 bao cao giao KH ve HTCMT vung TNB   12-12-2011 2" xfId="3506"/>
    <cellStyle name="T_Book1_1_Bieu3ODA_KH TPCP vung TNB (03-1-2012)" xfId="3507"/>
    <cellStyle name="T_Book1_1_Bieu3ODA_KH TPCP vung TNB (03-1-2012) 2" xfId="3508"/>
    <cellStyle name="T_Book1_1_CPK" xfId="3509"/>
    <cellStyle name="T_Book1_1_CPK 2" xfId="3510"/>
    <cellStyle name="T_Book1_1_CPK_!1 1 bao cao giao KH ve HTCMT vung TNB   12-12-2011" xfId="3511"/>
    <cellStyle name="T_Book1_1_CPK_!1 1 bao cao giao KH ve HTCMT vung TNB   12-12-2011 2" xfId="3512"/>
    <cellStyle name="T_Book1_1_CPK_Bieu4HTMT" xfId="3513"/>
    <cellStyle name="T_Book1_1_CPK_Bieu4HTMT 2" xfId="3514"/>
    <cellStyle name="T_Book1_1_CPK_Bieu4HTMT_!1 1 bao cao giao KH ve HTCMT vung TNB   12-12-2011" xfId="3515"/>
    <cellStyle name="T_Book1_1_CPK_Bieu4HTMT_!1 1 bao cao giao KH ve HTCMT vung TNB   12-12-2011 2" xfId="3516"/>
    <cellStyle name="T_Book1_1_CPK_Bieu4HTMT_KH TPCP vung TNB (03-1-2012)" xfId="3517"/>
    <cellStyle name="T_Book1_1_CPK_Bieu4HTMT_KH TPCP vung TNB (03-1-2012) 2" xfId="3518"/>
    <cellStyle name="T_Book1_1_CPK_KH TPCP vung TNB (03-1-2012)" xfId="3519"/>
    <cellStyle name="T_Book1_1_CPK_KH TPCP vung TNB (03-1-2012) 2" xfId="3520"/>
    <cellStyle name="T_Book1_1_kien giang 2" xfId="3521"/>
    <cellStyle name="T_Book1_1_kien giang 2 2" xfId="3522"/>
    <cellStyle name="T_Book1_1_KH TPCP vung TNB (03-1-2012)" xfId="3523"/>
    <cellStyle name="T_Book1_1_KH TPCP vung TNB (03-1-2012) 2" xfId="3524"/>
    <cellStyle name="T_Book1_1_Luy ke von ung nam 2011 -Thoa gui ngay 12-8-2012" xfId="3525"/>
    <cellStyle name="T_Book1_1_Luy ke von ung nam 2011 -Thoa gui ngay 12-8-2012 2" xfId="3526"/>
    <cellStyle name="T_Book1_1_Luy ke von ung nam 2011 -Thoa gui ngay 12-8-2012_!1 1 bao cao giao KH ve HTCMT vung TNB   12-12-2011" xfId="3527"/>
    <cellStyle name="T_Book1_1_Luy ke von ung nam 2011 -Thoa gui ngay 12-8-2012_!1 1 bao cao giao KH ve HTCMT vung TNB   12-12-2011 2" xfId="3528"/>
    <cellStyle name="T_Book1_1_Luy ke von ung nam 2011 -Thoa gui ngay 12-8-2012_KH TPCP vung TNB (03-1-2012)" xfId="3529"/>
    <cellStyle name="T_Book1_1_Luy ke von ung nam 2011 -Thoa gui ngay 12-8-2012_KH TPCP vung TNB (03-1-2012) 2" xfId="3530"/>
    <cellStyle name="T_Book1_1_Thiet bi" xfId="3531"/>
    <cellStyle name="T_Book1_1_Thiet bi 2" xfId="3532"/>
    <cellStyle name="T_Book1_1_Thiet bi_!1 1 bao cao giao KH ve HTCMT vung TNB   12-12-2011" xfId="3533"/>
    <cellStyle name="T_Book1_1_Thiet bi_!1 1 bao cao giao KH ve HTCMT vung TNB   12-12-2011 2" xfId="3534"/>
    <cellStyle name="T_Book1_1_Thiet bi_Bieu4HTMT" xfId="3535"/>
    <cellStyle name="T_Book1_1_Thiet bi_Bieu4HTMT 2" xfId="3536"/>
    <cellStyle name="T_Book1_1_Thiet bi_Bieu4HTMT_!1 1 bao cao giao KH ve HTCMT vung TNB   12-12-2011" xfId="3537"/>
    <cellStyle name="T_Book1_1_Thiet bi_Bieu4HTMT_!1 1 bao cao giao KH ve HTCMT vung TNB   12-12-2011 2" xfId="3538"/>
    <cellStyle name="T_Book1_1_Thiet bi_Bieu4HTMT_KH TPCP vung TNB (03-1-2012)" xfId="3539"/>
    <cellStyle name="T_Book1_1_Thiet bi_Bieu4HTMT_KH TPCP vung TNB (03-1-2012) 2" xfId="3540"/>
    <cellStyle name="T_Book1_1_Thiet bi_KH TPCP vung TNB (03-1-2012)" xfId="3541"/>
    <cellStyle name="T_Book1_1_Thiet bi_KH TPCP vung TNB (03-1-2012) 2" xfId="3542"/>
    <cellStyle name="T_Book1_15_10_2013 BC nhu cau von doi ung ODA (2014-2016) ngay 15102013 Sua" xfId="3543"/>
    <cellStyle name="T_Book1_bao cao phan bo KHDT 2011(final)" xfId="3544"/>
    <cellStyle name="T_Book1_bao cao phan bo KHDT 2011(final)_BC nhu cau von doi ung ODA nganh NN (BKH)" xfId="3545"/>
    <cellStyle name="T_Book1_bao cao phan bo KHDT 2011(final)_BC Tai co cau (bieu TH)" xfId="3546"/>
    <cellStyle name="T_Book1_bao cao phan bo KHDT 2011(final)_DK 2014-2015 final" xfId="3547"/>
    <cellStyle name="T_Book1_bao cao phan bo KHDT 2011(final)_DK 2014-2015 new" xfId="3548"/>
    <cellStyle name="T_Book1_bao cao phan bo KHDT 2011(final)_DK KH CBDT 2014 11-11-2013" xfId="3549"/>
    <cellStyle name="T_Book1_bao cao phan bo KHDT 2011(final)_DK KH CBDT 2014 11-11-2013(1)" xfId="3550"/>
    <cellStyle name="T_Book1_bao cao phan bo KHDT 2011(final)_KH 2011-2015" xfId="3551"/>
    <cellStyle name="T_Book1_bao cao phan bo KHDT 2011(final)_tai co cau dau tu (tong hop)1" xfId="3552"/>
    <cellStyle name="T_Book1_BC NQ11-CP - chinh sua lai" xfId="3553"/>
    <cellStyle name="T_Book1_BC NQ11-CP - chinh sua lai 2" xfId="3554"/>
    <cellStyle name="T_Book1_BC NQ11-CP-Quynh sau bieu so3" xfId="3555"/>
    <cellStyle name="T_Book1_BC NQ11-CP-Quynh sau bieu so3 2" xfId="3556"/>
    <cellStyle name="T_Book1_BC nhu cau von doi ung ODA nganh NN (BKH)" xfId="3557"/>
    <cellStyle name="T_Book1_BC nhu cau von doi ung ODA nganh NN (BKH)_05-12  KH trung han 2016-2020 - Liem Thinh edited" xfId="3558"/>
    <cellStyle name="T_Book1_BC nhu cau von doi ung ODA nganh NN (BKH)_Copy of 05-12  KH trung han 2016-2020 - Liem Thinh edited (1)" xfId="3559"/>
    <cellStyle name="T_Book1_BC Tai co cau (bieu TH)" xfId="3560"/>
    <cellStyle name="T_Book1_BC Tai co cau (bieu TH)_05-12  KH trung han 2016-2020 - Liem Thinh edited" xfId="3561"/>
    <cellStyle name="T_Book1_BC Tai co cau (bieu TH)_Copy of 05-12  KH trung han 2016-2020 - Liem Thinh edited (1)" xfId="3562"/>
    <cellStyle name="T_Book1_BC_NQ11-CP_-_Thao_sua_lai" xfId="3563"/>
    <cellStyle name="T_Book1_BC_NQ11-CP_-_Thao_sua_lai 2" xfId="3564"/>
    <cellStyle name="T_Book1_Bieu mau cong trinh khoi cong moi 3-4" xfId="3565"/>
    <cellStyle name="T_Book1_Bieu mau cong trinh khoi cong moi 3-4 2" xfId="3566"/>
    <cellStyle name="T_Book1_Bieu mau cong trinh khoi cong moi 3-4_!1 1 bao cao giao KH ve HTCMT vung TNB   12-12-2011" xfId="3567"/>
    <cellStyle name="T_Book1_Bieu mau cong trinh khoi cong moi 3-4_!1 1 bao cao giao KH ve HTCMT vung TNB   12-12-2011 2" xfId="3568"/>
    <cellStyle name="T_Book1_Bieu mau cong trinh khoi cong moi 3-4_KH TPCP vung TNB (03-1-2012)" xfId="3569"/>
    <cellStyle name="T_Book1_Bieu mau cong trinh khoi cong moi 3-4_KH TPCP vung TNB (03-1-2012) 2" xfId="3570"/>
    <cellStyle name="T_Book1_Bieu mau danh muc du an thuoc CTMTQG nam 2008" xfId="3571"/>
    <cellStyle name="T_Book1_Bieu mau danh muc du an thuoc CTMTQG nam 2008 2" xfId="3572"/>
    <cellStyle name="T_Book1_Bieu mau danh muc du an thuoc CTMTQG nam 2008_!1 1 bao cao giao KH ve HTCMT vung TNB   12-12-2011" xfId="3573"/>
    <cellStyle name="T_Book1_Bieu mau danh muc du an thuoc CTMTQG nam 2008_!1 1 bao cao giao KH ve HTCMT vung TNB   12-12-2011 2" xfId="3574"/>
    <cellStyle name="T_Book1_Bieu mau danh muc du an thuoc CTMTQG nam 2008_KH TPCP vung TNB (03-1-2012)" xfId="3575"/>
    <cellStyle name="T_Book1_Bieu mau danh muc du an thuoc CTMTQG nam 2008_KH TPCP vung TNB (03-1-2012) 2" xfId="3576"/>
    <cellStyle name="T_Book1_Bieu tong hop nhu cau ung 2011 da chon loc -Mien nui" xfId="3577"/>
    <cellStyle name="T_Book1_Bieu tong hop nhu cau ung 2011 da chon loc -Mien nui 2" xfId="3578"/>
    <cellStyle name="T_Book1_Bieu tong hop nhu cau ung 2011 da chon loc -Mien nui_!1 1 bao cao giao KH ve HTCMT vung TNB   12-12-2011" xfId="3579"/>
    <cellStyle name="T_Book1_Bieu tong hop nhu cau ung 2011 da chon loc -Mien nui_!1 1 bao cao giao KH ve HTCMT vung TNB   12-12-2011 2" xfId="3580"/>
    <cellStyle name="T_Book1_Bieu tong hop nhu cau ung 2011 da chon loc -Mien nui_KH TPCP vung TNB (03-1-2012)" xfId="3581"/>
    <cellStyle name="T_Book1_Bieu tong hop nhu cau ung 2011 da chon loc -Mien nui_KH TPCP vung TNB (03-1-2012) 2" xfId="3582"/>
    <cellStyle name="T_Book1_Bieu3ODA" xfId="3583"/>
    <cellStyle name="T_Book1_Bieu3ODA 2" xfId="3584"/>
    <cellStyle name="T_Book1_Bieu3ODA_!1 1 bao cao giao KH ve HTCMT vung TNB   12-12-2011" xfId="3585"/>
    <cellStyle name="T_Book1_Bieu3ODA_!1 1 bao cao giao KH ve HTCMT vung TNB   12-12-2011 2" xfId="3586"/>
    <cellStyle name="T_Book1_Bieu3ODA_1" xfId="3587"/>
    <cellStyle name="T_Book1_Bieu3ODA_1 2" xfId="3588"/>
    <cellStyle name="T_Book1_Bieu3ODA_1_!1 1 bao cao giao KH ve HTCMT vung TNB   12-12-2011" xfId="3589"/>
    <cellStyle name="T_Book1_Bieu3ODA_1_!1 1 bao cao giao KH ve HTCMT vung TNB   12-12-2011 2" xfId="3590"/>
    <cellStyle name="T_Book1_Bieu3ODA_1_KH TPCP vung TNB (03-1-2012)" xfId="3591"/>
    <cellStyle name="T_Book1_Bieu3ODA_1_KH TPCP vung TNB (03-1-2012) 2" xfId="3592"/>
    <cellStyle name="T_Book1_Bieu3ODA_KH TPCP vung TNB (03-1-2012)" xfId="3593"/>
    <cellStyle name="T_Book1_Bieu3ODA_KH TPCP vung TNB (03-1-2012) 2" xfId="3594"/>
    <cellStyle name="T_Book1_Bieu4HTMT" xfId="3595"/>
    <cellStyle name="T_Book1_Bieu4HTMT 2" xfId="3596"/>
    <cellStyle name="T_Book1_Bieu4HTMT_!1 1 bao cao giao KH ve HTCMT vung TNB   12-12-2011" xfId="3597"/>
    <cellStyle name="T_Book1_Bieu4HTMT_!1 1 bao cao giao KH ve HTCMT vung TNB   12-12-2011 2" xfId="3598"/>
    <cellStyle name="T_Book1_Bieu4HTMT_KH TPCP vung TNB (03-1-2012)" xfId="3599"/>
    <cellStyle name="T_Book1_Bieu4HTMT_KH TPCP vung TNB (03-1-2012) 2" xfId="3600"/>
    <cellStyle name="T_Book1_Book1" xfId="3601"/>
    <cellStyle name="T_Book1_Book1 2" xfId="3602"/>
    <cellStyle name="T_Book1_Cong trinh co y kien LD_Dang_NN_2011-Tay nguyen-9-10" xfId="3603"/>
    <cellStyle name="T_Book1_Cong trinh co y kien LD_Dang_NN_2011-Tay nguyen-9-10 2" xfId="3604"/>
    <cellStyle name="T_Book1_Cong trinh co y kien LD_Dang_NN_2011-Tay nguyen-9-10_!1 1 bao cao giao KH ve HTCMT vung TNB   12-12-2011" xfId="3605"/>
    <cellStyle name="T_Book1_Cong trinh co y kien LD_Dang_NN_2011-Tay nguyen-9-10_!1 1 bao cao giao KH ve HTCMT vung TNB   12-12-2011 2" xfId="3606"/>
    <cellStyle name="T_Book1_Cong trinh co y kien LD_Dang_NN_2011-Tay nguyen-9-10_Bieu4HTMT" xfId="3607"/>
    <cellStyle name="T_Book1_Cong trinh co y kien LD_Dang_NN_2011-Tay nguyen-9-10_Bieu4HTMT 2" xfId="3608"/>
    <cellStyle name="T_Book1_Cong trinh co y kien LD_Dang_NN_2011-Tay nguyen-9-10_KH TPCP vung TNB (03-1-2012)" xfId="3609"/>
    <cellStyle name="T_Book1_Cong trinh co y kien LD_Dang_NN_2011-Tay nguyen-9-10_KH TPCP vung TNB (03-1-2012) 2" xfId="3610"/>
    <cellStyle name="T_Book1_CPK" xfId="3611"/>
    <cellStyle name="T_Book1_CPK 2" xfId="3612"/>
    <cellStyle name="T_Book1_danh muc chuan bi dau tu 2011 ngay 07-6-2011" xfId="3613"/>
    <cellStyle name="T_Book1_danh muc chuan bi dau tu 2011 ngay 07-6-2011 2" xfId="3614"/>
    <cellStyle name="T_Book1_dieu chinh KH 2011 ngay 26-5-2011111" xfId="3615"/>
    <cellStyle name="T_Book1_dieu chinh KH 2011 ngay 26-5-2011111 2" xfId="3616"/>
    <cellStyle name="T_Book1_DK 2014-2015 final" xfId="3617"/>
    <cellStyle name="T_Book1_DK 2014-2015 final_05-12  KH trung han 2016-2020 - Liem Thinh edited" xfId="3618"/>
    <cellStyle name="T_Book1_DK 2014-2015 final_Copy of 05-12  KH trung han 2016-2020 - Liem Thinh edited (1)" xfId="3619"/>
    <cellStyle name="T_Book1_DK 2014-2015 new" xfId="3620"/>
    <cellStyle name="T_Book1_DK 2014-2015 new_05-12  KH trung han 2016-2020 - Liem Thinh edited" xfId="3621"/>
    <cellStyle name="T_Book1_DK 2014-2015 new_Copy of 05-12  KH trung han 2016-2020 - Liem Thinh edited (1)" xfId="3622"/>
    <cellStyle name="T_Book1_DK KH CBDT 2014 11-11-2013" xfId="3623"/>
    <cellStyle name="T_Book1_DK KH CBDT 2014 11-11-2013(1)" xfId="3624"/>
    <cellStyle name="T_Book1_DK KH CBDT 2014 11-11-2013(1)_05-12  KH trung han 2016-2020 - Liem Thinh edited" xfId="3625"/>
    <cellStyle name="T_Book1_DK KH CBDT 2014 11-11-2013(1)_Copy of 05-12  KH trung han 2016-2020 - Liem Thinh edited (1)" xfId="3626"/>
    <cellStyle name="T_Book1_DK KH CBDT 2014 11-11-2013_05-12  KH trung han 2016-2020 - Liem Thinh edited" xfId="3627"/>
    <cellStyle name="T_Book1_DK KH CBDT 2014 11-11-2013_Copy of 05-12  KH trung han 2016-2020 - Liem Thinh edited (1)" xfId="3628"/>
    <cellStyle name="T_Book1_Du an khoi cong moi nam 2010" xfId="3629"/>
    <cellStyle name="T_Book1_Du an khoi cong moi nam 2010 2" xfId="3630"/>
    <cellStyle name="T_Book1_Du an khoi cong moi nam 2010_!1 1 bao cao giao KH ve HTCMT vung TNB   12-12-2011" xfId="3631"/>
    <cellStyle name="T_Book1_Du an khoi cong moi nam 2010_!1 1 bao cao giao KH ve HTCMT vung TNB   12-12-2011 2" xfId="3632"/>
    <cellStyle name="T_Book1_Du an khoi cong moi nam 2010_KH TPCP vung TNB (03-1-2012)" xfId="3633"/>
    <cellStyle name="T_Book1_Du an khoi cong moi nam 2010_KH TPCP vung TNB (03-1-2012) 2" xfId="3634"/>
    <cellStyle name="T_Book1_giao KH 2011 ngay 10-12-2010" xfId="3635"/>
    <cellStyle name="T_Book1_giao KH 2011 ngay 10-12-2010 2" xfId="3636"/>
    <cellStyle name="T_Book1_Hang Tom goi9 9-07(Cau 12 sua)" xfId="3637"/>
    <cellStyle name="T_Book1_Hang Tom goi9 9-07(Cau 12 sua) 2" xfId="3638"/>
    <cellStyle name="T_Book1_Ket qua phan bo von nam 2008" xfId="3639"/>
    <cellStyle name="T_Book1_Ket qua phan bo von nam 2008 2" xfId="3640"/>
    <cellStyle name="T_Book1_Ket qua phan bo von nam 2008_!1 1 bao cao giao KH ve HTCMT vung TNB   12-12-2011" xfId="3641"/>
    <cellStyle name="T_Book1_Ket qua phan bo von nam 2008_!1 1 bao cao giao KH ve HTCMT vung TNB   12-12-2011 2" xfId="3642"/>
    <cellStyle name="T_Book1_Ket qua phan bo von nam 2008_KH TPCP vung TNB (03-1-2012)" xfId="3643"/>
    <cellStyle name="T_Book1_Ket qua phan bo von nam 2008_KH TPCP vung TNB (03-1-2012) 2" xfId="3644"/>
    <cellStyle name="T_Book1_kien giang 2" xfId="3645"/>
    <cellStyle name="T_Book1_kien giang 2 2" xfId="3646"/>
    <cellStyle name="T_Book1_KH TPCP vung TNB (03-1-2012)" xfId="3647"/>
    <cellStyle name="T_Book1_KH TPCP vung TNB (03-1-2012) 2" xfId="3648"/>
    <cellStyle name="T_Book1_KH XDCB_2008 lan 2 sua ngay 10-11" xfId="3649"/>
    <cellStyle name="T_Book1_KH XDCB_2008 lan 2 sua ngay 10-11 2" xfId="3650"/>
    <cellStyle name="T_Book1_KH XDCB_2008 lan 2 sua ngay 10-11_!1 1 bao cao giao KH ve HTCMT vung TNB   12-12-2011" xfId="3651"/>
    <cellStyle name="T_Book1_KH XDCB_2008 lan 2 sua ngay 10-11_!1 1 bao cao giao KH ve HTCMT vung TNB   12-12-2011 2" xfId="3652"/>
    <cellStyle name="T_Book1_KH XDCB_2008 lan 2 sua ngay 10-11_KH TPCP vung TNB (03-1-2012)" xfId="3653"/>
    <cellStyle name="T_Book1_KH XDCB_2008 lan 2 sua ngay 10-11_KH TPCP vung TNB (03-1-2012) 2" xfId="3654"/>
    <cellStyle name="T_Book1_Khoi luong chinh Hang Tom" xfId="3655"/>
    <cellStyle name="T_Book1_Khoi luong chinh Hang Tom 2" xfId="3656"/>
    <cellStyle name="T_Book1_Luy ke von ung nam 2011 -Thoa gui ngay 12-8-2012" xfId="3657"/>
    <cellStyle name="T_Book1_Luy ke von ung nam 2011 -Thoa gui ngay 12-8-2012 2" xfId="3658"/>
    <cellStyle name="T_Book1_Luy ke von ung nam 2011 -Thoa gui ngay 12-8-2012_!1 1 bao cao giao KH ve HTCMT vung TNB   12-12-2011" xfId="3659"/>
    <cellStyle name="T_Book1_Luy ke von ung nam 2011 -Thoa gui ngay 12-8-2012_!1 1 bao cao giao KH ve HTCMT vung TNB   12-12-2011 2" xfId="3660"/>
    <cellStyle name="T_Book1_Luy ke von ung nam 2011 -Thoa gui ngay 12-8-2012_KH TPCP vung TNB (03-1-2012)" xfId="3661"/>
    <cellStyle name="T_Book1_Luy ke von ung nam 2011 -Thoa gui ngay 12-8-2012_KH TPCP vung TNB (03-1-2012) 2" xfId="3662"/>
    <cellStyle name="T_Book1_Nhu cau von ung truoc 2011 Tha h Hoa + Nge An gui TW" xfId="3663"/>
    <cellStyle name="T_Book1_Nhu cau von ung truoc 2011 Tha h Hoa + Nge An gui TW 2" xfId="3664"/>
    <cellStyle name="T_Book1_Nhu cau von ung truoc 2011 Tha h Hoa + Nge An gui TW_!1 1 bao cao giao KH ve HTCMT vung TNB   12-12-2011" xfId="3665"/>
    <cellStyle name="T_Book1_Nhu cau von ung truoc 2011 Tha h Hoa + Nge An gui TW_!1 1 bao cao giao KH ve HTCMT vung TNB   12-12-2011 2" xfId="3666"/>
    <cellStyle name="T_Book1_Nhu cau von ung truoc 2011 Tha h Hoa + Nge An gui TW_Bieu4HTMT" xfId="3667"/>
    <cellStyle name="T_Book1_Nhu cau von ung truoc 2011 Tha h Hoa + Nge An gui TW_Bieu4HTMT 2" xfId="3668"/>
    <cellStyle name="T_Book1_Nhu cau von ung truoc 2011 Tha h Hoa + Nge An gui TW_Bieu4HTMT_!1 1 bao cao giao KH ve HTCMT vung TNB   12-12-2011" xfId="3669"/>
    <cellStyle name="T_Book1_Nhu cau von ung truoc 2011 Tha h Hoa + Nge An gui TW_Bieu4HTMT_!1 1 bao cao giao KH ve HTCMT vung TNB   12-12-2011 2" xfId="3670"/>
    <cellStyle name="T_Book1_Nhu cau von ung truoc 2011 Tha h Hoa + Nge An gui TW_Bieu4HTMT_KH TPCP vung TNB (03-1-2012)" xfId="3671"/>
    <cellStyle name="T_Book1_Nhu cau von ung truoc 2011 Tha h Hoa + Nge An gui TW_Bieu4HTMT_KH TPCP vung TNB (03-1-2012) 2" xfId="3672"/>
    <cellStyle name="T_Book1_Nhu cau von ung truoc 2011 Tha h Hoa + Nge An gui TW_KH TPCP vung TNB (03-1-2012)" xfId="3673"/>
    <cellStyle name="T_Book1_Nhu cau von ung truoc 2011 Tha h Hoa + Nge An gui TW_KH TPCP vung TNB (03-1-2012) 2" xfId="3674"/>
    <cellStyle name="T_Book1_phu luc tong ket tinh hinh TH giai doan 03-10 (ngay 30)" xfId="3675"/>
    <cellStyle name="T_Book1_phu luc tong ket tinh hinh TH giai doan 03-10 (ngay 30) 2" xfId="3676"/>
    <cellStyle name="T_Book1_phu luc tong ket tinh hinh TH giai doan 03-10 (ngay 30)_!1 1 bao cao giao KH ve HTCMT vung TNB   12-12-2011" xfId="3677"/>
    <cellStyle name="T_Book1_phu luc tong ket tinh hinh TH giai doan 03-10 (ngay 30)_!1 1 bao cao giao KH ve HTCMT vung TNB   12-12-2011 2" xfId="3678"/>
    <cellStyle name="T_Book1_phu luc tong ket tinh hinh TH giai doan 03-10 (ngay 30)_KH TPCP vung TNB (03-1-2012)" xfId="3679"/>
    <cellStyle name="T_Book1_phu luc tong ket tinh hinh TH giai doan 03-10 (ngay 30)_KH TPCP vung TNB (03-1-2012) 2" xfId="3680"/>
    <cellStyle name="T_Book1_TN - Ho tro khac 2011" xfId="3681"/>
    <cellStyle name="T_Book1_TN - Ho tro khac 2011 2" xfId="3682"/>
    <cellStyle name="T_Book1_TN - Ho tro khac 2011_!1 1 bao cao giao KH ve HTCMT vung TNB   12-12-2011" xfId="3683"/>
    <cellStyle name="T_Book1_TN - Ho tro khac 2011_!1 1 bao cao giao KH ve HTCMT vung TNB   12-12-2011 2" xfId="3684"/>
    <cellStyle name="T_Book1_TN - Ho tro khac 2011_Bieu4HTMT" xfId="3685"/>
    <cellStyle name="T_Book1_TN - Ho tro khac 2011_Bieu4HTMT 2" xfId="3686"/>
    <cellStyle name="T_Book1_TN - Ho tro khac 2011_KH TPCP vung TNB (03-1-2012)" xfId="3687"/>
    <cellStyle name="T_Book1_TN - Ho tro khac 2011_KH TPCP vung TNB (03-1-2012) 2" xfId="3688"/>
    <cellStyle name="T_Book1_TH ung tren 70%-Ra soat phap ly-8-6 (dung de chuyen vao vu TH)" xfId="3689"/>
    <cellStyle name="T_Book1_TH ung tren 70%-Ra soat phap ly-8-6 (dung de chuyen vao vu TH) 2" xfId="3690"/>
    <cellStyle name="T_Book1_TH ung tren 70%-Ra soat phap ly-8-6 (dung de chuyen vao vu TH)_!1 1 bao cao giao KH ve HTCMT vung TNB   12-12-2011" xfId="3691"/>
    <cellStyle name="T_Book1_TH ung tren 70%-Ra soat phap ly-8-6 (dung de chuyen vao vu TH)_!1 1 bao cao giao KH ve HTCMT vung TNB   12-12-2011 2" xfId="3692"/>
    <cellStyle name="T_Book1_TH ung tren 70%-Ra soat phap ly-8-6 (dung de chuyen vao vu TH)_Bieu4HTMT" xfId="3693"/>
    <cellStyle name="T_Book1_TH ung tren 70%-Ra soat phap ly-8-6 (dung de chuyen vao vu TH)_Bieu4HTMT 2" xfId="3694"/>
    <cellStyle name="T_Book1_TH ung tren 70%-Ra soat phap ly-8-6 (dung de chuyen vao vu TH)_KH TPCP vung TNB (03-1-2012)" xfId="3695"/>
    <cellStyle name="T_Book1_TH ung tren 70%-Ra soat phap ly-8-6 (dung de chuyen vao vu TH)_KH TPCP vung TNB (03-1-2012) 2" xfId="3696"/>
    <cellStyle name="T_Book1_TH y kien LD_KH 2010 Ca Nuoc 22-9-2011-Gui ca Vu" xfId="3697"/>
    <cellStyle name="T_Book1_TH y kien LD_KH 2010 Ca Nuoc 22-9-2011-Gui ca Vu 2" xfId="3698"/>
    <cellStyle name="T_Book1_TH y kien LD_KH 2010 Ca Nuoc 22-9-2011-Gui ca Vu_!1 1 bao cao giao KH ve HTCMT vung TNB   12-12-2011" xfId="3699"/>
    <cellStyle name="T_Book1_TH y kien LD_KH 2010 Ca Nuoc 22-9-2011-Gui ca Vu_!1 1 bao cao giao KH ve HTCMT vung TNB   12-12-2011 2" xfId="3700"/>
    <cellStyle name="T_Book1_TH y kien LD_KH 2010 Ca Nuoc 22-9-2011-Gui ca Vu_Bieu4HTMT" xfId="3701"/>
    <cellStyle name="T_Book1_TH y kien LD_KH 2010 Ca Nuoc 22-9-2011-Gui ca Vu_Bieu4HTMT 2" xfId="3702"/>
    <cellStyle name="T_Book1_TH y kien LD_KH 2010 Ca Nuoc 22-9-2011-Gui ca Vu_KH TPCP vung TNB (03-1-2012)" xfId="3703"/>
    <cellStyle name="T_Book1_TH y kien LD_KH 2010 Ca Nuoc 22-9-2011-Gui ca Vu_KH TPCP vung TNB (03-1-2012) 2" xfId="3704"/>
    <cellStyle name="T_Book1_Thiet bi" xfId="3705"/>
    <cellStyle name="T_Book1_Thiet bi 2" xfId="3706"/>
    <cellStyle name="T_Book1_ung truoc 2011 NSTW Thanh Hoa + Nge An gui Thu 12-5" xfId="3707"/>
    <cellStyle name="T_Book1_ung truoc 2011 NSTW Thanh Hoa + Nge An gui Thu 12-5 2" xfId="3708"/>
    <cellStyle name="T_Book1_ung truoc 2011 NSTW Thanh Hoa + Nge An gui Thu 12-5_!1 1 bao cao giao KH ve HTCMT vung TNB   12-12-2011" xfId="3709"/>
    <cellStyle name="T_Book1_ung truoc 2011 NSTW Thanh Hoa + Nge An gui Thu 12-5_!1 1 bao cao giao KH ve HTCMT vung TNB   12-12-2011 2" xfId="3710"/>
    <cellStyle name="T_Book1_ung truoc 2011 NSTW Thanh Hoa + Nge An gui Thu 12-5_Bieu4HTMT" xfId="3711"/>
    <cellStyle name="T_Book1_ung truoc 2011 NSTW Thanh Hoa + Nge An gui Thu 12-5_Bieu4HTMT 2" xfId="3712"/>
    <cellStyle name="T_Book1_ung truoc 2011 NSTW Thanh Hoa + Nge An gui Thu 12-5_Bieu4HTMT_!1 1 bao cao giao KH ve HTCMT vung TNB   12-12-2011" xfId="3713"/>
    <cellStyle name="T_Book1_ung truoc 2011 NSTW Thanh Hoa + Nge An gui Thu 12-5_Bieu4HTMT_!1 1 bao cao giao KH ve HTCMT vung TNB   12-12-2011 2" xfId="3714"/>
    <cellStyle name="T_Book1_ung truoc 2011 NSTW Thanh Hoa + Nge An gui Thu 12-5_Bieu4HTMT_KH TPCP vung TNB (03-1-2012)" xfId="3715"/>
    <cellStyle name="T_Book1_ung truoc 2011 NSTW Thanh Hoa + Nge An gui Thu 12-5_Bieu4HTMT_KH TPCP vung TNB (03-1-2012) 2" xfId="3716"/>
    <cellStyle name="T_Book1_ung truoc 2011 NSTW Thanh Hoa + Nge An gui Thu 12-5_KH TPCP vung TNB (03-1-2012)" xfId="3717"/>
    <cellStyle name="T_Book1_ung truoc 2011 NSTW Thanh Hoa + Nge An gui Thu 12-5_KH TPCP vung TNB (03-1-2012) 2" xfId="3718"/>
    <cellStyle name="T_Book1_ÿÿÿÿÿ" xfId="3719"/>
    <cellStyle name="T_Book1_ÿÿÿÿÿ 2" xfId="3720"/>
    <cellStyle name="T_Copy of Bao cao  XDCB 7 thang nam 2008_So KH&amp;DT SUA" xfId="3721"/>
    <cellStyle name="T_Copy of Bao cao  XDCB 7 thang nam 2008_So KH&amp;DT SUA 2" xfId="3722"/>
    <cellStyle name="T_Copy of Bao cao  XDCB 7 thang nam 2008_So KH&amp;DT SUA_!1 1 bao cao giao KH ve HTCMT vung TNB   12-12-2011" xfId="3723"/>
    <cellStyle name="T_Copy of Bao cao  XDCB 7 thang nam 2008_So KH&amp;DT SUA_!1 1 bao cao giao KH ve HTCMT vung TNB   12-12-2011 2" xfId="3724"/>
    <cellStyle name="T_Copy of Bao cao  XDCB 7 thang nam 2008_So KH&amp;DT SUA_KH TPCP vung TNB (03-1-2012)" xfId="3725"/>
    <cellStyle name="T_Copy of Bao cao  XDCB 7 thang nam 2008_So KH&amp;DT SUA_KH TPCP vung TNB (03-1-2012) 2" xfId="3726"/>
    <cellStyle name="T_CPK" xfId="3727"/>
    <cellStyle name="T_CPK 2" xfId="3728"/>
    <cellStyle name="T_CPK_!1 1 bao cao giao KH ve HTCMT vung TNB   12-12-2011" xfId="3729"/>
    <cellStyle name="T_CPK_!1 1 bao cao giao KH ve HTCMT vung TNB   12-12-2011 2" xfId="3730"/>
    <cellStyle name="T_CPK_Bieu4HTMT" xfId="3731"/>
    <cellStyle name="T_CPK_Bieu4HTMT 2" xfId="3732"/>
    <cellStyle name="T_CPK_Bieu4HTMT_!1 1 bao cao giao KH ve HTCMT vung TNB   12-12-2011" xfId="3733"/>
    <cellStyle name="T_CPK_Bieu4HTMT_!1 1 bao cao giao KH ve HTCMT vung TNB   12-12-2011 2" xfId="3734"/>
    <cellStyle name="T_CPK_Bieu4HTMT_KH TPCP vung TNB (03-1-2012)" xfId="3735"/>
    <cellStyle name="T_CPK_Bieu4HTMT_KH TPCP vung TNB (03-1-2012) 2" xfId="3736"/>
    <cellStyle name="T_CPK_KH TPCP vung TNB (03-1-2012)" xfId="3737"/>
    <cellStyle name="T_CPK_KH TPCP vung TNB (03-1-2012) 2" xfId="3738"/>
    <cellStyle name="T_CTMTQG 2008" xfId="3739"/>
    <cellStyle name="T_CTMTQG 2008 2" xfId="3740"/>
    <cellStyle name="T_CTMTQG 2008_!1 1 bao cao giao KH ve HTCMT vung TNB   12-12-2011" xfId="3741"/>
    <cellStyle name="T_CTMTQG 2008_!1 1 bao cao giao KH ve HTCMT vung TNB   12-12-2011 2" xfId="3742"/>
    <cellStyle name="T_CTMTQG 2008_Bieu mau danh muc du an thuoc CTMTQG nam 2008" xfId="3743"/>
    <cellStyle name="T_CTMTQG 2008_Bieu mau danh muc du an thuoc CTMTQG nam 2008 2" xfId="3744"/>
    <cellStyle name="T_CTMTQG 2008_Bieu mau danh muc du an thuoc CTMTQG nam 2008_!1 1 bao cao giao KH ve HTCMT vung TNB   12-12-2011" xfId="3745"/>
    <cellStyle name="T_CTMTQG 2008_Bieu mau danh muc du an thuoc CTMTQG nam 2008_!1 1 bao cao giao KH ve HTCMT vung TNB   12-12-2011 2" xfId="3746"/>
    <cellStyle name="T_CTMTQG 2008_Bieu mau danh muc du an thuoc CTMTQG nam 2008_KH TPCP vung TNB (03-1-2012)" xfId="3747"/>
    <cellStyle name="T_CTMTQG 2008_Bieu mau danh muc du an thuoc CTMTQG nam 2008_KH TPCP vung TNB (03-1-2012) 2" xfId="3748"/>
    <cellStyle name="T_CTMTQG 2008_Hi-Tong hop KQ phan bo KH nam 08- LD fong giao 15-11-08" xfId="3749"/>
    <cellStyle name="T_CTMTQG 2008_Hi-Tong hop KQ phan bo KH nam 08- LD fong giao 15-11-08 2" xfId="3750"/>
    <cellStyle name="T_CTMTQG 2008_Hi-Tong hop KQ phan bo KH nam 08- LD fong giao 15-11-08_!1 1 bao cao giao KH ve HTCMT vung TNB   12-12-2011" xfId="3751"/>
    <cellStyle name="T_CTMTQG 2008_Hi-Tong hop KQ phan bo KH nam 08- LD fong giao 15-11-08_!1 1 bao cao giao KH ve HTCMT vung TNB   12-12-2011 2" xfId="3752"/>
    <cellStyle name="T_CTMTQG 2008_Hi-Tong hop KQ phan bo KH nam 08- LD fong giao 15-11-08_KH TPCP vung TNB (03-1-2012)" xfId="3753"/>
    <cellStyle name="T_CTMTQG 2008_Hi-Tong hop KQ phan bo KH nam 08- LD fong giao 15-11-08_KH TPCP vung TNB (03-1-2012) 2" xfId="3754"/>
    <cellStyle name="T_CTMTQG 2008_Ket qua thuc hien nam 2008" xfId="3755"/>
    <cellStyle name="T_CTMTQG 2008_Ket qua thuc hien nam 2008 2" xfId="3756"/>
    <cellStyle name="T_CTMTQG 2008_Ket qua thuc hien nam 2008_!1 1 bao cao giao KH ve HTCMT vung TNB   12-12-2011" xfId="3757"/>
    <cellStyle name="T_CTMTQG 2008_Ket qua thuc hien nam 2008_!1 1 bao cao giao KH ve HTCMT vung TNB   12-12-2011 2" xfId="3758"/>
    <cellStyle name="T_CTMTQG 2008_Ket qua thuc hien nam 2008_KH TPCP vung TNB (03-1-2012)" xfId="3759"/>
    <cellStyle name="T_CTMTQG 2008_Ket qua thuc hien nam 2008_KH TPCP vung TNB (03-1-2012) 2" xfId="3760"/>
    <cellStyle name="T_CTMTQG 2008_KH TPCP vung TNB (03-1-2012)" xfId="3761"/>
    <cellStyle name="T_CTMTQG 2008_KH TPCP vung TNB (03-1-2012) 2" xfId="3762"/>
    <cellStyle name="T_CTMTQG 2008_KH XDCB_2008 lan 1" xfId="3763"/>
    <cellStyle name="T_CTMTQG 2008_KH XDCB_2008 lan 1 2" xfId="3764"/>
    <cellStyle name="T_CTMTQG 2008_KH XDCB_2008 lan 1 sua ngay 27-10" xfId="3765"/>
    <cellStyle name="T_CTMTQG 2008_KH XDCB_2008 lan 1 sua ngay 27-10 2" xfId="3766"/>
    <cellStyle name="T_CTMTQG 2008_KH XDCB_2008 lan 1 sua ngay 27-10_!1 1 bao cao giao KH ve HTCMT vung TNB   12-12-2011" xfId="3767"/>
    <cellStyle name="T_CTMTQG 2008_KH XDCB_2008 lan 1 sua ngay 27-10_!1 1 bao cao giao KH ve HTCMT vung TNB   12-12-2011 2" xfId="3768"/>
    <cellStyle name="T_CTMTQG 2008_KH XDCB_2008 lan 1 sua ngay 27-10_KH TPCP vung TNB (03-1-2012)" xfId="3769"/>
    <cellStyle name="T_CTMTQG 2008_KH XDCB_2008 lan 1 sua ngay 27-10_KH TPCP vung TNB (03-1-2012) 2" xfId="3770"/>
    <cellStyle name="T_CTMTQG 2008_KH XDCB_2008 lan 1_!1 1 bao cao giao KH ve HTCMT vung TNB   12-12-2011" xfId="3771"/>
    <cellStyle name="T_CTMTQG 2008_KH XDCB_2008 lan 1_!1 1 bao cao giao KH ve HTCMT vung TNB   12-12-2011 2" xfId="3772"/>
    <cellStyle name="T_CTMTQG 2008_KH XDCB_2008 lan 1_KH TPCP vung TNB (03-1-2012)" xfId="3773"/>
    <cellStyle name="T_CTMTQG 2008_KH XDCB_2008 lan 1_KH TPCP vung TNB (03-1-2012) 2" xfId="3774"/>
    <cellStyle name="T_CTMTQG 2008_KH XDCB_2008 lan 2 sua ngay 10-11" xfId="3775"/>
    <cellStyle name="T_CTMTQG 2008_KH XDCB_2008 lan 2 sua ngay 10-11 2" xfId="3776"/>
    <cellStyle name="T_CTMTQG 2008_KH XDCB_2008 lan 2 sua ngay 10-11_!1 1 bao cao giao KH ve HTCMT vung TNB   12-12-2011" xfId="3777"/>
    <cellStyle name="T_CTMTQG 2008_KH XDCB_2008 lan 2 sua ngay 10-11_!1 1 bao cao giao KH ve HTCMT vung TNB   12-12-2011 2" xfId="3778"/>
    <cellStyle name="T_CTMTQG 2008_KH XDCB_2008 lan 2 sua ngay 10-11_KH TPCP vung TNB (03-1-2012)" xfId="3779"/>
    <cellStyle name="T_CTMTQG 2008_KH XDCB_2008 lan 2 sua ngay 10-11_KH TPCP vung TNB (03-1-2012) 2" xfId="3780"/>
    <cellStyle name="T_Chuan bi dau tu nam 2008" xfId="3781"/>
    <cellStyle name="T_Chuan bi dau tu nam 2008 2" xfId="3782"/>
    <cellStyle name="T_Chuan bi dau tu nam 2008_!1 1 bao cao giao KH ve HTCMT vung TNB   12-12-2011" xfId="3783"/>
    <cellStyle name="T_Chuan bi dau tu nam 2008_!1 1 bao cao giao KH ve HTCMT vung TNB   12-12-2011 2" xfId="3784"/>
    <cellStyle name="T_Chuan bi dau tu nam 2008_KH TPCP vung TNB (03-1-2012)" xfId="3785"/>
    <cellStyle name="T_Chuan bi dau tu nam 2008_KH TPCP vung TNB (03-1-2012) 2" xfId="3786"/>
    <cellStyle name="T_danh muc chuan bi dau tu 2011 ngay 07-6-2011" xfId="3787"/>
    <cellStyle name="T_danh muc chuan bi dau tu 2011 ngay 07-6-2011 2" xfId="3788"/>
    <cellStyle name="T_danh muc chuan bi dau tu 2011 ngay 07-6-2011_!1 1 bao cao giao KH ve HTCMT vung TNB   12-12-2011" xfId="3789"/>
    <cellStyle name="T_danh muc chuan bi dau tu 2011 ngay 07-6-2011_!1 1 bao cao giao KH ve HTCMT vung TNB   12-12-2011 2" xfId="3790"/>
    <cellStyle name="T_danh muc chuan bi dau tu 2011 ngay 07-6-2011_KH TPCP vung TNB (03-1-2012)" xfId="3791"/>
    <cellStyle name="T_danh muc chuan bi dau tu 2011 ngay 07-6-2011_KH TPCP vung TNB (03-1-2012) 2" xfId="3792"/>
    <cellStyle name="T_Danh muc pbo nguon von XSKT, XDCB nam 2009 chuyen qua nam 2010" xfId="3793"/>
    <cellStyle name="T_Danh muc pbo nguon von XSKT, XDCB nam 2009 chuyen qua nam 2010 2" xfId="3794"/>
    <cellStyle name="T_Danh muc pbo nguon von XSKT, XDCB nam 2009 chuyen qua nam 2010_!1 1 bao cao giao KH ve HTCMT vung TNB   12-12-2011" xfId="3795"/>
    <cellStyle name="T_Danh muc pbo nguon von XSKT, XDCB nam 2009 chuyen qua nam 2010_!1 1 bao cao giao KH ve HTCMT vung TNB   12-12-2011 2" xfId="3796"/>
    <cellStyle name="T_Danh muc pbo nguon von XSKT, XDCB nam 2009 chuyen qua nam 2010_KH TPCP vung TNB (03-1-2012)" xfId="3797"/>
    <cellStyle name="T_Danh muc pbo nguon von XSKT, XDCB nam 2009 chuyen qua nam 2010_KH TPCP vung TNB (03-1-2012) 2" xfId="3798"/>
    <cellStyle name="T_dieu chinh KH 2011 ngay 26-5-2011111" xfId="3799"/>
    <cellStyle name="T_dieu chinh KH 2011 ngay 26-5-2011111 2" xfId="3800"/>
    <cellStyle name="T_dieu chinh KH 2011 ngay 26-5-2011111_!1 1 bao cao giao KH ve HTCMT vung TNB   12-12-2011" xfId="3801"/>
    <cellStyle name="T_dieu chinh KH 2011 ngay 26-5-2011111_!1 1 bao cao giao KH ve HTCMT vung TNB   12-12-2011 2" xfId="3802"/>
    <cellStyle name="T_dieu chinh KH 2011 ngay 26-5-2011111_KH TPCP vung TNB (03-1-2012)" xfId="3803"/>
    <cellStyle name="T_dieu chinh KH 2011 ngay 26-5-2011111_KH TPCP vung TNB (03-1-2012) 2" xfId="3804"/>
    <cellStyle name="T_DK 2014-2015 final" xfId="3805"/>
    <cellStyle name="T_DK 2014-2015 final_05-12  KH trung han 2016-2020 - Liem Thinh edited" xfId="3806"/>
    <cellStyle name="T_DK 2014-2015 final_Copy of 05-12  KH trung han 2016-2020 - Liem Thinh edited (1)" xfId="3807"/>
    <cellStyle name="T_DK 2014-2015 new" xfId="3808"/>
    <cellStyle name="T_DK 2014-2015 new_05-12  KH trung han 2016-2020 - Liem Thinh edited" xfId="3809"/>
    <cellStyle name="T_DK 2014-2015 new_Copy of 05-12  KH trung han 2016-2020 - Liem Thinh edited (1)" xfId="3810"/>
    <cellStyle name="T_DK KH CBDT 2014 11-11-2013" xfId="3811"/>
    <cellStyle name="T_DK KH CBDT 2014 11-11-2013(1)" xfId="3812"/>
    <cellStyle name="T_DK KH CBDT 2014 11-11-2013(1)_05-12  KH trung han 2016-2020 - Liem Thinh edited" xfId="3813"/>
    <cellStyle name="T_DK KH CBDT 2014 11-11-2013(1)_Copy of 05-12  KH trung han 2016-2020 - Liem Thinh edited (1)" xfId="3814"/>
    <cellStyle name="T_DK KH CBDT 2014 11-11-2013_05-12  KH trung han 2016-2020 - Liem Thinh edited" xfId="3815"/>
    <cellStyle name="T_DK KH CBDT 2014 11-11-2013_Copy of 05-12  KH trung han 2016-2020 - Liem Thinh edited (1)" xfId="3816"/>
    <cellStyle name="T_DS KCH PHAN BO VON NSDP NAM 2010" xfId="3817"/>
    <cellStyle name="T_DS KCH PHAN BO VON NSDP NAM 2010 2" xfId="3818"/>
    <cellStyle name="T_DS KCH PHAN BO VON NSDP NAM 2010_!1 1 bao cao giao KH ve HTCMT vung TNB   12-12-2011" xfId="3819"/>
    <cellStyle name="T_DS KCH PHAN BO VON NSDP NAM 2010_!1 1 bao cao giao KH ve HTCMT vung TNB   12-12-2011 2" xfId="3820"/>
    <cellStyle name="T_DS KCH PHAN BO VON NSDP NAM 2010_KH TPCP vung TNB (03-1-2012)" xfId="3821"/>
    <cellStyle name="T_DS KCH PHAN BO VON NSDP NAM 2010_KH TPCP vung TNB (03-1-2012) 2" xfId="3822"/>
    <cellStyle name="T_Du an khoi cong moi nam 2010" xfId="3823"/>
    <cellStyle name="T_Du an khoi cong moi nam 2010 2" xfId="3824"/>
    <cellStyle name="T_Du an khoi cong moi nam 2010_!1 1 bao cao giao KH ve HTCMT vung TNB   12-12-2011" xfId="3825"/>
    <cellStyle name="T_Du an khoi cong moi nam 2010_!1 1 bao cao giao KH ve HTCMT vung TNB   12-12-2011 2" xfId="3826"/>
    <cellStyle name="T_Du an khoi cong moi nam 2010_KH TPCP vung TNB (03-1-2012)" xfId="3827"/>
    <cellStyle name="T_Du an khoi cong moi nam 2010_KH TPCP vung TNB (03-1-2012) 2" xfId="3828"/>
    <cellStyle name="T_DU AN TKQH VA CHUAN BI DAU TU NAM 2007 sua ngay 9-11" xfId="3829"/>
    <cellStyle name="T_DU AN TKQH VA CHUAN BI DAU TU NAM 2007 sua ngay 9-11 2" xfId="3830"/>
    <cellStyle name="T_DU AN TKQH VA CHUAN BI DAU TU NAM 2007 sua ngay 9-11_!1 1 bao cao giao KH ve HTCMT vung TNB   12-12-2011" xfId="3831"/>
    <cellStyle name="T_DU AN TKQH VA CHUAN BI DAU TU NAM 2007 sua ngay 9-11_!1 1 bao cao giao KH ve HTCMT vung TNB   12-12-2011 2" xfId="3832"/>
    <cellStyle name="T_DU AN TKQH VA CHUAN BI DAU TU NAM 2007 sua ngay 9-11_Bieu mau danh muc du an thuoc CTMTQG nam 2008" xfId="3833"/>
    <cellStyle name="T_DU AN TKQH VA CHUAN BI DAU TU NAM 2007 sua ngay 9-11_Bieu mau danh muc du an thuoc CTMTQG nam 2008 2" xfId="3834"/>
    <cellStyle name="T_DU AN TKQH VA CHUAN BI DAU TU NAM 2007 sua ngay 9-11_Bieu mau danh muc du an thuoc CTMTQG nam 2008_!1 1 bao cao giao KH ve HTCMT vung TNB   12-12-2011" xfId="3835"/>
    <cellStyle name="T_DU AN TKQH VA CHUAN BI DAU TU NAM 2007 sua ngay 9-11_Bieu mau danh muc du an thuoc CTMTQG nam 2008_!1 1 bao cao giao KH ve HTCMT vung TNB   12-12-2011 2" xfId="3836"/>
    <cellStyle name="T_DU AN TKQH VA CHUAN BI DAU TU NAM 2007 sua ngay 9-11_Bieu mau danh muc du an thuoc CTMTQG nam 2008_KH TPCP vung TNB (03-1-2012)" xfId="3837"/>
    <cellStyle name="T_DU AN TKQH VA CHUAN BI DAU TU NAM 2007 sua ngay 9-11_Bieu mau danh muc du an thuoc CTMTQG nam 2008_KH TPCP vung TNB (03-1-2012) 2" xfId="3838"/>
    <cellStyle name="T_DU AN TKQH VA CHUAN BI DAU TU NAM 2007 sua ngay 9-11_Du an khoi cong moi nam 2010" xfId="3839"/>
    <cellStyle name="T_DU AN TKQH VA CHUAN BI DAU TU NAM 2007 sua ngay 9-11_Du an khoi cong moi nam 2010 2" xfId="3840"/>
    <cellStyle name="T_DU AN TKQH VA CHUAN BI DAU TU NAM 2007 sua ngay 9-11_Du an khoi cong moi nam 2010_!1 1 bao cao giao KH ve HTCMT vung TNB   12-12-2011" xfId="3841"/>
    <cellStyle name="T_DU AN TKQH VA CHUAN BI DAU TU NAM 2007 sua ngay 9-11_Du an khoi cong moi nam 2010_!1 1 bao cao giao KH ve HTCMT vung TNB   12-12-2011 2" xfId="3842"/>
    <cellStyle name="T_DU AN TKQH VA CHUAN BI DAU TU NAM 2007 sua ngay 9-11_Du an khoi cong moi nam 2010_KH TPCP vung TNB (03-1-2012)" xfId="3843"/>
    <cellStyle name="T_DU AN TKQH VA CHUAN BI DAU TU NAM 2007 sua ngay 9-11_Du an khoi cong moi nam 2010_KH TPCP vung TNB (03-1-2012) 2" xfId="3844"/>
    <cellStyle name="T_DU AN TKQH VA CHUAN BI DAU TU NAM 2007 sua ngay 9-11_Ket qua phan bo von nam 2008" xfId="3845"/>
    <cellStyle name="T_DU AN TKQH VA CHUAN BI DAU TU NAM 2007 sua ngay 9-11_Ket qua phan bo von nam 2008 2" xfId="3846"/>
    <cellStyle name="T_DU AN TKQH VA CHUAN BI DAU TU NAM 2007 sua ngay 9-11_Ket qua phan bo von nam 2008_!1 1 bao cao giao KH ve HTCMT vung TNB   12-12-2011" xfId="3847"/>
    <cellStyle name="T_DU AN TKQH VA CHUAN BI DAU TU NAM 2007 sua ngay 9-11_Ket qua phan bo von nam 2008_!1 1 bao cao giao KH ve HTCMT vung TNB   12-12-2011 2" xfId="3848"/>
    <cellStyle name="T_DU AN TKQH VA CHUAN BI DAU TU NAM 2007 sua ngay 9-11_Ket qua phan bo von nam 2008_KH TPCP vung TNB (03-1-2012)" xfId="3849"/>
    <cellStyle name="T_DU AN TKQH VA CHUAN BI DAU TU NAM 2007 sua ngay 9-11_Ket qua phan bo von nam 2008_KH TPCP vung TNB (03-1-2012) 2" xfId="3850"/>
    <cellStyle name="T_DU AN TKQH VA CHUAN BI DAU TU NAM 2007 sua ngay 9-11_KH TPCP vung TNB (03-1-2012)" xfId="3851"/>
    <cellStyle name="T_DU AN TKQH VA CHUAN BI DAU TU NAM 2007 sua ngay 9-11_KH TPCP vung TNB (03-1-2012) 2" xfId="3852"/>
    <cellStyle name="T_DU AN TKQH VA CHUAN BI DAU TU NAM 2007 sua ngay 9-11_KH XDCB_2008 lan 2 sua ngay 10-11" xfId="3853"/>
    <cellStyle name="T_DU AN TKQH VA CHUAN BI DAU TU NAM 2007 sua ngay 9-11_KH XDCB_2008 lan 2 sua ngay 10-11 2" xfId="3854"/>
    <cellStyle name="T_DU AN TKQH VA CHUAN BI DAU TU NAM 2007 sua ngay 9-11_KH XDCB_2008 lan 2 sua ngay 10-11_!1 1 bao cao giao KH ve HTCMT vung TNB   12-12-2011" xfId="3855"/>
    <cellStyle name="T_DU AN TKQH VA CHUAN BI DAU TU NAM 2007 sua ngay 9-11_KH XDCB_2008 lan 2 sua ngay 10-11_!1 1 bao cao giao KH ve HTCMT vung TNB   12-12-2011 2" xfId="3856"/>
    <cellStyle name="T_DU AN TKQH VA CHUAN BI DAU TU NAM 2007 sua ngay 9-11_KH XDCB_2008 lan 2 sua ngay 10-11_KH TPCP vung TNB (03-1-2012)" xfId="3857"/>
    <cellStyle name="T_DU AN TKQH VA CHUAN BI DAU TU NAM 2007 sua ngay 9-11_KH XDCB_2008 lan 2 sua ngay 10-11_KH TPCP vung TNB (03-1-2012) 2" xfId="3858"/>
    <cellStyle name="T_du toan dieu chinh  20-8-2006" xfId="3859"/>
    <cellStyle name="T_du toan dieu chinh  20-8-2006 2" xfId="3860"/>
    <cellStyle name="T_du toan dieu chinh  20-8-2006_!1 1 bao cao giao KH ve HTCMT vung TNB   12-12-2011" xfId="3861"/>
    <cellStyle name="T_du toan dieu chinh  20-8-2006_!1 1 bao cao giao KH ve HTCMT vung TNB   12-12-2011 2" xfId="3862"/>
    <cellStyle name="T_du toan dieu chinh  20-8-2006_Bieu4HTMT" xfId="3863"/>
    <cellStyle name="T_du toan dieu chinh  20-8-2006_Bieu4HTMT 2" xfId="3864"/>
    <cellStyle name="T_du toan dieu chinh  20-8-2006_Bieu4HTMT_!1 1 bao cao giao KH ve HTCMT vung TNB   12-12-2011" xfId="3865"/>
    <cellStyle name="T_du toan dieu chinh  20-8-2006_Bieu4HTMT_!1 1 bao cao giao KH ve HTCMT vung TNB   12-12-2011 2" xfId="3866"/>
    <cellStyle name="T_du toan dieu chinh  20-8-2006_Bieu4HTMT_KH TPCP vung TNB (03-1-2012)" xfId="3867"/>
    <cellStyle name="T_du toan dieu chinh  20-8-2006_Bieu4HTMT_KH TPCP vung TNB (03-1-2012) 2" xfId="3868"/>
    <cellStyle name="T_du toan dieu chinh  20-8-2006_KH TPCP vung TNB (03-1-2012)" xfId="3869"/>
    <cellStyle name="T_du toan dieu chinh  20-8-2006_KH TPCP vung TNB (03-1-2012) 2" xfId="3870"/>
    <cellStyle name="T_giao KH 2011 ngay 10-12-2010" xfId="3871"/>
    <cellStyle name="T_giao KH 2011 ngay 10-12-2010 2" xfId="3872"/>
    <cellStyle name="T_giao KH 2011 ngay 10-12-2010_!1 1 bao cao giao KH ve HTCMT vung TNB   12-12-2011" xfId="3873"/>
    <cellStyle name="T_giao KH 2011 ngay 10-12-2010_!1 1 bao cao giao KH ve HTCMT vung TNB   12-12-2011 2" xfId="3874"/>
    <cellStyle name="T_giao KH 2011 ngay 10-12-2010_KH TPCP vung TNB (03-1-2012)" xfId="3875"/>
    <cellStyle name="T_giao KH 2011 ngay 10-12-2010_KH TPCP vung TNB (03-1-2012) 2" xfId="3876"/>
    <cellStyle name="T_Ht-PTq1-03" xfId="3877"/>
    <cellStyle name="T_Ht-PTq1-03 2" xfId="3878"/>
    <cellStyle name="T_Ht-PTq1-03_!1 1 bao cao giao KH ve HTCMT vung TNB   12-12-2011" xfId="3879"/>
    <cellStyle name="T_Ht-PTq1-03_!1 1 bao cao giao KH ve HTCMT vung TNB   12-12-2011 2" xfId="3880"/>
    <cellStyle name="T_Ht-PTq1-03_kien giang 2" xfId="3881"/>
    <cellStyle name="T_Ht-PTq1-03_kien giang 2 2" xfId="3882"/>
    <cellStyle name="T_Ke hoach KTXH  nam 2009_PKT thang 11 nam 2008" xfId="3883"/>
    <cellStyle name="T_Ke hoach KTXH  nam 2009_PKT thang 11 nam 2008 2" xfId="3884"/>
    <cellStyle name="T_Ke hoach KTXH  nam 2009_PKT thang 11 nam 2008_!1 1 bao cao giao KH ve HTCMT vung TNB   12-12-2011" xfId="3885"/>
    <cellStyle name="T_Ke hoach KTXH  nam 2009_PKT thang 11 nam 2008_!1 1 bao cao giao KH ve HTCMT vung TNB   12-12-2011 2" xfId="3886"/>
    <cellStyle name="T_Ke hoach KTXH  nam 2009_PKT thang 11 nam 2008_KH TPCP vung TNB (03-1-2012)" xfId="3887"/>
    <cellStyle name="T_Ke hoach KTXH  nam 2009_PKT thang 11 nam 2008_KH TPCP vung TNB (03-1-2012) 2" xfId="3888"/>
    <cellStyle name="T_Ket qua dau thau" xfId="3889"/>
    <cellStyle name="T_Ket qua dau thau 2" xfId="3890"/>
    <cellStyle name="T_Ket qua dau thau_!1 1 bao cao giao KH ve HTCMT vung TNB   12-12-2011" xfId="3891"/>
    <cellStyle name="T_Ket qua dau thau_!1 1 bao cao giao KH ve HTCMT vung TNB   12-12-2011 2" xfId="3892"/>
    <cellStyle name="T_Ket qua dau thau_KH TPCP vung TNB (03-1-2012)" xfId="3893"/>
    <cellStyle name="T_Ket qua dau thau_KH TPCP vung TNB (03-1-2012) 2" xfId="3894"/>
    <cellStyle name="T_Ket qua phan bo von nam 2008" xfId="3895"/>
    <cellStyle name="T_Ket qua phan bo von nam 2008 2" xfId="3896"/>
    <cellStyle name="T_Ket qua phan bo von nam 2008_!1 1 bao cao giao KH ve HTCMT vung TNB   12-12-2011" xfId="3897"/>
    <cellStyle name="T_Ket qua phan bo von nam 2008_!1 1 bao cao giao KH ve HTCMT vung TNB   12-12-2011 2" xfId="3898"/>
    <cellStyle name="T_Ket qua phan bo von nam 2008_KH TPCP vung TNB (03-1-2012)" xfId="3899"/>
    <cellStyle name="T_Ket qua phan bo von nam 2008_KH TPCP vung TNB (03-1-2012) 2" xfId="3900"/>
    <cellStyle name="T_kien giang 2" xfId="3901"/>
    <cellStyle name="T_kien giang 2 2" xfId="3902"/>
    <cellStyle name="T_KH 2011-2015" xfId="3903"/>
    <cellStyle name="T_KH TPCP vung TNB (03-1-2012)" xfId="3904"/>
    <cellStyle name="T_KH TPCP vung TNB (03-1-2012) 2" xfId="3905"/>
    <cellStyle name="T_KH XDCB_2008 lan 2 sua ngay 10-11" xfId="3906"/>
    <cellStyle name="T_KH XDCB_2008 lan 2 sua ngay 10-11 2" xfId="3907"/>
    <cellStyle name="T_KH XDCB_2008 lan 2 sua ngay 10-11_!1 1 bao cao giao KH ve HTCMT vung TNB   12-12-2011" xfId="3908"/>
    <cellStyle name="T_KH XDCB_2008 lan 2 sua ngay 10-11_!1 1 bao cao giao KH ve HTCMT vung TNB   12-12-2011 2" xfId="3909"/>
    <cellStyle name="T_KH XDCB_2008 lan 2 sua ngay 10-11_KH TPCP vung TNB (03-1-2012)" xfId="3910"/>
    <cellStyle name="T_KH XDCB_2008 lan 2 sua ngay 10-11_KH TPCP vung TNB (03-1-2012) 2" xfId="3911"/>
    <cellStyle name="T_Me_Tri_6_07" xfId="3912"/>
    <cellStyle name="T_Me_Tri_6_07 2" xfId="3913"/>
    <cellStyle name="T_Me_Tri_6_07_!1 1 bao cao giao KH ve HTCMT vung TNB   12-12-2011" xfId="3914"/>
    <cellStyle name="T_Me_Tri_6_07_!1 1 bao cao giao KH ve HTCMT vung TNB   12-12-2011 2" xfId="3915"/>
    <cellStyle name="T_Me_Tri_6_07_Bieu4HTMT" xfId="3916"/>
    <cellStyle name="T_Me_Tri_6_07_Bieu4HTMT 2" xfId="3917"/>
    <cellStyle name="T_Me_Tri_6_07_Bieu4HTMT_!1 1 bao cao giao KH ve HTCMT vung TNB   12-12-2011" xfId="3918"/>
    <cellStyle name="T_Me_Tri_6_07_Bieu4HTMT_!1 1 bao cao giao KH ve HTCMT vung TNB   12-12-2011 2" xfId="3919"/>
    <cellStyle name="T_Me_Tri_6_07_Bieu4HTMT_KH TPCP vung TNB (03-1-2012)" xfId="3920"/>
    <cellStyle name="T_Me_Tri_6_07_Bieu4HTMT_KH TPCP vung TNB (03-1-2012) 2" xfId="3921"/>
    <cellStyle name="T_Me_Tri_6_07_KH TPCP vung TNB (03-1-2012)" xfId="3922"/>
    <cellStyle name="T_Me_Tri_6_07_KH TPCP vung TNB (03-1-2012) 2" xfId="3923"/>
    <cellStyle name="T_N2 thay dat (N1-1)" xfId="3924"/>
    <cellStyle name="T_N2 thay dat (N1-1) 2" xfId="3925"/>
    <cellStyle name="T_N2 thay dat (N1-1)_!1 1 bao cao giao KH ve HTCMT vung TNB   12-12-2011" xfId="3926"/>
    <cellStyle name="T_N2 thay dat (N1-1)_!1 1 bao cao giao KH ve HTCMT vung TNB   12-12-2011 2" xfId="3927"/>
    <cellStyle name="T_N2 thay dat (N1-1)_Bieu4HTMT" xfId="3928"/>
    <cellStyle name="T_N2 thay dat (N1-1)_Bieu4HTMT 2" xfId="3929"/>
    <cellStyle name="T_N2 thay dat (N1-1)_Bieu4HTMT_!1 1 bao cao giao KH ve HTCMT vung TNB   12-12-2011" xfId="3930"/>
    <cellStyle name="T_N2 thay dat (N1-1)_Bieu4HTMT_!1 1 bao cao giao KH ve HTCMT vung TNB   12-12-2011 2" xfId="3931"/>
    <cellStyle name="T_N2 thay dat (N1-1)_Bieu4HTMT_KH TPCP vung TNB (03-1-2012)" xfId="3932"/>
    <cellStyle name="T_N2 thay dat (N1-1)_Bieu4HTMT_KH TPCP vung TNB (03-1-2012) 2" xfId="3933"/>
    <cellStyle name="T_N2 thay dat (N1-1)_KH TPCP vung TNB (03-1-2012)" xfId="3934"/>
    <cellStyle name="T_N2 thay dat (N1-1)_KH TPCP vung TNB (03-1-2012) 2" xfId="3935"/>
    <cellStyle name="T_Phuong an can doi nam 2008" xfId="3936"/>
    <cellStyle name="T_Phuong an can doi nam 2008 2" xfId="3937"/>
    <cellStyle name="T_Phuong an can doi nam 2008_!1 1 bao cao giao KH ve HTCMT vung TNB   12-12-2011" xfId="3938"/>
    <cellStyle name="T_Phuong an can doi nam 2008_!1 1 bao cao giao KH ve HTCMT vung TNB   12-12-2011 2" xfId="3939"/>
    <cellStyle name="T_Phuong an can doi nam 2008_KH TPCP vung TNB (03-1-2012)" xfId="3940"/>
    <cellStyle name="T_Phuong an can doi nam 2008_KH TPCP vung TNB (03-1-2012) 2" xfId="3941"/>
    <cellStyle name="T_Seagame(BTL)" xfId="3942"/>
    <cellStyle name="T_Seagame(BTL) 2" xfId="3943"/>
    <cellStyle name="T_So GTVT" xfId="3944"/>
    <cellStyle name="T_So GTVT 2" xfId="3945"/>
    <cellStyle name="T_So GTVT_!1 1 bao cao giao KH ve HTCMT vung TNB   12-12-2011" xfId="3946"/>
    <cellStyle name="T_So GTVT_!1 1 bao cao giao KH ve HTCMT vung TNB   12-12-2011 2" xfId="3947"/>
    <cellStyle name="T_So GTVT_KH TPCP vung TNB (03-1-2012)" xfId="3948"/>
    <cellStyle name="T_So GTVT_KH TPCP vung TNB (03-1-2012) 2" xfId="3949"/>
    <cellStyle name="T_tai co cau dau tu (tong hop)1" xfId="3950"/>
    <cellStyle name="T_TDT + duong(8-5-07)" xfId="3951"/>
    <cellStyle name="T_TDT + duong(8-5-07) 2" xfId="3952"/>
    <cellStyle name="T_TDT + duong(8-5-07)_!1 1 bao cao giao KH ve HTCMT vung TNB   12-12-2011" xfId="3953"/>
    <cellStyle name="T_TDT + duong(8-5-07)_!1 1 bao cao giao KH ve HTCMT vung TNB   12-12-2011 2" xfId="3954"/>
    <cellStyle name="T_TDT + duong(8-5-07)_Bieu4HTMT" xfId="3955"/>
    <cellStyle name="T_TDT + duong(8-5-07)_Bieu4HTMT 2" xfId="3956"/>
    <cellStyle name="T_TDT + duong(8-5-07)_Bieu4HTMT_!1 1 bao cao giao KH ve HTCMT vung TNB   12-12-2011" xfId="3957"/>
    <cellStyle name="T_TDT + duong(8-5-07)_Bieu4HTMT_!1 1 bao cao giao KH ve HTCMT vung TNB   12-12-2011 2" xfId="3958"/>
    <cellStyle name="T_TDT + duong(8-5-07)_Bieu4HTMT_KH TPCP vung TNB (03-1-2012)" xfId="3959"/>
    <cellStyle name="T_TDT + duong(8-5-07)_Bieu4HTMT_KH TPCP vung TNB (03-1-2012) 2" xfId="3960"/>
    <cellStyle name="T_TDT + duong(8-5-07)_KH TPCP vung TNB (03-1-2012)" xfId="3961"/>
    <cellStyle name="T_TDT + duong(8-5-07)_KH TPCP vung TNB (03-1-2012) 2" xfId="3962"/>
    <cellStyle name="T_TK_HT" xfId="3963"/>
    <cellStyle name="T_TK_HT 2" xfId="3964"/>
    <cellStyle name="T_tham_tra_du_toan" xfId="3965"/>
    <cellStyle name="T_tham_tra_du_toan 2" xfId="3966"/>
    <cellStyle name="T_tham_tra_du_toan_!1 1 bao cao giao KH ve HTCMT vung TNB   12-12-2011" xfId="3967"/>
    <cellStyle name="T_tham_tra_du_toan_!1 1 bao cao giao KH ve HTCMT vung TNB   12-12-2011 2" xfId="3968"/>
    <cellStyle name="T_tham_tra_du_toan_Bieu4HTMT" xfId="3969"/>
    <cellStyle name="T_tham_tra_du_toan_Bieu4HTMT 2" xfId="3970"/>
    <cellStyle name="T_tham_tra_du_toan_Bieu4HTMT_!1 1 bao cao giao KH ve HTCMT vung TNB   12-12-2011" xfId="3971"/>
    <cellStyle name="T_tham_tra_du_toan_Bieu4HTMT_!1 1 bao cao giao KH ve HTCMT vung TNB   12-12-2011 2" xfId="3972"/>
    <cellStyle name="T_tham_tra_du_toan_Bieu4HTMT_KH TPCP vung TNB (03-1-2012)" xfId="3973"/>
    <cellStyle name="T_tham_tra_du_toan_Bieu4HTMT_KH TPCP vung TNB (03-1-2012) 2" xfId="3974"/>
    <cellStyle name="T_tham_tra_du_toan_KH TPCP vung TNB (03-1-2012)" xfId="3975"/>
    <cellStyle name="T_tham_tra_du_toan_KH TPCP vung TNB (03-1-2012) 2" xfId="3976"/>
    <cellStyle name="T_Thiet bi" xfId="3977"/>
    <cellStyle name="T_Thiet bi 2" xfId="3978"/>
    <cellStyle name="T_Thiet bi_!1 1 bao cao giao KH ve HTCMT vung TNB   12-12-2011" xfId="3979"/>
    <cellStyle name="T_Thiet bi_!1 1 bao cao giao KH ve HTCMT vung TNB   12-12-2011 2" xfId="3980"/>
    <cellStyle name="T_Thiet bi_Bieu4HTMT" xfId="3981"/>
    <cellStyle name="T_Thiet bi_Bieu4HTMT 2" xfId="3982"/>
    <cellStyle name="T_Thiet bi_Bieu4HTMT_!1 1 bao cao giao KH ve HTCMT vung TNB   12-12-2011" xfId="3983"/>
    <cellStyle name="T_Thiet bi_Bieu4HTMT_!1 1 bao cao giao KH ve HTCMT vung TNB   12-12-2011 2" xfId="3984"/>
    <cellStyle name="T_Thiet bi_Bieu4HTMT_KH TPCP vung TNB (03-1-2012)" xfId="3985"/>
    <cellStyle name="T_Thiet bi_Bieu4HTMT_KH TPCP vung TNB (03-1-2012) 2" xfId="3986"/>
    <cellStyle name="T_Thiet bi_KH TPCP vung TNB (03-1-2012)" xfId="3987"/>
    <cellStyle name="T_Thiet bi_KH TPCP vung TNB (03-1-2012) 2" xfId="3988"/>
    <cellStyle name="T_Van Ban 2007" xfId="3989"/>
    <cellStyle name="T_Van Ban 2007_15_10_2013 BC nhu cau von doi ung ODA (2014-2016) ngay 15102013 Sua" xfId="3990"/>
    <cellStyle name="T_Van Ban 2007_bao cao phan bo KHDT 2011(final)" xfId="3991"/>
    <cellStyle name="T_Van Ban 2007_bao cao phan bo KHDT 2011(final)_BC nhu cau von doi ung ODA nganh NN (BKH)" xfId="3992"/>
    <cellStyle name="T_Van Ban 2007_bao cao phan bo KHDT 2011(final)_BC Tai co cau (bieu TH)" xfId="3993"/>
    <cellStyle name="T_Van Ban 2007_bao cao phan bo KHDT 2011(final)_DK 2014-2015 final" xfId="3994"/>
    <cellStyle name="T_Van Ban 2007_bao cao phan bo KHDT 2011(final)_DK 2014-2015 new" xfId="3995"/>
    <cellStyle name="T_Van Ban 2007_bao cao phan bo KHDT 2011(final)_DK KH CBDT 2014 11-11-2013" xfId="3996"/>
    <cellStyle name="T_Van Ban 2007_bao cao phan bo KHDT 2011(final)_DK KH CBDT 2014 11-11-2013(1)" xfId="3997"/>
    <cellStyle name="T_Van Ban 2007_bao cao phan bo KHDT 2011(final)_KH 2011-2015" xfId="3998"/>
    <cellStyle name="T_Van Ban 2007_bao cao phan bo KHDT 2011(final)_tai co cau dau tu (tong hop)1" xfId="3999"/>
    <cellStyle name="T_Van Ban 2007_BC nhu cau von doi ung ODA nganh NN (BKH)" xfId="4000"/>
    <cellStyle name="T_Van Ban 2007_BC nhu cau von doi ung ODA nganh NN (BKH)_05-12  KH trung han 2016-2020 - Liem Thinh edited" xfId="4001"/>
    <cellStyle name="T_Van Ban 2007_BC nhu cau von doi ung ODA nganh NN (BKH)_Copy of 05-12  KH trung han 2016-2020 - Liem Thinh edited (1)" xfId="4002"/>
    <cellStyle name="T_Van Ban 2007_BC Tai co cau (bieu TH)" xfId="4003"/>
    <cellStyle name="T_Van Ban 2007_BC Tai co cau (bieu TH)_05-12  KH trung han 2016-2020 - Liem Thinh edited" xfId="4004"/>
    <cellStyle name="T_Van Ban 2007_BC Tai co cau (bieu TH)_Copy of 05-12  KH trung han 2016-2020 - Liem Thinh edited (1)" xfId="4005"/>
    <cellStyle name="T_Van Ban 2007_DK 2014-2015 final" xfId="4006"/>
    <cellStyle name="T_Van Ban 2007_DK 2014-2015 final_05-12  KH trung han 2016-2020 - Liem Thinh edited" xfId="4007"/>
    <cellStyle name="T_Van Ban 2007_DK 2014-2015 final_Copy of 05-12  KH trung han 2016-2020 - Liem Thinh edited (1)" xfId="4008"/>
    <cellStyle name="T_Van Ban 2007_DK 2014-2015 new" xfId="4009"/>
    <cellStyle name="T_Van Ban 2007_DK 2014-2015 new_05-12  KH trung han 2016-2020 - Liem Thinh edited" xfId="4010"/>
    <cellStyle name="T_Van Ban 2007_DK 2014-2015 new_Copy of 05-12  KH trung han 2016-2020 - Liem Thinh edited (1)" xfId="4011"/>
    <cellStyle name="T_Van Ban 2007_DK KH CBDT 2014 11-11-2013" xfId="4012"/>
    <cellStyle name="T_Van Ban 2007_DK KH CBDT 2014 11-11-2013(1)" xfId="4013"/>
    <cellStyle name="T_Van Ban 2007_DK KH CBDT 2014 11-11-2013(1)_05-12  KH trung han 2016-2020 - Liem Thinh edited" xfId="4014"/>
    <cellStyle name="T_Van Ban 2007_DK KH CBDT 2014 11-11-2013(1)_Copy of 05-12  KH trung han 2016-2020 - Liem Thinh edited (1)" xfId="4015"/>
    <cellStyle name="T_Van Ban 2007_DK KH CBDT 2014 11-11-2013_05-12  KH trung han 2016-2020 - Liem Thinh edited" xfId="4016"/>
    <cellStyle name="T_Van Ban 2007_DK KH CBDT 2014 11-11-2013_Copy of 05-12  KH trung han 2016-2020 - Liem Thinh edited (1)" xfId="4017"/>
    <cellStyle name="T_Van Ban 2008" xfId="4018"/>
    <cellStyle name="T_Van Ban 2008_15_10_2013 BC nhu cau von doi ung ODA (2014-2016) ngay 15102013 Sua" xfId="4019"/>
    <cellStyle name="T_Van Ban 2008_bao cao phan bo KHDT 2011(final)" xfId="4020"/>
    <cellStyle name="T_Van Ban 2008_bao cao phan bo KHDT 2011(final)_BC nhu cau von doi ung ODA nganh NN (BKH)" xfId="4021"/>
    <cellStyle name="T_Van Ban 2008_bao cao phan bo KHDT 2011(final)_BC Tai co cau (bieu TH)" xfId="4022"/>
    <cellStyle name="T_Van Ban 2008_bao cao phan bo KHDT 2011(final)_DK 2014-2015 final" xfId="4023"/>
    <cellStyle name="T_Van Ban 2008_bao cao phan bo KHDT 2011(final)_DK 2014-2015 new" xfId="4024"/>
    <cellStyle name="T_Van Ban 2008_bao cao phan bo KHDT 2011(final)_DK KH CBDT 2014 11-11-2013" xfId="4025"/>
    <cellStyle name="T_Van Ban 2008_bao cao phan bo KHDT 2011(final)_DK KH CBDT 2014 11-11-2013(1)" xfId="4026"/>
    <cellStyle name="T_Van Ban 2008_bao cao phan bo KHDT 2011(final)_KH 2011-2015" xfId="4027"/>
    <cellStyle name="T_Van Ban 2008_bao cao phan bo KHDT 2011(final)_tai co cau dau tu (tong hop)1" xfId="4028"/>
    <cellStyle name="T_Van Ban 2008_BC nhu cau von doi ung ODA nganh NN (BKH)" xfId="4029"/>
    <cellStyle name="T_Van Ban 2008_BC nhu cau von doi ung ODA nganh NN (BKH)_05-12  KH trung han 2016-2020 - Liem Thinh edited" xfId="4030"/>
    <cellStyle name="T_Van Ban 2008_BC nhu cau von doi ung ODA nganh NN (BKH)_Copy of 05-12  KH trung han 2016-2020 - Liem Thinh edited (1)" xfId="4031"/>
    <cellStyle name="T_Van Ban 2008_BC Tai co cau (bieu TH)" xfId="4032"/>
    <cellStyle name="T_Van Ban 2008_BC Tai co cau (bieu TH)_05-12  KH trung han 2016-2020 - Liem Thinh edited" xfId="4033"/>
    <cellStyle name="T_Van Ban 2008_BC Tai co cau (bieu TH)_Copy of 05-12  KH trung han 2016-2020 - Liem Thinh edited (1)" xfId="4034"/>
    <cellStyle name="T_Van Ban 2008_DK 2014-2015 final" xfId="4035"/>
    <cellStyle name="T_Van Ban 2008_DK 2014-2015 final_05-12  KH trung han 2016-2020 - Liem Thinh edited" xfId="4036"/>
    <cellStyle name="T_Van Ban 2008_DK 2014-2015 final_Copy of 05-12  KH trung han 2016-2020 - Liem Thinh edited (1)" xfId="4037"/>
    <cellStyle name="T_Van Ban 2008_DK 2014-2015 new" xfId="4038"/>
    <cellStyle name="T_Van Ban 2008_DK 2014-2015 new_05-12  KH trung han 2016-2020 - Liem Thinh edited" xfId="4039"/>
    <cellStyle name="T_Van Ban 2008_DK 2014-2015 new_Copy of 05-12  KH trung han 2016-2020 - Liem Thinh edited (1)" xfId="4040"/>
    <cellStyle name="T_Van Ban 2008_DK KH CBDT 2014 11-11-2013" xfId="4041"/>
    <cellStyle name="T_Van Ban 2008_DK KH CBDT 2014 11-11-2013(1)" xfId="4042"/>
    <cellStyle name="T_Van Ban 2008_DK KH CBDT 2014 11-11-2013(1)_05-12  KH trung han 2016-2020 - Liem Thinh edited" xfId="4043"/>
    <cellStyle name="T_Van Ban 2008_DK KH CBDT 2014 11-11-2013(1)_Copy of 05-12  KH trung han 2016-2020 - Liem Thinh edited (1)" xfId="4044"/>
    <cellStyle name="T_Van Ban 2008_DK KH CBDT 2014 11-11-2013_05-12  KH trung han 2016-2020 - Liem Thinh edited" xfId="4045"/>
    <cellStyle name="T_Van Ban 2008_DK KH CBDT 2014 11-11-2013_Copy of 05-12  KH trung han 2016-2020 - Liem Thinh edited (1)" xfId="4046"/>
    <cellStyle name="T_XDCB thang 12.2010" xfId="4047"/>
    <cellStyle name="T_XDCB thang 12.2010 2" xfId="4048"/>
    <cellStyle name="T_XDCB thang 12.2010_!1 1 bao cao giao KH ve HTCMT vung TNB   12-12-2011" xfId="4049"/>
    <cellStyle name="T_XDCB thang 12.2010_!1 1 bao cao giao KH ve HTCMT vung TNB   12-12-2011 2" xfId="4050"/>
    <cellStyle name="T_XDCB thang 12.2010_KH TPCP vung TNB (03-1-2012)" xfId="4051"/>
    <cellStyle name="T_XDCB thang 12.2010_KH TPCP vung TNB (03-1-2012) 2" xfId="4052"/>
    <cellStyle name="T_ÿÿÿÿÿ" xfId="4053"/>
    <cellStyle name="T_ÿÿÿÿÿ 2" xfId="4054"/>
    <cellStyle name="T_ÿÿÿÿÿ_!1 1 bao cao giao KH ve HTCMT vung TNB   12-12-2011" xfId="4055"/>
    <cellStyle name="T_ÿÿÿÿÿ_!1 1 bao cao giao KH ve HTCMT vung TNB   12-12-2011 2" xfId="4056"/>
    <cellStyle name="T_ÿÿÿÿÿ_Bieu mau cong trinh khoi cong moi 3-4" xfId="4057"/>
    <cellStyle name="T_ÿÿÿÿÿ_Bieu mau cong trinh khoi cong moi 3-4 2" xfId="4058"/>
    <cellStyle name="T_ÿÿÿÿÿ_Bieu mau cong trinh khoi cong moi 3-4_!1 1 bao cao giao KH ve HTCMT vung TNB   12-12-2011" xfId="4059"/>
    <cellStyle name="T_ÿÿÿÿÿ_Bieu mau cong trinh khoi cong moi 3-4_!1 1 bao cao giao KH ve HTCMT vung TNB   12-12-2011 2" xfId="4060"/>
    <cellStyle name="T_ÿÿÿÿÿ_Bieu mau cong trinh khoi cong moi 3-4_KH TPCP vung TNB (03-1-2012)" xfId="4061"/>
    <cellStyle name="T_ÿÿÿÿÿ_Bieu mau cong trinh khoi cong moi 3-4_KH TPCP vung TNB (03-1-2012) 2" xfId="4062"/>
    <cellStyle name="T_ÿÿÿÿÿ_Bieu3ODA" xfId="4063"/>
    <cellStyle name="T_ÿÿÿÿÿ_Bieu3ODA 2" xfId="4064"/>
    <cellStyle name="T_ÿÿÿÿÿ_Bieu3ODA_!1 1 bao cao giao KH ve HTCMT vung TNB   12-12-2011" xfId="4065"/>
    <cellStyle name="T_ÿÿÿÿÿ_Bieu3ODA_!1 1 bao cao giao KH ve HTCMT vung TNB   12-12-2011 2" xfId="4066"/>
    <cellStyle name="T_ÿÿÿÿÿ_Bieu3ODA_KH TPCP vung TNB (03-1-2012)" xfId="4067"/>
    <cellStyle name="T_ÿÿÿÿÿ_Bieu3ODA_KH TPCP vung TNB (03-1-2012) 2" xfId="4068"/>
    <cellStyle name="T_ÿÿÿÿÿ_Bieu4HTMT" xfId="4069"/>
    <cellStyle name="T_ÿÿÿÿÿ_Bieu4HTMT 2" xfId="4070"/>
    <cellStyle name="T_ÿÿÿÿÿ_Bieu4HTMT_!1 1 bao cao giao KH ve HTCMT vung TNB   12-12-2011" xfId="4071"/>
    <cellStyle name="T_ÿÿÿÿÿ_Bieu4HTMT_!1 1 bao cao giao KH ve HTCMT vung TNB   12-12-2011 2" xfId="4072"/>
    <cellStyle name="T_ÿÿÿÿÿ_Bieu4HTMT_KH TPCP vung TNB (03-1-2012)" xfId="4073"/>
    <cellStyle name="T_ÿÿÿÿÿ_Bieu4HTMT_KH TPCP vung TNB (03-1-2012) 2" xfId="4074"/>
    <cellStyle name="T_ÿÿÿÿÿ_kien giang 2" xfId="4075"/>
    <cellStyle name="T_ÿÿÿÿÿ_kien giang 2 2" xfId="4076"/>
    <cellStyle name="T_ÿÿÿÿÿ_KH TPCP vung TNB (03-1-2012)" xfId="4077"/>
    <cellStyle name="T_ÿÿÿÿÿ_KH TPCP vung TNB (03-1-2012) 2" xfId="4078"/>
    <cellStyle name="Text Indent A" xfId="4079"/>
    <cellStyle name="Text Indent B" xfId="4080"/>
    <cellStyle name="Text Indent B 10" xfId="4081"/>
    <cellStyle name="Text Indent B 11" xfId="4082"/>
    <cellStyle name="Text Indent B 12" xfId="4083"/>
    <cellStyle name="Text Indent B 13" xfId="4084"/>
    <cellStyle name="Text Indent B 14" xfId="4085"/>
    <cellStyle name="Text Indent B 15" xfId="4086"/>
    <cellStyle name="Text Indent B 16" xfId="4087"/>
    <cellStyle name="Text Indent B 2" xfId="4088"/>
    <cellStyle name="Text Indent B 3" xfId="4089"/>
    <cellStyle name="Text Indent B 4" xfId="4090"/>
    <cellStyle name="Text Indent B 5" xfId="4091"/>
    <cellStyle name="Text Indent B 6" xfId="4092"/>
    <cellStyle name="Text Indent B 7" xfId="4093"/>
    <cellStyle name="Text Indent B 8" xfId="4094"/>
    <cellStyle name="Text Indent B 9" xfId="4095"/>
    <cellStyle name="Text Indent C" xfId="4096"/>
    <cellStyle name="Text Indent C 10" xfId="4097"/>
    <cellStyle name="Text Indent C 11" xfId="4098"/>
    <cellStyle name="Text Indent C 12" xfId="4099"/>
    <cellStyle name="Text Indent C 13" xfId="4100"/>
    <cellStyle name="Text Indent C 14" xfId="4101"/>
    <cellStyle name="Text Indent C 15" xfId="4102"/>
    <cellStyle name="Text Indent C 16" xfId="4103"/>
    <cellStyle name="Text Indent C 2" xfId="4104"/>
    <cellStyle name="Text Indent C 3" xfId="4105"/>
    <cellStyle name="Text Indent C 4" xfId="4106"/>
    <cellStyle name="Text Indent C 5" xfId="4107"/>
    <cellStyle name="Text Indent C 6" xfId="4108"/>
    <cellStyle name="Text Indent C 7" xfId="4109"/>
    <cellStyle name="Text Indent C 8" xfId="4110"/>
    <cellStyle name="Text Indent C 9" xfId="4111"/>
    <cellStyle name="Tickmark" xfId="4112"/>
    <cellStyle name="Tien1" xfId="4113"/>
    <cellStyle name="Tieu_de_2" xfId="4114"/>
    <cellStyle name="Times New Roman" xfId="4115"/>
    <cellStyle name="tit1" xfId="4116"/>
    <cellStyle name="tit2" xfId="4117"/>
    <cellStyle name="tit2 2" xfId="4118"/>
    <cellStyle name="tit3" xfId="4119"/>
    <cellStyle name="tit4" xfId="4120"/>
    <cellStyle name="Title 2" xfId="4121"/>
    <cellStyle name="Tong so" xfId="4122"/>
    <cellStyle name="tong so 1" xfId="4123"/>
    <cellStyle name="Tong so_Bieu KHPTLN 2016-2020" xfId="4124"/>
    <cellStyle name="Tongcong" xfId="4125"/>
    <cellStyle name="Total 2" xfId="4126"/>
    <cellStyle name="tt1" xfId="4127"/>
    <cellStyle name="Tusental (0)_pldt" xfId="4128"/>
    <cellStyle name="Tusental_pldt" xfId="4129"/>
    <cellStyle name="th" xfId="4130"/>
    <cellStyle name="th 2" xfId="4131"/>
    <cellStyle name="þ_x005f_x001d_ð¤_x005f_x000c_¯þ_x005f_x0014__x005f_x000d_¨þU_x005f_x0001_À_x005f_x0004_ _x005f_x0015__x005f_x000f__x005f_x0001__x005f_x0001_" xfId="4132"/>
    <cellStyle name="þ_x005f_x001d_ð·_x005f_x000c_æþ'_x005f_x000d_ßþU_x005f_x0001_Ø_x005f_x0005_ü_x005f_x0014__x005f_x0007__x005f_x0001__x005f_x0001_" xfId="4133"/>
    <cellStyle name="þ_x005f_x001d_ðÇ%Uý—&amp;Hý9_x005f_x0008_Ÿ s_x005f_x000a__x005f_x0007__x005f_x0001__x005f_x0001_" xfId="4134"/>
    <cellStyle name="þ_x005f_x001d_ðK_x005f_x000c_Fý_x005f_x001b__x005f_x000d_9ýU_x005f_x0001_Ð_x005f_x0008_¦)_x005f_x0007__x005f_x0001__x005f_x0001_" xfId="4135"/>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36"/>
    <cellStyle name="þ_x005f_x005f_x005f_x001d_ð·_x005f_x005f_x005f_x000c_æþ'_x005f_x005f_x005f_x000d_ßþU_x005f_x005f_x005f_x0001_Ø_x005f_x005f_x005f_x0005_ü_x005f_x005f_x005f_x0014__x005f_x005f_x005f_x0007__x005f_x005f_x005f_x0001__x005f_x005f_x005f_x0001_" xfId="4137"/>
    <cellStyle name="þ_x005f_x005f_x005f_x001d_ðÇ%Uý—&amp;Hý9_x005f_x005f_x005f_x0008_Ÿ s_x005f_x005f_x005f_x000a__x005f_x005f_x005f_x0007__x005f_x005f_x005f_x0001__x005f_x005f_x005f_x0001_" xfId="4138"/>
    <cellStyle name="þ_x005f_x005f_x005f_x001d_ðK_x005f_x005f_x005f_x000c_Fý_x005f_x005f_x005f_x001b__x005f_x005f_x005f_x000d_9ýU_x005f_x005f_x005f_x0001_Ð_x005f_x005f_x005f_x0008_¦)_x005f_x005f_x005f_x0007__x005f_x005f_x005f_x0001__x005f_x005f_x005f_x0001_" xfId="4139"/>
    <cellStyle name="than" xfId="4140"/>
    <cellStyle name="Thanh" xfId="4141"/>
    <cellStyle name="þ_x001d_ð¤_x000c_¯þ_x0014__x000a_¨þU_x0001_À_x0004_ _x0015__x000f__x0001__x0001_" xfId="4142"/>
    <cellStyle name="þ_x001d_ð¤_x000c_¯þ_x0014__x000d_¨þU_x0001_À_x0004_ _x0015__x000f__x0001__x0001_" xfId="4143"/>
    <cellStyle name="þ_x001d_ð·_x000c_æþ'_x000a_ßþU_x0001_Ø_x0005_ü_x0014__x0007__x0001__x0001_" xfId="4144"/>
    <cellStyle name="þ_x001d_ð·_x000c_æþ'_x000d_ßþU_x0001_Ø_x0005_ü_x0014__x0007__x0001__x0001_" xfId="4145"/>
    <cellStyle name="þ_x001d_ðÇ%Uý—&amp;Hý9_x0008_Ÿ s_x000a__x0007__x0001__x0001_" xfId="4146"/>
    <cellStyle name="þ_x001d_ðK_x000c_Fý_x001b__x000a_9ýU_x0001_Ð_x0008_¦)_x0007__x0001__x0001_" xfId="4147"/>
    <cellStyle name="þ_x001d_ðK_x000c_Fý_x001b__x000d_9ýU_x0001_Ð_x0008_¦)_x0007__x0001__x0001_" xfId="4148"/>
    <cellStyle name="thuong-10" xfId="4149"/>
    <cellStyle name="thuong-11" xfId="4150"/>
    <cellStyle name="thuong-11 2" xfId="4151"/>
    <cellStyle name="Thuyet minh" xfId="4152"/>
    <cellStyle name="trang" xfId="4153"/>
    <cellStyle name="ux_3_¼­¿ï-¾È»ê" xfId="4154"/>
    <cellStyle name="Valuta (0)_pldt" xfId="4155"/>
    <cellStyle name="Valuta_pldt" xfId="4156"/>
    <cellStyle name="VANG1" xfId="4157"/>
    <cellStyle name="VANG1 2" xfId="4158"/>
    <cellStyle name="viet" xfId="4159"/>
    <cellStyle name="viet2" xfId="4160"/>
    <cellStyle name="viet2 2" xfId="4161"/>
    <cellStyle name="VN new romanNormal" xfId="4162"/>
    <cellStyle name="VN new romanNormal 2" xfId="4163"/>
    <cellStyle name="VN new romanNormal 2 2" xfId="4164"/>
    <cellStyle name="VN new romanNormal 3" xfId="4165"/>
    <cellStyle name="VN new romanNormal_05-12  KH trung han 2016-2020 - Liem Thinh edited" xfId="4166"/>
    <cellStyle name="Vn Time 13" xfId="4167"/>
    <cellStyle name="Vn Time 14" xfId="4168"/>
    <cellStyle name="Vn Time 14 2" xfId="4169"/>
    <cellStyle name="Vn Time 14 3" xfId="4170"/>
    <cellStyle name="VN time new roman" xfId="4171"/>
    <cellStyle name="VN time new roman 2" xfId="4172"/>
    <cellStyle name="VN time new roman 2 2" xfId="4173"/>
    <cellStyle name="VN time new roman 3" xfId="4174"/>
    <cellStyle name="VN time new roman_05-12  KH trung han 2016-2020 - Liem Thinh edited" xfId="4175"/>
    <cellStyle name="vn_time" xfId="4176"/>
    <cellStyle name="vnbo" xfId="4177"/>
    <cellStyle name="vnbo 2" xfId="4178"/>
    <cellStyle name="vnbo 3" xfId="4179"/>
    <cellStyle name="vntxt1" xfId="4180"/>
    <cellStyle name="vntxt1 10" xfId="4181"/>
    <cellStyle name="vntxt1 11" xfId="4182"/>
    <cellStyle name="vntxt1 12" xfId="4183"/>
    <cellStyle name="vntxt1 13" xfId="4184"/>
    <cellStyle name="vntxt1 14" xfId="4185"/>
    <cellStyle name="vntxt1 15" xfId="4186"/>
    <cellStyle name="vntxt1 16" xfId="4187"/>
    <cellStyle name="vntxt1 2" xfId="4188"/>
    <cellStyle name="vntxt1 3" xfId="4189"/>
    <cellStyle name="vntxt1 4" xfId="4190"/>
    <cellStyle name="vntxt1 5" xfId="4191"/>
    <cellStyle name="vntxt1 6" xfId="4192"/>
    <cellStyle name="vntxt1 7" xfId="4193"/>
    <cellStyle name="vntxt1 8" xfId="4194"/>
    <cellStyle name="vntxt1 9" xfId="4195"/>
    <cellStyle name="vntxt1_05-12  KH trung han 2016-2020 - Liem Thinh edited" xfId="4196"/>
    <cellStyle name="vntxt2" xfId="4197"/>
    <cellStyle name="vnhead1" xfId="4198"/>
    <cellStyle name="vnhead1 2" xfId="4199"/>
    <cellStyle name="vnhead2" xfId="4200"/>
    <cellStyle name="vnhead2 2" xfId="4201"/>
    <cellStyle name="vnhead2 3" xfId="4202"/>
    <cellStyle name="vnhead3" xfId="4203"/>
    <cellStyle name="vnhead3 2" xfId="4204"/>
    <cellStyle name="vnhead3 3" xfId="4205"/>
    <cellStyle name="vnhead4" xfId="4206"/>
    <cellStyle name="W?hrung [0]_35ERI8T2gbIEMixb4v26icuOo" xfId="4207"/>
    <cellStyle name="W?hrung_35ERI8T2gbIEMixb4v26icuOo" xfId="4208"/>
    <cellStyle name="Währung [0]_68574_Materialbedarfsliste" xfId="4209"/>
    <cellStyle name="Währung_68574_Materialbedarfsliste" xfId="4210"/>
    <cellStyle name="Walutowy [0]_Invoices2001Slovakia" xfId="4211"/>
    <cellStyle name="Walutowy_Invoices2001Slovakia" xfId="4212"/>
    <cellStyle name="Warning Text 2" xfId="4213"/>
    <cellStyle name="wrap" xfId="4214"/>
    <cellStyle name="Wไhrung [0]_35ERI8T2gbIEMixb4v26icuOo" xfId="4215"/>
    <cellStyle name="Wไhrung_35ERI8T2gbIEMixb4v26icuOo" xfId="4216"/>
    <cellStyle name="xan1" xfId="4217"/>
    <cellStyle name="xuan" xfId="4218"/>
    <cellStyle name="y" xfId="4219"/>
    <cellStyle name="y 2" xfId="4220"/>
    <cellStyle name="Ý kh¸c_B¶ng 1 (2)" xfId="4221"/>
    <cellStyle name="เครื่องหมายสกุลเงิน [0]_FTC_OFFER" xfId="4222"/>
    <cellStyle name="เครื่องหมายสกุลเงิน_FTC_OFFER" xfId="4223"/>
    <cellStyle name="ปกติ_FTC_OFFER" xfId="4224"/>
    <cellStyle name=" [0.00]_ Att. 1- Cover" xfId="4225"/>
    <cellStyle name="_ Att. 1- Cover" xfId="4226"/>
    <cellStyle name="?_ Att. 1- Cover" xfId="4227"/>
    <cellStyle name="똿뗦먛귟 [0.00]_PRODUCT DETAIL Q1" xfId="4228"/>
    <cellStyle name="똿뗦먛귟_PRODUCT DETAIL Q1" xfId="4229"/>
    <cellStyle name="믅됞 [0.00]_PRODUCT DETAIL Q1" xfId="4230"/>
    <cellStyle name="믅됞_PRODUCT DETAIL Q1" xfId="4231"/>
    <cellStyle name="백분율_††††† " xfId="4232"/>
    <cellStyle name="뷭?_BOOKSHIP" xfId="4233"/>
    <cellStyle name="안건회계법인" xfId="4234"/>
    <cellStyle name="콤맀_Sheet1_총괄표 (수출입) (2)" xfId="4235"/>
    <cellStyle name="콤마 [ - 유형1" xfId="4236"/>
    <cellStyle name="콤마 [ - 유형2" xfId="4237"/>
    <cellStyle name="콤마 [ - 유형3" xfId="4238"/>
    <cellStyle name="콤마 [ - 유형4" xfId="4239"/>
    <cellStyle name="콤마 [ - 유형5" xfId="4240"/>
    <cellStyle name="콤마 [ - 유형6" xfId="4241"/>
    <cellStyle name="콤마 [ - 유형7" xfId="4242"/>
    <cellStyle name="콤마 [ - 유형8" xfId="4243"/>
    <cellStyle name="콤마 [0]_ 비목별 월별기술 " xfId="4244"/>
    <cellStyle name="콤마_ 비목별 월별기술 " xfId="4245"/>
    <cellStyle name="통화 [0]_††††† " xfId="4246"/>
    <cellStyle name="통화_††††† " xfId="4247"/>
    <cellStyle name="표섀_변경(최종)" xfId="4248"/>
    <cellStyle name="표준_ 97년 경영분석(안)" xfId="4249"/>
    <cellStyle name="표줠_Sheet1_1_총괄표 (수출입) (2)" xfId="4250"/>
    <cellStyle name="一般_00Q3902REV.1" xfId="4251"/>
    <cellStyle name="千分位[0]_00Q3902REV.1" xfId="4252"/>
    <cellStyle name="千分位_00Q3902REV.1" xfId="4253"/>
    <cellStyle name="桁区切り [0.00]_BE-BQ" xfId="4254"/>
    <cellStyle name="桁区切り_BE-BQ" xfId="4255"/>
    <cellStyle name="標準_(A1)BOQ " xfId="4256"/>
    <cellStyle name="貨幣 [0]_00Q3902REV.1" xfId="4257"/>
    <cellStyle name="貨幣[0]_BRE" xfId="4258"/>
    <cellStyle name="貨幣_00Q3902REV.1" xfId="4259"/>
    <cellStyle name="通貨 [0.00]_BE-BQ" xfId="4260"/>
    <cellStyle name="通貨_BE-BQ" xfId="42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RUNG/CONG%20VIEC/NAM%202019/KH%202020/Thang%2011/KH%20nam%202020/2.%20KHDTC%202020%20DP%20V1%20Q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BU13-_x0003__x0000_+"/>
      <sheetName val="PTS䁌"/>
      <sheetName val="GDTL cong D40"/>
      <sheetName val="THKPcong D40"/>
      <sheetName val="GDTran gieng"/>
      <sheetName val="THKPtran gieng"/>
      <sheetName val="XD"/>
      <sheetName val="THDT (2)"/>
      <sheetName val="DB (2)"/>
      <sheetName val="THTke"/>
      <sheetName val="DGTLdap dat (3)"/>
      <sheetName val="TM Du toan"/>
      <sheetName val="THKP dap chinh (3)"/>
      <sheetName val="@.Dap"/>
      <sheetName val="Cong doan"/>
      <sheetName val="A"/>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Cong n_x0000_"/>
      <sheetName val="TDþ"/>
      <sheetName val="gvl"/>
      <sheetName val="clv¸"/>
      <sheetName val="B01þ"/>
      <sheetName val="B-B"/>
      <sheetName val="KHOA 27"/>
      <sheetName val="KHOA 28"/>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refreshError="1"/>
      <sheetData sheetId="710" refreshError="1"/>
      <sheetData sheetId="711" refreshError="1"/>
      <sheetData sheetId="712" refreshError="1"/>
      <sheetData sheetId="713" refreshError="1"/>
      <sheetData sheetId="714" refreshError="1"/>
      <sheetData sheetId="715"/>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sheetData sheetId="725"/>
      <sheetData sheetId="726"/>
      <sheetData sheetId="727"/>
      <sheetData sheetId="728"/>
      <sheetData sheetId="729"/>
      <sheetData sheetId="730"/>
      <sheetData sheetId="73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refreshError="1"/>
      <sheetData sheetId="759" refreshError="1"/>
      <sheetData sheetId="760" refreshError="1"/>
      <sheetData sheetId="761"/>
      <sheetData sheetId="762"/>
      <sheetData sheetId="763"/>
      <sheetData sheetId="764"/>
      <sheetData sheetId="765"/>
      <sheetData sheetId="766"/>
      <sheetData sheetId="767"/>
      <sheetData sheetId="768"/>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sheetData sheetId="778"/>
      <sheetData sheetId="779"/>
      <sheetData sheetId="780"/>
      <sheetData sheetId="781"/>
      <sheetData sheetId="782"/>
      <sheetData sheetId="783"/>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sheetData sheetId="832"/>
      <sheetData sheetId="833"/>
      <sheetData sheetId="834"/>
      <sheetData sheetId="835"/>
      <sheetData sheetId="836"/>
      <sheetData sheetId="837"/>
      <sheetData sheetId="838"/>
      <sheetData sheetId="839"/>
      <sheetData sheetId="840"/>
      <sheetData sheetId="841"/>
      <sheetData sheetId="842" refreshError="1"/>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sheetData sheetId="876"/>
      <sheetData sheetId="877"/>
      <sheetData sheetId="878"/>
      <sheetData sheetId="879"/>
      <sheetData sheetId="880"/>
      <sheetData sheetId="881"/>
      <sheetData sheetId="882"/>
      <sheetData sheetId="883"/>
      <sheetData sheetId="884"/>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sheetData sheetId="907"/>
      <sheetData sheetId="908" refreshError="1"/>
      <sheetData sheetId="909" refreshError="1"/>
      <sheetData sheetId="910" refreshError="1"/>
      <sheetData sheetId="911" refreshError="1"/>
      <sheetData sheetId="912" refreshError="1"/>
      <sheetData sheetId="913" refreshError="1"/>
      <sheetData sheetId="914" refreshError="1"/>
      <sheetData sheetId="915"/>
      <sheetData sheetId="916"/>
      <sheetData sheetId="917"/>
      <sheetData sheetId="918"/>
      <sheetData sheetId="919"/>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refreshError="1"/>
      <sheetData sheetId="1241"/>
      <sheetData sheetId="1242"/>
      <sheetData sheetId="1243" refreshError="1"/>
      <sheetData sheetId="1244" refreshError="1"/>
      <sheetData sheetId="1245"/>
      <sheetData sheetId="1246"/>
      <sheetData sheetId="1247"/>
      <sheetData sheetId="1248"/>
      <sheetData sheetId="1249"/>
      <sheetData sheetId="1250" refreshError="1"/>
      <sheetData sheetId="1251" refreshError="1"/>
      <sheetData sheetId="1252" refreshError="1"/>
      <sheetData sheetId="1253" refreshError="1"/>
      <sheetData sheetId="1254"/>
      <sheetData sheetId="1255"/>
      <sheetData sheetId="1256"/>
      <sheetData sheetId="1257"/>
      <sheetData sheetId="1258"/>
      <sheetData sheetId="1259"/>
      <sheetData sheetId="1260"/>
      <sheetData sheetId="1261" refreshError="1"/>
      <sheetData sheetId="1262"/>
      <sheetData sheetId="1263"/>
      <sheetData sheetId="1264"/>
      <sheetData sheetId="1265"/>
      <sheetData sheetId="1266"/>
      <sheetData sheetId="1267"/>
      <sheetData sheetId="1268"/>
      <sheetData sheetId="1269"/>
      <sheetData sheetId="1270"/>
      <sheetData sheetId="1271" refreshError="1"/>
      <sheetData sheetId="1272" refreshError="1"/>
      <sheetData sheetId="1273" refreshError="1"/>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refreshError="1"/>
      <sheetData sheetId="1288" refreshError="1"/>
      <sheetData sheetId="1289" refreshError="1"/>
      <sheetData sheetId="1290" refreshError="1"/>
      <sheetData sheetId="1291"/>
      <sheetData sheetId="1292"/>
      <sheetData sheetId="1293" refreshError="1"/>
      <sheetData sheetId="1294" refreshError="1"/>
      <sheetData sheetId="1295"/>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sheetData sheetId="1363" refreshError="1"/>
      <sheetData sheetId="1364" refreshError="1"/>
      <sheetData sheetId="1365" refreshError="1"/>
      <sheetData sheetId="1366" refreshError="1"/>
      <sheetData sheetId="1367" refreshError="1"/>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sheetData sheetId="1383"/>
      <sheetData sheetId="1384"/>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sheetData sheetId="14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D"/>
      <sheetName val="QD 2019 "/>
      <sheetName val="Tien dat 2019"/>
      <sheetName val="DATA"/>
      <sheetName val="NHU CAU"/>
      <sheetName val="1NGUON"/>
      <sheetName val="2CO CAU"/>
      <sheetName val="3PBHUYEN"/>
      <sheetName val="4DMPL"/>
      <sheetName val="5KHCN"/>
      <sheetName val="6GDDT"/>
      <sheetName val="7YTE"/>
      <sheetName val="8NOXDCB"/>
      <sheetName val="9 ODA"/>
      <sheetName val="10ChaLo"/>
      <sheetName val="11PNKB"/>
      <sheetName val="12PCNST"/>
      <sheetName val="13TRONGDIEM"/>
      <sheetName val="14CHUYEN TIEP"/>
      <sheetName val="15DU KIEN KCM 2020"/>
      <sheetName val="NHU CAU TH"/>
    </sheetNames>
    <sheetDataSet>
      <sheetData sheetId="0">
        <row r="9">
          <cell r="B9" t="str">
            <v>TỔNG CỘNG</v>
          </cell>
        </row>
      </sheetData>
      <sheetData sheetId="1">
        <row r="9">
          <cell r="B9" t="str">
            <v>TỔNG CỘNG</v>
          </cell>
        </row>
      </sheetData>
      <sheetData sheetId="2">
        <row r="12">
          <cell r="M12">
            <v>580205.49000000011</v>
          </cell>
        </row>
        <row r="20">
          <cell r="N20">
            <v>20845</v>
          </cell>
        </row>
        <row r="22">
          <cell r="N22">
            <v>19802</v>
          </cell>
        </row>
        <row r="27">
          <cell r="N27">
            <v>15868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ow r="8">
          <cell r="M8">
            <v>0</v>
          </cell>
        </row>
      </sheetData>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201"/>
  <sheetViews>
    <sheetView workbookViewId="0">
      <selection activeCell="E14" sqref="E14"/>
    </sheetView>
  </sheetViews>
  <sheetFormatPr defaultRowHeight="12.75"/>
  <cols>
    <col min="1" max="1" width="3.28515625" style="1314" bestFit="1" customWidth="1"/>
    <col min="2" max="2" width="45.28515625" style="1315" bestFit="1" customWidth="1"/>
    <col min="3" max="3" width="9.140625" style="1316"/>
    <col min="4" max="4" width="10.5703125" style="1317" customWidth="1"/>
    <col min="5" max="5" width="9.140625" style="1318"/>
    <col min="6" max="6" width="9.140625" style="1319"/>
    <col min="7" max="7" width="10.5703125" style="1319" customWidth="1"/>
    <col min="8" max="8" width="9.140625" style="1318"/>
    <col min="9" max="9" width="10.7109375" style="1319" customWidth="1"/>
    <col min="10" max="11" width="9.140625" style="1318"/>
    <col min="12" max="12" width="9.140625" style="1530"/>
    <col min="13" max="13" width="9.140625" style="1531"/>
    <col min="14" max="14" width="9.140625" style="1530"/>
    <col min="15" max="15" width="9.140625" style="1314"/>
    <col min="16" max="16384" width="9.140625" style="1321"/>
  </cols>
  <sheetData>
    <row r="1" spans="1:256">
      <c r="A1" s="1294"/>
      <c r="B1" s="1295" t="s">
        <v>2072</v>
      </c>
      <c r="C1" s="1296" t="s">
        <v>2073</v>
      </c>
      <c r="D1" s="1297">
        <f>SUMIF($C$14:$C$201,C1,$D$14:$D$201)</f>
        <v>1207000</v>
      </c>
      <c r="E1" s="1297">
        <f>SUMIF($C$14:$C$201,C1:$D$14:$D$201)</f>
        <v>0</v>
      </c>
      <c r="F1" s="1297">
        <f>SUMIF($C$14:$C$201,C1,$F$14:$F$201)</f>
        <v>268585.08879803965</v>
      </c>
      <c r="G1" s="1297">
        <f>SUMIF($C$14:$C$201,C1,$G$14:$G$201)</f>
        <v>938414.91120196041</v>
      </c>
      <c r="H1" s="1298"/>
      <c r="I1" s="1297">
        <f>SUMIF($C$14:$C$201,C1,$I$14:$I$201)</f>
        <v>938414.91120196041</v>
      </c>
      <c r="J1" s="1298"/>
      <c r="K1" s="1299">
        <f>L1-M1</f>
        <v>-198601.47336058813</v>
      </c>
      <c r="L1" s="1498">
        <f>SUMIF($C$14:$C$201,C1,$L$14:$L$201)</f>
        <v>53541.491120196035</v>
      </c>
      <c r="M1" s="1499">
        <f>SUMIF($C$13:$C$201,C1,$M$13:$M$201)</f>
        <v>252142.96448078417</v>
      </c>
      <c r="N1" s="1500">
        <f>SUMIF($C$13:$C$201,C1,$N$13:$N$201)</f>
        <v>632730.45560098009</v>
      </c>
      <c r="O1" s="1300" t="s">
        <v>2074</v>
      </c>
      <c r="P1" s="1301">
        <v>17000</v>
      </c>
      <c r="Q1" s="1301"/>
      <c r="R1" s="1301"/>
      <c r="S1" s="1301"/>
      <c r="T1" s="1301"/>
      <c r="U1" s="1301"/>
      <c r="V1" s="1301"/>
      <c r="W1" s="1301"/>
      <c r="X1" s="1301"/>
      <c r="Y1" s="1301"/>
      <c r="Z1" s="1301"/>
      <c r="AA1" s="1301"/>
      <c r="AB1" s="1301"/>
      <c r="AC1" s="1301"/>
      <c r="AD1" s="1301"/>
      <c r="AE1" s="1301"/>
      <c r="AF1" s="1301"/>
      <c r="AG1" s="1301"/>
      <c r="AH1" s="1301"/>
      <c r="AI1" s="1301"/>
      <c r="AJ1" s="1301"/>
      <c r="AK1" s="1301"/>
      <c r="AL1" s="1301"/>
      <c r="AM1" s="1301"/>
      <c r="AN1" s="1301"/>
      <c r="AO1" s="1301"/>
      <c r="AP1" s="1301"/>
      <c r="AQ1" s="1301"/>
      <c r="AR1" s="1301"/>
      <c r="AS1" s="1301"/>
      <c r="AT1" s="1301"/>
      <c r="AU1" s="1301"/>
      <c r="AV1" s="1301"/>
      <c r="AW1" s="1301"/>
      <c r="AX1" s="1301"/>
      <c r="AY1" s="1301"/>
      <c r="AZ1" s="1301"/>
      <c r="BA1" s="1301"/>
      <c r="BB1" s="1301"/>
      <c r="BC1" s="1301"/>
      <c r="BD1" s="1301"/>
      <c r="BE1" s="1301"/>
      <c r="BF1" s="1301"/>
      <c r="BG1" s="1301"/>
      <c r="BH1" s="1301"/>
      <c r="BI1" s="1301"/>
      <c r="BJ1" s="1301"/>
      <c r="BK1" s="1301"/>
      <c r="BL1" s="1301"/>
      <c r="BM1" s="1301"/>
      <c r="BN1" s="1301"/>
      <c r="BO1" s="1301"/>
      <c r="BP1" s="1301"/>
      <c r="BQ1" s="1301"/>
      <c r="BR1" s="1301"/>
      <c r="BS1" s="1301"/>
      <c r="BT1" s="1301"/>
      <c r="BU1" s="1301"/>
      <c r="BV1" s="1301"/>
      <c r="BW1" s="1301"/>
      <c r="BX1" s="1301"/>
      <c r="BY1" s="1301"/>
      <c r="BZ1" s="1301"/>
      <c r="CA1" s="1301"/>
      <c r="CB1" s="1301"/>
      <c r="CC1" s="1301"/>
      <c r="CD1" s="1301"/>
      <c r="CE1" s="1301"/>
      <c r="CF1" s="1301"/>
      <c r="CG1" s="1301"/>
      <c r="CH1" s="1301"/>
      <c r="CI1" s="1301"/>
      <c r="CJ1" s="1301"/>
      <c r="CK1" s="1301"/>
      <c r="CL1" s="1301"/>
      <c r="CM1" s="1301"/>
      <c r="CN1" s="1301"/>
      <c r="CO1" s="1301"/>
      <c r="CP1" s="1301"/>
      <c r="CQ1" s="1301"/>
      <c r="CR1" s="1301"/>
      <c r="CS1" s="1301"/>
      <c r="CT1" s="1301"/>
      <c r="CU1" s="1301"/>
      <c r="CV1" s="1301"/>
      <c r="CW1" s="1301"/>
      <c r="CX1" s="1301"/>
      <c r="CY1" s="1301"/>
      <c r="CZ1" s="1301"/>
      <c r="DA1" s="1301"/>
      <c r="DB1" s="1301"/>
      <c r="DC1" s="1301"/>
      <c r="DD1" s="1301"/>
      <c r="DE1" s="1301"/>
      <c r="DF1" s="1301"/>
      <c r="DG1" s="1301"/>
      <c r="DH1" s="1301"/>
      <c r="DI1" s="1301"/>
      <c r="DJ1" s="1301"/>
      <c r="DK1" s="1301"/>
      <c r="DL1" s="1301"/>
      <c r="DM1" s="1301"/>
      <c r="DN1" s="1301"/>
      <c r="DO1" s="1301"/>
      <c r="DP1" s="1301"/>
      <c r="DQ1" s="1301"/>
      <c r="DR1" s="1301"/>
      <c r="DS1" s="1301"/>
      <c r="DT1" s="1301"/>
      <c r="DU1" s="1301"/>
      <c r="DV1" s="1301"/>
      <c r="DW1" s="1301"/>
      <c r="DX1" s="1301"/>
      <c r="DY1" s="1301"/>
      <c r="DZ1" s="1301"/>
      <c r="EA1" s="1301"/>
      <c r="EB1" s="1301"/>
      <c r="EC1" s="1301"/>
      <c r="ED1" s="1301"/>
      <c r="EE1" s="1301"/>
      <c r="EF1" s="1301"/>
      <c r="EG1" s="1301"/>
      <c r="EH1" s="1301"/>
      <c r="EI1" s="1301"/>
      <c r="EJ1" s="1301"/>
      <c r="EK1" s="1301"/>
      <c r="EL1" s="1301"/>
      <c r="EM1" s="1301"/>
      <c r="EN1" s="1301"/>
      <c r="EO1" s="1301"/>
      <c r="EP1" s="1301"/>
      <c r="EQ1" s="1301"/>
      <c r="ER1" s="1301"/>
      <c r="ES1" s="1301"/>
      <c r="ET1" s="1301"/>
      <c r="EU1" s="1301"/>
      <c r="EV1" s="1301"/>
      <c r="EW1" s="1301"/>
      <c r="EX1" s="1301"/>
      <c r="EY1" s="1301"/>
      <c r="EZ1" s="1301"/>
      <c r="FA1" s="1301"/>
      <c r="FB1" s="1301"/>
      <c r="FC1" s="1301"/>
      <c r="FD1" s="1301"/>
      <c r="FE1" s="1301"/>
      <c r="FF1" s="1301"/>
      <c r="FG1" s="1301"/>
      <c r="FH1" s="1301"/>
      <c r="FI1" s="1301"/>
      <c r="FJ1" s="1301"/>
      <c r="FK1" s="1301"/>
      <c r="FL1" s="1301"/>
      <c r="FM1" s="1301"/>
      <c r="FN1" s="1301"/>
      <c r="FO1" s="1301"/>
      <c r="FP1" s="1301"/>
      <c r="FQ1" s="1301"/>
      <c r="FR1" s="1301"/>
      <c r="FS1" s="1301"/>
      <c r="FT1" s="1301"/>
      <c r="FU1" s="1301"/>
      <c r="FV1" s="1301"/>
      <c r="FW1" s="1301"/>
      <c r="FX1" s="1301"/>
      <c r="FY1" s="1301"/>
      <c r="FZ1" s="1301"/>
      <c r="GA1" s="1301"/>
      <c r="GB1" s="1301"/>
      <c r="GC1" s="1301"/>
      <c r="GD1" s="1301"/>
      <c r="GE1" s="1301"/>
      <c r="GF1" s="1301"/>
      <c r="GG1" s="1301"/>
      <c r="GH1" s="1301"/>
      <c r="GI1" s="1301"/>
      <c r="GJ1" s="1301"/>
      <c r="GK1" s="1301"/>
      <c r="GL1" s="1301"/>
      <c r="GM1" s="1301"/>
      <c r="GN1" s="1301"/>
      <c r="GO1" s="1301"/>
      <c r="GP1" s="1301"/>
      <c r="GQ1" s="1301"/>
      <c r="GR1" s="1301"/>
      <c r="GS1" s="1301"/>
      <c r="GT1" s="1301"/>
      <c r="GU1" s="1301"/>
      <c r="GV1" s="1301"/>
      <c r="GW1" s="1301"/>
      <c r="GX1" s="1301"/>
      <c r="GY1" s="1301"/>
      <c r="GZ1" s="1301"/>
      <c r="HA1" s="1301"/>
      <c r="HB1" s="1301"/>
      <c r="HC1" s="1301"/>
      <c r="HD1" s="1301"/>
      <c r="HE1" s="1301"/>
      <c r="HF1" s="1301"/>
      <c r="HG1" s="1301"/>
      <c r="HH1" s="1301"/>
      <c r="HI1" s="1301"/>
      <c r="HJ1" s="1301"/>
      <c r="HK1" s="1301"/>
      <c r="HL1" s="1301"/>
      <c r="HM1" s="1301"/>
      <c r="HN1" s="1301"/>
      <c r="HO1" s="1301"/>
      <c r="HP1" s="1301"/>
      <c r="HQ1" s="1301"/>
      <c r="HR1" s="1301"/>
      <c r="HS1" s="1301"/>
      <c r="HT1" s="1301"/>
      <c r="HU1" s="1301"/>
      <c r="HV1" s="1301"/>
      <c r="HW1" s="1301"/>
      <c r="HX1" s="1301"/>
      <c r="HY1" s="1301"/>
      <c r="HZ1" s="1301"/>
      <c r="IA1" s="1301"/>
      <c r="IB1" s="1301"/>
      <c r="IC1" s="1301"/>
      <c r="ID1" s="1301"/>
      <c r="IE1" s="1301"/>
      <c r="IF1" s="1301"/>
      <c r="IG1" s="1301"/>
      <c r="IH1" s="1301"/>
      <c r="II1" s="1301"/>
      <c r="IJ1" s="1301"/>
      <c r="IK1" s="1301"/>
      <c r="IL1" s="1301"/>
      <c r="IM1" s="1301"/>
      <c r="IN1" s="1301"/>
      <c r="IO1" s="1301"/>
      <c r="IP1" s="1301"/>
      <c r="IQ1" s="1301"/>
      <c r="IR1" s="1301"/>
      <c r="IS1" s="1301"/>
      <c r="IT1" s="1301"/>
      <c r="IU1" s="1301"/>
      <c r="IV1" s="1301"/>
    </row>
    <row r="2" spans="1:256">
      <c r="A2" s="1294"/>
      <c r="B2" s="1302"/>
      <c r="C2" s="1303" t="s">
        <v>2075</v>
      </c>
      <c r="D2" s="1297">
        <f t="shared" ref="D2:D8" si="0">SUMIF($C$14:$C$201,C2,$D$14:$D$201)</f>
        <v>230000</v>
      </c>
      <c r="E2" s="1304"/>
      <c r="F2" s="1297">
        <f t="shared" ref="F2:F8" si="1">SUMIF($C$14:$C$201,C2,$F$14:$F$201)</f>
        <v>81022.070687673608</v>
      </c>
      <c r="G2" s="1297">
        <f t="shared" ref="G2:G8" si="2">SUMIF($C$14:$C$201,C2,$G$14:$G$201)</f>
        <v>148977.92931232642</v>
      </c>
      <c r="H2" s="1304"/>
      <c r="I2" s="1297">
        <f t="shared" ref="I2:I8" si="3">SUMIF($C$14:$C$201,C2,$I$14:$I$201)</f>
        <v>148977.92931232642</v>
      </c>
      <c r="J2" s="1304"/>
      <c r="K2" s="1299">
        <f t="shared" ref="K2:K8" si="4">L2-M2</f>
        <v>-87269.10720864941</v>
      </c>
      <c r="L2" s="1498">
        <f t="shared" ref="L2:L8" si="5">SUMIF($C$14:$C$201,C2,$L$14:$L$201)</f>
        <v>14897.79293123264</v>
      </c>
      <c r="M2" s="1499">
        <f t="shared" ref="M2:M8" si="6">SUMIF($C$13:$C$201,C2,$M$13:$M$201)</f>
        <v>102166.90013988205</v>
      </c>
      <c r="N2" s="1500">
        <f t="shared" ref="N2:N8" si="7">SUMIF($C$13:$C$201,C2,$N$13:$N$201)</f>
        <v>31913.236241211685</v>
      </c>
      <c r="O2" s="1301" t="s">
        <v>2076</v>
      </c>
      <c r="P2" s="1305">
        <f>I12*0.1</f>
        <v>141864.18266677015</v>
      </c>
      <c r="Q2" s="1301"/>
      <c r="R2" s="1301"/>
      <c r="S2" s="1301"/>
      <c r="T2" s="1301"/>
      <c r="U2" s="1301"/>
      <c r="V2" s="1301"/>
      <c r="W2" s="1301"/>
      <c r="X2" s="1301"/>
      <c r="Y2" s="1301"/>
      <c r="Z2" s="1301"/>
      <c r="AA2" s="1301"/>
      <c r="AB2" s="1301"/>
      <c r="AC2" s="1301"/>
      <c r="AD2" s="1301"/>
      <c r="AE2" s="1301"/>
      <c r="AF2" s="1301"/>
      <c r="AG2" s="1301"/>
      <c r="AH2" s="1301"/>
      <c r="AI2" s="1301"/>
      <c r="AJ2" s="1301"/>
      <c r="AK2" s="1301"/>
      <c r="AL2" s="1301"/>
      <c r="AM2" s="1301"/>
      <c r="AN2" s="1301"/>
      <c r="AO2" s="1301"/>
      <c r="AP2" s="1301"/>
      <c r="AQ2" s="1301"/>
      <c r="AR2" s="1301"/>
      <c r="AS2" s="1301"/>
      <c r="AT2" s="1301"/>
      <c r="AU2" s="1301"/>
      <c r="AV2" s="1301"/>
      <c r="AW2" s="1301"/>
      <c r="AX2" s="1301"/>
      <c r="AY2" s="1301"/>
      <c r="AZ2" s="1301"/>
      <c r="BA2" s="1301"/>
      <c r="BB2" s="1301"/>
      <c r="BC2" s="1301"/>
      <c r="BD2" s="1301"/>
      <c r="BE2" s="1301"/>
      <c r="BF2" s="1301"/>
      <c r="BG2" s="1301"/>
      <c r="BH2" s="1301"/>
      <c r="BI2" s="1301"/>
      <c r="BJ2" s="1301"/>
      <c r="BK2" s="1301"/>
      <c r="BL2" s="1301"/>
      <c r="BM2" s="1301"/>
      <c r="BN2" s="1301"/>
      <c r="BO2" s="1301"/>
      <c r="BP2" s="1301"/>
      <c r="BQ2" s="1301"/>
      <c r="BR2" s="1301"/>
      <c r="BS2" s="1301"/>
      <c r="BT2" s="1301"/>
      <c r="BU2" s="1301"/>
      <c r="BV2" s="1301"/>
      <c r="BW2" s="1301"/>
      <c r="BX2" s="1301"/>
      <c r="BY2" s="1301"/>
      <c r="BZ2" s="1301"/>
      <c r="CA2" s="1301"/>
      <c r="CB2" s="1301"/>
      <c r="CC2" s="1301"/>
      <c r="CD2" s="1301"/>
      <c r="CE2" s="1301"/>
      <c r="CF2" s="1301"/>
      <c r="CG2" s="1301"/>
      <c r="CH2" s="1301"/>
      <c r="CI2" s="1301"/>
      <c r="CJ2" s="1301"/>
      <c r="CK2" s="1301"/>
      <c r="CL2" s="1301"/>
      <c r="CM2" s="1301"/>
      <c r="CN2" s="1301"/>
      <c r="CO2" s="1301"/>
      <c r="CP2" s="1301"/>
      <c r="CQ2" s="1301"/>
      <c r="CR2" s="1301"/>
      <c r="CS2" s="1301"/>
      <c r="CT2" s="1301"/>
      <c r="CU2" s="1301"/>
      <c r="CV2" s="1301"/>
      <c r="CW2" s="1301"/>
      <c r="CX2" s="1301"/>
      <c r="CY2" s="1301"/>
      <c r="CZ2" s="1301"/>
      <c r="DA2" s="1301"/>
      <c r="DB2" s="1301"/>
      <c r="DC2" s="1301"/>
      <c r="DD2" s="1301"/>
      <c r="DE2" s="1301"/>
      <c r="DF2" s="1301"/>
      <c r="DG2" s="1301"/>
      <c r="DH2" s="1301"/>
      <c r="DI2" s="1301"/>
      <c r="DJ2" s="1301"/>
      <c r="DK2" s="1301"/>
      <c r="DL2" s="1301"/>
      <c r="DM2" s="1301"/>
      <c r="DN2" s="1301"/>
      <c r="DO2" s="1301"/>
      <c r="DP2" s="1301"/>
      <c r="DQ2" s="1301"/>
      <c r="DR2" s="1301"/>
      <c r="DS2" s="1301"/>
      <c r="DT2" s="1301"/>
      <c r="DU2" s="1301"/>
      <c r="DV2" s="1301"/>
      <c r="DW2" s="1301"/>
      <c r="DX2" s="1301"/>
      <c r="DY2" s="1301"/>
      <c r="DZ2" s="1301"/>
      <c r="EA2" s="1301"/>
      <c r="EB2" s="1301"/>
      <c r="EC2" s="1301"/>
      <c r="ED2" s="1301"/>
      <c r="EE2" s="1301"/>
      <c r="EF2" s="1301"/>
      <c r="EG2" s="1301"/>
      <c r="EH2" s="1301"/>
      <c r="EI2" s="1301"/>
      <c r="EJ2" s="1301"/>
      <c r="EK2" s="1301"/>
      <c r="EL2" s="1301"/>
      <c r="EM2" s="1301"/>
      <c r="EN2" s="1301"/>
      <c r="EO2" s="1301"/>
      <c r="EP2" s="1301"/>
      <c r="EQ2" s="1301"/>
      <c r="ER2" s="1301"/>
      <c r="ES2" s="1301"/>
      <c r="ET2" s="1301"/>
      <c r="EU2" s="1301"/>
      <c r="EV2" s="1301"/>
      <c r="EW2" s="1301"/>
      <c r="EX2" s="1301"/>
      <c r="EY2" s="1301"/>
      <c r="EZ2" s="1301"/>
      <c r="FA2" s="1301"/>
      <c r="FB2" s="1301"/>
      <c r="FC2" s="1301"/>
      <c r="FD2" s="1301"/>
      <c r="FE2" s="1301"/>
      <c r="FF2" s="1301"/>
      <c r="FG2" s="1301"/>
      <c r="FH2" s="1301"/>
      <c r="FI2" s="1301"/>
      <c r="FJ2" s="1301"/>
      <c r="FK2" s="1301"/>
      <c r="FL2" s="1301"/>
      <c r="FM2" s="1301"/>
      <c r="FN2" s="1301"/>
      <c r="FO2" s="1301"/>
      <c r="FP2" s="1301"/>
      <c r="FQ2" s="1301"/>
      <c r="FR2" s="1301"/>
      <c r="FS2" s="1301"/>
      <c r="FT2" s="1301"/>
      <c r="FU2" s="1301"/>
      <c r="FV2" s="1301"/>
      <c r="FW2" s="1301"/>
      <c r="FX2" s="1301"/>
      <c r="FY2" s="1301"/>
      <c r="FZ2" s="1301"/>
      <c r="GA2" s="1301"/>
      <c r="GB2" s="1301"/>
      <c r="GC2" s="1301"/>
      <c r="GD2" s="1301"/>
      <c r="GE2" s="1301"/>
      <c r="GF2" s="1301"/>
      <c r="GG2" s="1301"/>
      <c r="GH2" s="1301"/>
      <c r="GI2" s="1301"/>
      <c r="GJ2" s="1301"/>
      <c r="GK2" s="1301"/>
      <c r="GL2" s="1301"/>
      <c r="GM2" s="1301"/>
      <c r="GN2" s="1301"/>
      <c r="GO2" s="1301"/>
      <c r="GP2" s="1301"/>
      <c r="GQ2" s="1301"/>
      <c r="GR2" s="1301"/>
      <c r="GS2" s="1301"/>
      <c r="GT2" s="1301"/>
      <c r="GU2" s="1301"/>
      <c r="GV2" s="1301"/>
      <c r="GW2" s="1301"/>
      <c r="GX2" s="1301"/>
      <c r="GY2" s="1301"/>
      <c r="GZ2" s="1301"/>
      <c r="HA2" s="1301"/>
      <c r="HB2" s="1301"/>
      <c r="HC2" s="1301"/>
      <c r="HD2" s="1301"/>
      <c r="HE2" s="1301"/>
      <c r="HF2" s="1301"/>
      <c r="HG2" s="1301"/>
      <c r="HH2" s="1301"/>
      <c r="HI2" s="1301"/>
      <c r="HJ2" s="1301"/>
      <c r="HK2" s="1301"/>
      <c r="HL2" s="1301"/>
      <c r="HM2" s="1301"/>
      <c r="HN2" s="1301"/>
      <c r="HO2" s="1301"/>
      <c r="HP2" s="1301"/>
      <c r="HQ2" s="1301"/>
      <c r="HR2" s="1301"/>
      <c r="HS2" s="1301"/>
      <c r="HT2" s="1301"/>
      <c r="HU2" s="1301"/>
      <c r="HV2" s="1301"/>
      <c r="HW2" s="1301"/>
      <c r="HX2" s="1301"/>
      <c r="HY2" s="1301"/>
      <c r="HZ2" s="1301"/>
      <c r="IA2" s="1301"/>
      <c r="IB2" s="1301"/>
      <c r="IC2" s="1301"/>
      <c r="ID2" s="1301"/>
      <c r="IE2" s="1301"/>
      <c r="IF2" s="1301"/>
      <c r="IG2" s="1301"/>
      <c r="IH2" s="1301"/>
      <c r="II2" s="1301"/>
      <c r="IJ2" s="1301"/>
      <c r="IK2" s="1301"/>
      <c r="IL2" s="1301"/>
      <c r="IM2" s="1301"/>
      <c r="IN2" s="1301"/>
      <c r="IO2" s="1301"/>
      <c r="IP2" s="1301"/>
      <c r="IQ2" s="1301"/>
      <c r="IR2" s="1301"/>
      <c r="IS2" s="1301"/>
      <c r="IT2" s="1301"/>
      <c r="IU2" s="1301"/>
      <c r="IV2" s="1301"/>
    </row>
    <row r="3" spans="1:256">
      <c r="A3" s="1294"/>
      <c r="B3" s="1302"/>
      <c r="C3" s="1303" t="s">
        <v>2077</v>
      </c>
      <c r="D3" s="1297">
        <f t="shared" si="0"/>
        <v>100000</v>
      </c>
      <c r="E3" s="1304"/>
      <c r="F3" s="1297">
        <f t="shared" si="1"/>
        <v>47084.743631160665</v>
      </c>
      <c r="G3" s="1297">
        <f t="shared" si="2"/>
        <v>52915.256368839335</v>
      </c>
      <c r="H3" s="1304"/>
      <c r="I3" s="1297">
        <f t="shared" si="3"/>
        <v>52915.256368839335</v>
      </c>
      <c r="J3" s="1304"/>
      <c r="K3" s="1299">
        <f t="shared" si="4"/>
        <v>-39592.042189029824</v>
      </c>
      <c r="L3" s="1498">
        <f t="shared" si="5"/>
        <v>3965.7823962218231</v>
      </c>
      <c r="M3" s="1499">
        <f t="shared" si="6"/>
        <v>43557.824585251648</v>
      </c>
      <c r="N3" s="1500">
        <f t="shared" si="7"/>
        <v>5391.6493873658728</v>
      </c>
      <c r="Q3" s="1301"/>
      <c r="R3" s="1301"/>
      <c r="S3" s="1301"/>
      <c r="T3" s="1301"/>
      <c r="U3" s="1301"/>
      <c r="V3" s="1301"/>
      <c r="W3" s="1301"/>
      <c r="X3" s="1301"/>
      <c r="Y3" s="1301"/>
      <c r="Z3" s="1301"/>
      <c r="AA3" s="1301"/>
      <c r="AB3" s="1301"/>
      <c r="AC3" s="1301"/>
      <c r="AD3" s="1301"/>
      <c r="AE3" s="1301"/>
      <c r="AF3" s="1301"/>
      <c r="AG3" s="1301"/>
      <c r="AH3" s="1301"/>
      <c r="AI3" s="1301"/>
      <c r="AJ3" s="1301"/>
      <c r="AK3" s="1301"/>
      <c r="AL3" s="1301"/>
      <c r="AM3" s="1301"/>
      <c r="AN3" s="1301"/>
      <c r="AO3" s="1301"/>
      <c r="AP3" s="1301"/>
      <c r="AQ3" s="1301"/>
      <c r="AR3" s="1301"/>
      <c r="AS3" s="1301"/>
      <c r="AT3" s="1301"/>
      <c r="AU3" s="1301"/>
      <c r="AV3" s="1301"/>
      <c r="AW3" s="1301"/>
      <c r="AX3" s="1301"/>
      <c r="AY3" s="1301"/>
      <c r="AZ3" s="1301"/>
      <c r="BA3" s="1301"/>
      <c r="BB3" s="1301"/>
      <c r="BC3" s="1301"/>
      <c r="BD3" s="1301"/>
      <c r="BE3" s="1301"/>
      <c r="BF3" s="1301"/>
      <c r="BG3" s="1301"/>
      <c r="BH3" s="1301"/>
      <c r="BI3" s="1301"/>
      <c r="BJ3" s="1301"/>
      <c r="BK3" s="1301"/>
      <c r="BL3" s="1301"/>
      <c r="BM3" s="1301"/>
      <c r="BN3" s="1301"/>
      <c r="BO3" s="1301"/>
      <c r="BP3" s="1301"/>
      <c r="BQ3" s="1301"/>
      <c r="BR3" s="1301"/>
      <c r="BS3" s="1301"/>
      <c r="BT3" s="1301"/>
      <c r="BU3" s="1301"/>
      <c r="BV3" s="1301"/>
      <c r="BW3" s="1301"/>
      <c r="BX3" s="1301"/>
      <c r="BY3" s="1301"/>
      <c r="BZ3" s="1301"/>
      <c r="CA3" s="1301"/>
      <c r="CB3" s="1301"/>
      <c r="CC3" s="1301"/>
      <c r="CD3" s="1301"/>
      <c r="CE3" s="1301"/>
      <c r="CF3" s="1301"/>
      <c r="CG3" s="1301"/>
      <c r="CH3" s="1301"/>
      <c r="CI3" s="1301"/>
      <c r="CJ3" s="1301"/>
      <c r="CK3" s="1301"/>
      <c r="CL3" s="1301"/>
      <c r="CM3" s="1301"/>
      <c r="CN3" s="1301"/>
      <c r="CO3" s="1301"/>
      <c r="CP3" s="1301"/>
      <c r="CQ3" s="1301"/>
      <c r="CR3" s="1301"/>
      <c r="CS3" s="1301"/>
      <c r="CT3" s="1301"/>
      <c r="CU3" s="1301"/>
      <c r="CV3" s="1301"/>
      <c r="CW3" s="1301"/>
      <c r="CX3" s="1301"/>
      <c r="CY3" s="1301"/>
      <c r="CZ3" s="1301"/>
      <c r="DA3" s="1301"/>
      <c r="DB3" s="1301"/>
      <c r="DC3" s="1301"/>
      <c r="DD3" s="1301"/>
      <c r="DE3" s="1301"/>
      <c r="DF3" s="1301"/>
      <c r="DG3" s="1301"/>
      <c r="DH3" s="1301"/>
      <c r="DI3" s="1301"/>
      <c r="DJ3" s="1301"/>
      <c r="DK3" s="1301"/>
      <c r="DL3" s="1301"/>
      <c r="DM3" s="1301"/>
      <c r="DN3" s="1301"/>
      <c r="DO3" s="1301"/>
      <c r="DP3" s="1301"/>
      <c r="DQ3" s="1301"/>
      <c r="DR3" s="1301"/>
      <c r="DS3" s="1301"/>
      <c r="DT3" s="1301"/>
      <c r="DU3" s="1301"/>
      <c r="DV3" s="1301"/>
      <c r="DW3" s="1301"/>
      <c r="DX3" s="1301"/>
      <c r="DY3" s="1301"/>
      <c r="DZ3" s="1301"/>
      <c r="EA3" s="1301"/>
      <c r="EB3" s="1301"/>
      <c r="EC3" s="1301"/>
      <c r="ED3" s="1301"/>
      <c r="EE3" s="1301"/>
      <c r="EF3" s="1301"/>
      <c r="EG3" s="1301"/>
      <c r="EH3" s="1301"/>
      <c r="EI3" s="1301"/>
      <c r="EJ3" s="1301"/>
      <c r="EK3" s="1301"/>
      <c r="EL3" s="1301"/>
      <c r="EM3" s="1301"/>
      <c r="EN3" s="1301"/>
      <c r="EO3" s="1301"/>
      <c r="EP3" s="1301"/>
      <c r="EQ3" s="1301"/>
      <c r="ER3" s="1301"/>
      <c r="ES3" s="1301"/>
      <c r="ET3" s="1301"/>
      <c r="EU3" s="1301"/>
      <c r="EV3" s="1301"/>
      <c r="EW3" s="1301"/>
      <c r="EX3" s="1301"/>
      <c r="EY3" s="1301"/>
      <c r="EZ3" s="1301"/>
      <c r="FA3" s="1301"/>
      <c r="FB3" s="1301"/>
      <c r="FC3" s="1301"/>
      <c r="FD3" s="1301"/>
      <c r="FE3" s="1301"/>
      <c r="FF3" s="1301"/>
      <c r="FG3" s="1301"/>
      <c r="FH3" s="1301"/>
      <c r="FI3" s="1301"/>
      <c r="FJ3" s="1301"/>
      <c r="FK3" s="1301"/>
      <c r="FL3" s="1301"/>
      <c r="FM3" s="1301"/>
      <c r="FN3" s="1301"/>
      <c r="FO3" s="1301"/>
      <c r="FP3" s="1301"/>
      <c r="FQ3" s="1301"/>
      <c r="FR3" s="1301"/>
      <c r="FS3" s="1301"/>
      <c r="FT3" s="1301"/>
      <c r="FU3" s="1301"/>
      <c r="FV3" s="1301"/>
      <c r="FW3" s="1301"/>
      <c r="FX3" s="1301"/>
      <c r="FY3" s="1301"/>
      <c r="FZ3" s="1301"/>
      <c r="GA3" s="1301"/>
      <c r="GB3" s="1301"/>
      <c r="GC3" s="1301"/>
      <c r="GD3" s="1301"/>
      <c r="GE3" s="1301"/>
      <c r="GF3" s="1301"/>
      <c r="GG3" s="1301"/>
      <c r="GH3" s="1301"/>
      <c r="GI3" s="1301"/>
      <c r="GJ3" s="1301"/>
      <c r="GK3" s="1301"/>
      <c r="GL3" s="1301"/>
      <c r="GM3" s="1301"/>
      <c r="GN3" s="1301"/>
      <c r="GO3" s="1301"/>
      <c r="GP3" s="1301"/>
      <c r="GQ3" s="1301"/>
      <c r="GR3" s="1301"/>
      <c r="GS3" s="1301"/>
      <c r="GT3" s="1301"/>
      <c r="GU3" s="1301"/>
      <c r="GV3" s="1301"/>
      <c r="GW3" s="1301"/>
      <c r="GX3" s="1301"/>
      <c r="GY3" s="1301"/>
      <c r="GZ3" s="1301"/>
      <c r="HA3" s="1301"/>
      <c r="HB3" s="1301"/>
      <c r="HC3" s="1301"/>
      <c r="HD3" s="1301"/>
      <c r="HE3" s="1301"/>
      <c r="HF3" s="1301"/>
      <c r="HG3" s="1301"/>
      <c r="HH3" s="1301"/>
      <c r="HI3" s="1301"/>
      <c r="HJ3" s="1301"/>
      <c r="HK3" s="1301"/>
      <c r="HL3" s="1301"/>
      <c r="HM3" s="1301"/>
      <c r="HN3" s="1301"/>
      <c r="HO3" s="1301"/>
      <c r="HP3" s="1301"/>
      <c r="HQ3" s="1301"/>
      <c r="HR3" s="1301"/>
      <c r="HS3" s="1301"/>
      <c r="HT3" s="1301"/>
      <c r="HU3" s="1301"/>
      <c r="HV3" s="1301"/>
      <c r="HW3" s="1301"/>
      <c r="HX3" s="1301"/>
      <c r="HY3" s="1301"/>
      <c r="HZ3" s="1301"/>
      <c r="IA3" s="1301"/>
      <c r="IB3" s="1301"/>
      <c r="IC3" s="1301"/>
      <c r="ID3" s="1301"/>
      <c r="IE3" s="1301"/>
      <c r="IF3" s="1301"/>
      <c r="IG3" s="1301"/>
      <c r="IH3" s="1301"/>
      <c r="II3" s="1301"/>
      <c r="IJ3" s="1301"/>
      <c r="IK3" s="1301"/>
      <c r="IL3" s="1301"/>
      <c r="IM3" s="1301"/>
      <c r="IN3" s="1301"/>
      <c r="IO3" s="1301"/>
      <c r="IP3" s="1301"/>
      <c r="IQ3" s="1301"/>
      <c r="IR3" s="1301"/>
      <c r="IS3" s="1301"/>
      <c r="IT3" s="1301"/>
      <c r="IU3" s="1301"/>
      <c r="IV3" s="1301"/>
    </row>
    <row r="4" spans="1:256">
      <c r="A4" s="1294"/>
      <c r="B4" s="1302"/>
      <c r="C4" s="1303" t="s">
        <v>2078</v>
      </c>
      <c r="D4" s="1297">
        <f t="shared" si="0"/>
        <v>100000</v>
      </c>
      <c r="E4" s="1304"/>
      <c r="F4" s="1297">
        <f t="shared" si="1"/>
        <v>34100</v>
      </c>
      <c r="G4" s="1297">
        <f t="shared" si="2"/>
        <v>65900</v>
      </c>
      <c r="H4" s="1304"/>
      <c r="I4" s="1297">
        <f t="shared" si="3"/>
        <v>65900</v>
      </c>
      <c r="J4" s="1304"/>
      <c r="K4" s="1299">
        <f t="shared" si="4"/>
        <v>-38720</v>
      </c>
      <c r="L4" s="1498">
        <f t="shared" si="5"/>
        <v>6590</v>
      </c>
      <c r="M4" s="1499">
        <f t="shared" si="6"/>
        <v>45310</v>
      </c>
      <c r="N4" s="1500">
        <f t="shared" si="7"/>
        <v>14000</v>
      </c>
      <c r="O4" s="1306" t="s">
        <v>2375</v>
      </c>
      <c r="P4" s="1307">
        <f>N9-P1-P2-P3</f>
        <v>569639.71005122934</v>
      </c>
      <c r="Q4" s="1301"/>
      <c r="R4" s="1301"/>
      <c r="S4" s="1301"/>
      <c r="T4" s="1301"/>
      <c r="U4" s="1301"/>
      <c r="V4" s="1301"/>
      <c r="W4" s="1301"/>
      <c r="X4" s="1301"/>
      <c r="Y4" s="1301"/>
      <c r="Z4" s="1301"/>
      <c r="AA4" s="1301"/>
      <c r="AB4" s="1301"/>
      <c r="AC4" s="1301"/>
      <c r="AD4" s="1301"/>
      <c r="AE4" s="1301"/>
      <c r="AF4" s="1301"/>
      <c r="AG4" s="1301"/>
      <c r="AH4" s="1301"/>
      <c r="AI4" s="1301"/>
      <c r="AJ4" s="1301"/>
      <c r="AK4" s="1301"/>
      <c r="AL4" s="1301"/>
      <c r="AM4" s="1301"/>
      <c r="AN4" s="1301"/>
      <c r="AO4" s="1301"/>
      <c r="AP4" s="1301"/>
      <c r="AQ4" s="1301"/>
      <c r="AR4" s="1301"/>
      <c r="AS4" s="1301"/>
      <c r="AT4" s="1301"/>
      <c r="AU4" s="1301"/>
      <c r="AV4" s="1301"/>
      <c r="AW4" s="1301"/>
      <c r="AX4" s="1301"/>
      <c r="AY4" s="1301"/>
      <c r="AZ4" s="1301"/>
      <c r="BA4" s="1301"/>
      <c r="BB4" s="1301"/>
      <c r="BC4" s="1301"/>
      <c r="BD4" s="1301"/>
      <c r="BE4" s="1301"/>
      <c r="BF4" s="1301"/>
      <c r="BG4" s="1301"/>
      <c r="BH4" s="1301"/>
      <c r="BI4" s="1301"/>
      <c r="BJ4" s="1301"/>
      <c r="BK4" s="1301"/>
      <c r="BL4" s="1301"/>
      <c r="BM4" s="1301"/>
      <c r="BN4" s="1301"/>
      <c r="BO4" s="1301"/>
      <c r="BP4" s="1301"/>
      <c r="BQ4" s="1301"/>
      <c r="BR4" s="1301"/>
      <c r="BS4" s="1301"/>
      <c r="BT4" s="1301"/>
      <c r="BU4" s="1301"/>
      <c r="BV4" s="1301"/>
      <c r="BW4" s="1301"/>
      <c r="BX4" s="1301"/>
      <c r="BY4" s="1301"/>
      <c r="BZ4" s="1301"/>
      <c r="CA4" s="1301"/>
      <c r="CB4" s="1301"/>
      <c r="CC4" s="1301"/>
      <c r="CD4" s="1301"/>
      <c r="CE4" s="1301"/>
      <c r="CF4" s="1301"/>
      <c r="CG4" s="1301"/>
      <c r="CH4" s="1301"/>
      <c r="CI4" s="1301"/>
      <c r="CJ4" s="1301"/>
      <c r="CK4" s="1301"/>
      <c r="CL4" s="1301"/>
      <c r="CM4" s="1301"/>
      <c r="CN4" s="1301"/>
      <c r="CO4" s="1301"/>
      <c r="CP4" s="1301"/>
      <c r="CQ4" s="1301"/>
      <c r="CR4" s="1301"/>
      <c r="CS4" s="1301"/>
      <c r="CT4" s="1301"/>
      <c r="CU4" s="1301"/>
      <c r="CV4" s="1301"/>
      <c r="CW4" s="1301"/>
      <c r="CX4" s="1301"/>
      <c r="CY4" s="1301"/>
      <c r="CZ4" s="1301"/>
      <c r="DA4" s="1301"/>
      <c r="DB4" s="1301"/>
      <c r="DC4" s="1301"/>
      <c r="DD4" s="1301"/>
      <c r="DE4" s="1301"/>
      <c r="DF4" s="1301"/>
      <c r="DG4" s="1301"/>
      <c r="DH4" s="1301"/>
      <c r="DI4" s="1301"/>
      <c r="DJ4" s="1301"/>
      <c r="DK4" s="1301"/>
      <c r="DL4" s="1301"/>
      <c r="DM4" s="1301"/>
      <c r="DN4" s="1301"/>
      <c r="DO4" s="1301"/>
      <c r="DP4" s="1301"/>
      <c r="DQ4" s="1301"/>
      <c r="DR4" s="1301"/>
      <c r="DS4" s="1301"/>
      <c r="DT4" s="1301"/>
      <c r="DU4" s="1301"/>
      <c r="DV4" s="1301"/>
      <c r="DW4" s="1301"/>
      <c r="DX4" s="1301"/>
      <c r="DY4" s="1301"/>
      <c r="DZ4" s="1301"/>
      <c r="EA4" s="1301"/>
      <c r="EB4" s="1301"/>
      <c r="EC4" s="1301"/>
      <c r="ED4" s="1301"/>
      <c r="EE4" s="1301"/>
      <c r="EF4" s="1301"/>
      <c r="EG4" s="1301"/>
      <c r="EH4" s="1301"/>
      <c r="EI4" s="1301"/>
      <c r="EJ4" s="1301"/>
      <c r="EK4" s="1301"/>
      <c r="EL4" s="1301"/>
      <c r="EM4" s="1301"/>
      <c r="EN4" s="1301"/>
      <c r="EO4" s="1301"/>
      <c r="EP4" s="1301"/>
      <c r="EQ4" s="1301"/>
      <c r="ER4" s="1301"/>
      <c r="ES4" s="1301"/>
      <c r="ET4" s="1301"/>
      <c r="EU4" s="1301"/>
      <c r="EV4" s="1301"/>
      <c r="EW4" s="1301"/>
      <c r="EX4" s="1301"/>
      <c r="EY4" s="1301"/>
      <c r="EZ4" s="1301"/>
      <c r="FA4" s="1301"/>
      <c r="FB4" s="1301"/>
      <c r="FC4" s="1301"/>
      <c r="FD4" s="1301"/>
      <c r="FE4" s="1301"/>
      <c r="FF4" s="1301"/>
      <c r="FG4" s="1301"/>
      <c r="FH4" s="1301"/>
      <c r="FI4" s="1301"/>
      <c r="FJ4" s="1301"/>
      <c r="FK4" s="1301"/>
      <c r="FL4" s="1301"/>
      <c r="FM4" s="1301"/>
      <c r="FN4" s="1301"/>
      <c r="FO4" s="1301"/>
      <c r="FP4" s="1301"/>
      <c r="FQ4" s="1301"/>
      <c r="FR4" s="1301"/>
      <c r="FS4" s="1301"/>
      <c r="FT4" s="1301"/>
      <c r="FU4" s="1301"/>
      <c r="FV4" s="1301"/>
      <c r="FW4" s="1301"/>
      <c r="FX4" s="1301"/>
      <c r="FY4" s="1301"/>
      <c r="FZ4" s="1301"/>
      <c r="GA4" s="1301"/>
      <c r="GB4" s="1301"/>
      <c r="GC4" s="1301"/>
      <c r="GD4" s="1301"/>
      <c r="GE4" s="1301"/>
      <c r="GF4" s="1301"/>
      <c r="GG4" s="1301"/>
      <c r="GH4" s="1301"/>
      <c r="GI4" s="1301"/>
      <c r="GJ4" s="1301"/>
      <c r="GK4" s="1301"/>
      <c r="GL4" s="1301"/>
      <c r="GM4" s="1301"/>
      <c r="GN4" s="1301"/>
      <c r="GO4" s="1301"/>
      <c r="GP4" s="1301"/>
      <c r="GQ4" s="1301"/>
      <c r="GR4" s="1301"/>
      <c r="GS4" s="1301"/>
      <c r="GT4" s="1301"/>
      <c r="GU4" s="1301"/>
      <c r="GV4" s="1301"/>
      <c r="GW4" s="1301"/>
      <c r="GX4" s="1301"/>
      <c r="GY4" s="1301"/>
      <c r="GZ4" s="1301"/>
      <c r="HA4" s="1301"/>
      <c r="HB4" s="1301"/>
      <c r="HC4" s="1301"/>
      <c r="HD4" s="1301"/>
      <c r="HE4" s="1301"/>
      <c r="HF4" s="1301"/>
      <c r="HG4" s="1301"/>
      <c r="HH4" s="1301"/>
      <c r="HI4" s="1301"/>
      <c r="HJ4" s="1301"/>
      <c r="HK4" s="1301"/>
      <c r="HL4" s="1301"/>
      <c r="HM4" s="1301"/>
      <c r="HN4" s="1301"/>
      <c r="HO4" s="1301"/>
      <c r="HP4" s="1301"/>
      <c r="HQ4" s="1301"/>
      <c r="HR4" s="1301"/>
      <c r="HS4" s="1301"/>
      <c r="HT4" s="1301"/>
      <c r="HU4" s="1301"/>
      <c r="HV4" s="1301"/>
      <c r="HW4" s="1301"/>
      <c r="HX4" s="1301"/>
      <c r="HY4" s="1301"/>
      <c r="HZ4" s="1301"/>
      <c r="IA4" s="1301"/>
      <c r="IB4" s="1301"/>
      <c r="IC4" s="1301"/>
      <c r="ID4" s="1301"/>
      <c r="IE4" s="1301"/>
      <c r="IF4" s="1301"/>
      <c r="IG4" s="1301"/>
      <c r="IH4" s="1301"/>
      <c r="II4" s="1301"/>
      <c r="IJ4" s="1301"/>
      <c r="IK4" s="1301"/>
      <c r="IL4" s="1301"/>
      <c r="IM4" s="1301"/>
      <c r="IN4" s="1301"/>
      <c r="IO4" s="1301"/>
      <c r="IP4" s="1301"/>
      <c r="IQ4" s="1301"/>
      <c r="IR4" s="1301"/>
      <c r="IS4" s="1301"/>
      <c r="IT4" s="1301"/>
      <c r="IU4" s="1301"/>
      <c r="IV4" s="1301"/>
    </row>
    <row r="5" spans="1:256">
      <c r="A5" s="1294"/>
      <c r="B5" s="1302"/>
      <c r="C5" s="1303" t="s">
        <v>2079</v>
      </c>
      <c r="D5" s="1297">
        <f t="shared" si="0"/>
        <v>100000</v>
      </c>
      <c r="E5" s="1304"/>
      <c r="F5" s="1297">
        <f t="shared" si="1"/>
        <v>24886.052531605779</v>
      </c>
      <c r="G5" s="1297">
        <f t="shared" si="2"/>
        <v>75113.947468394224</v>
      </c>
      <c r="H5" s="1304"/>
      <c r="I5" s="1297">
        <f t="shared" si="3"/>
        <v>75113.947468394224</v>
      </c>
      <c r="J5" s="1304"/>
      <c r="K5" s="1299">
        <f t="shared" si="4"/>
        <v>-48218.288301622262</v>
      </c>
      <c r="L5" s="1498">
        <f t="shared" si="5"/>
        <v>7511.3947468394217</v>
      </c>
      <c r="M5" s="1499">
        <f t="shared" si="6"/>
        <v>55729.683048461688</v>
      </c>
      <c r="N5" s="1500">
        <f t="shared" si="7"/>
        <v>11872.86967309311</v>
      </c>
      <c r="O5" s="1308"/>
      <c r="P5" s="1301"/>
      <c r="Q5" s="1301"/>
      <c r="R5" s="1301"/>
      <c r="S5" s="1301"/>
      <c r="T5" s="1301"/>
      <c r="U5" s="1301"/>
      <c r="V5" s="1301"/>
      <c r="W5" s="1301"/>
      <c r="X5" s="1301"/>
      <c r="Y5" s="1301"/>
      <c r="Z5" s="1301"/>
      <c r="AA5" s="1301"/>
      <c r="AB5" s="1301"/>
      <c r="AC5" s="1301"/>
      <c r="AD5" s="1301"/>
      <c r="AE5" s="1301"/>
      <c r="AF5" s="1301"/>
      <c r="AG5" s="1301"/>
      <c r="AH5" s="1301"/>
      <c r="AI5" s="1301"/>
      <c r="AJ5" s="1301"/>
      <c r="AK5" s="1301"/>
      <c r="AL5" s="1301"/>
      <c r="AM5" s="1301"/>
      <c r="AN5" s="1301"/>
      <c r="AO5" s="1301"/>
      <c r="AP5" s="1301"/>
      <c r="AQ5" s="1301"/>
      <c r="AR5" s="1301"/>
      <c r="AS5" s="1301"/>
      <c r="AT5" s="1301"/>
      <c r="AU5" s="1301"/>
      <c r="AV5" s="1301"/>
      <c r="AW5" s="1301"/>
      <c r="AX5" s="1301"/>
      <c r="AY5" s="1301"/>
      <c r="AZ5" s="1301"/>
      <c r="BA5" s="1301"/>
      <c r="BB5" s="1301"/>
      <c r="BC5" s="1301"/>
      <c r="BD5" s="1301"/>
      <c r="BE5" s="1301"/>
      <c r="BF5" s="1301"/>
      <c r="BG5" s="1301"/>
      <c r="BH5" s="1301"/>
      <c r="BI5" s="1301"/>
      <c r="BJ5" s="1301"/>
      <c r="BK5" s="1301"/>
      <c r="BL5" s="1301"/>
      <c r="BM5" s="1301"/>
      <c r="BN5" s="1301"/>
      <c r="BO5" s="1301"/>
      <c r="BP5" s="1301"/>
      <c r="BQ5" s="1301"/>
      <c r="BR5" s="1301"/>
      <c r="BS5" s="1301"/>
      <c r="BT5" s="1301"/>
      <c r="BU5" s="1301"/>
      <c r="BV5" s="1301"/>
      <c r="BW5" s="1301"/>
      <c r="BX5" s="1301"/>
      <c r="BY5" s="1301"/>
      <c r="BZ5" s="1301"/>
      <c r="CA5" s="1301"/>
      <c r="CB5" s="1301"/>
      <c r="CC5" s="1301"/>
      <c r="CD5" s="1301"/>
      <c r="CE5" s="1301"/>
      <c r="CF5" s="1301"/>
      <c r="CG5" s="1301"/>
      <c r="CH5" s="1301"/>
      <c r="CI5" s="1301"/>
      <c r="CJ5" s="1301"/>
      <c r="CK5" s="1301"/>
      <c r="CL5" s="1301"/>
      <c r="CM5" s="1301"/>
      <c r="CN5" s="1301"/>
      <c r="CO5" s="1301"/>
      <c r="CP5" s="1301"/>
      <c r="CQ5" s="1301"/>
      <c r="CR5" s="1301"/>
      <c r="CS5" s="1301"/>
      <c r="CT5" s="1301"/>
      <c r="CU5" s="1301"/>
      <c r="CV5" s="1301"/>
      <c r="CW5" s="1301"/>
      <c r="CX5" s="1301"/>
      <c r="CY5" s="1301"/>
      <c r="CZ5" s="1301"/>
      <c r="DA5" s="1301"/>
      <c r="DB5" s="1301"/>
      <c r="DC5" s="1301"/>
      <c r="DD5" s="1301"/>
      <c r="DE5" s="1301"/>
      <c r="DF5" s="1301"/>
      <c r="DG5" s="1301"/>
      <c r="DH5" s="1301"/>
      <c r="DI5" s="1301"/>
      <c r="DJ5" s="1301"/>
      <c r="DK5" s="1301"/>
      <c r="DL5" s="1301"/>
      <c r="DM5" s="1301"/>
      <c r="DN5" s="1301"/>
      <c r="DO5" s="1301"/>
      <c r="DP5" s="1301"/>
      <c r="DQ5" s="1301"/>
      <c r="DR5" s="1301"/>
      <c r="DS5" s="1301"/>
      <c r="DT5" s="1301"/>
      <c r="DU5" s="1301"/>
      <c r="DV5" s="1301"/>
      <c r="DW5" s="1301"/>
      <c r="DX5" s="1301"/>
      <c r="DY5" s="1301"/>
      <c r="DZ5" s="1301"/>
      <c r="EA5" s="1301"/>
      <c r="EB5" s="1301"/>
      <c r="EC5" s="1301"/>
      <c r="ED5" s="1301"/>
      <c r="EE5" s="1301"/>
      <c r="EF5" s="1301"/>
      <c r="EG5" s="1301"/>
      <c r="EH5" s="1301"/>
      <c r="EI5" s="1301"/>
      <c r="EJ5" s="1301"/>
      <c r="EK5" s="1301"/>
      <c r="EL5" s="1301"/>
      <c r="EM5" s="1301"/>
      <c r="EN5" s="1301"/>
      <c r="EO5" s="1301"/>
      <c r="EP5" s="1301"/>
      <c r="EQ5" s="1301"/>
      <c r="ER5" s="1301"/>
      <c r="ES5" s="1301"/>
      <c r="ET5" s="1301"/>
      <c r="EU5" s="1301"/>
      <c r="EV5" s="1301"/>
      <c r="EW5" s="1301"/>
      <c r="EX5" s="1301"/>
      <c r="EY5" s="1301"/>
      <c r="EZ5" s="1301"/>
      <c r="FA5" s="1301"/>
      <c r="FB5" s="1301"/>
      <c r="FC5" s="1301"/>
      <c r="FD5" s="1301"/>
      <c r="FE5" s="1301"/>
      <c r="FF5" s="1301"/>
      <c r="FG5" s="1301"/>
      <c r="FH5" s="1301"/>
      <c r="FI5" s="1301"/>
      <c r="FJ5" s="1301"/>
      <c r="FK5" s="1301"/>
      <c r="FL5" s="1301"/>
      <c r="FM5" s="1301"/>
      <c r="FN5" s="1301"/>
      <c r="FO5" s="1301"/>
      <c r="FP5" s="1301"/>
      <c r="FQ5" s="1301"/>
      <c r="FR5" s="1301"/>
      <c r="FS5" s="1301"/>
      <c r="FT5" s="1301"/>
      <c r="FU5" s="1301"/>
      <c r="FV5" s="1301"/>
      <c r="FW5" s="1301"/>
      <c r="FX5" s="1301"/>
      <c r="FY5" s="1301"/>
      <c r="FZ5" s="1301"/>
      <c r="GA5" s="1301"/>
      <c r="GB5" s="1301"/>
      <c r="GC5" s="1301"/>
      <c r="GD5" s="1301"/>
      <c r="GE5" s="1301"/>
      <c r="GF5" s="1301"/>
      <c r="GG5" s="1301"/>
      <c r="GH5" s="1301"/>
      <c r="GI5" s="1301"/>
      <c r="GJ5" s="1301"/>
      <c r="GK5" s="1301"/>
      <c r="GL5" s="1301"/>
      <c r="GM5" s="1301"/>
      <c r="GN5" s="1301"/>
      <c r="GO5" s="1301"/>
      <c r="GP5" s="1301"/>
      <c r="GQ5" s="1301"/>
      <c r="GR5" s="1301"/>
      <c r="GS5" s="1301"/>
      <c r="GT5" s="1301"/>
      <c r="GU5" s="1301"/>
      <c r="GV5" s="1301"/>
      <c r="GW5" s="1301"/>
      <c r="GX5" s="1301"/>
      <c r="GY5" s="1301"/>
      <c r="GZ5" s="1301"/>
      <c r="HA5" s="1301"/>
      <c r="HB5" s="1301"/>
      <c r="HC5" s="1301"/>
      <c r="HD5" s="1301"/>
      <c r="HE5" s="1301"/>
      <c r="HF5" s="1301"/>
      <c r="HG5" s="1301"/>
      <c r="HH5" s="1301"/>
      <c r="HI5" s="1301"/>
      <c r="HJ5" s="1301"/>
      <c r="HK5" s="1301"/>
      <c r="HL5" s="1301"/>
      <c r="HM5" s="1301"/>
      <c r="HN5" s="1301"/>
      <c r="HO5" s="1301"/>
      <c r="HP5" s="1301"/>
      <c r="HQ5" s="1301"/>
      <c r="HR5" s="1301"/>
      <c r="HS5" s="1301"/>
      <c r="HT5" s="1301"/>
      <c r="HU5" s="1301"/>
      <c r="HV5" s="1301"/>
      <c r="HW5" s="1301"/>
      <c r="HX5" s="1301"/>
      <c r="HY5" s="1301"/>
      <c r="HZ5" s="1301"/>
      <c r="IA5" s="1301"/>
      <c r="IB5" s="1301"/>
      <c r="IC5" s="1301"/>
      <c r="ID5" s="1301"/>
      <c r="IE5" s="1301"/>
      <c r="IF5" s="1301"/>
      <c r="IG5" s="1301"/>
      <c r="IH5" s="1301"/>
      <c r="II5" s="1301"/>
      <c r="IJ5" s="1301"/>
      <c r="IK5" s="1301"/>
      <c r="IL5" s="1301"/>
      <c r="IM5" s="1301"/>
      <c r="IN5" s="1301"/>
      <c r="IO5" s="1301"/>
      <c r="IP5" s="1301"/>
      <c r="IQ5" s="1301"/>
      <c r="IR5" s="1301"/>
      <c r="IS5" s="1301"/>
      <c r="IT5" s="1301"/>
      <c r="IU5" s="1301"/>
      <c r="IV5" s="1301"/>
    </row>
    <row r="6" spans="1:256">
      <c r="A6" s="1294"/>
      <c r="B6" s="1302"/>
      <c r="C6" s="1303" t="s">
        <v>2080</v>
      </c>
      <c r="D6" s="1297">
        <f t="shared" si="0"/>
        <v>250000</v>
      </c>
      <c r="E6" s="1304"/>
      <c r="F6" s="1297">
        <f t="shared" si="1"/>
        <v>121805.21768381915</v>
      </c>
      <c r="G6" s="1297">
        <f t="shared" si="2"/>
        <v>128194.78231618086</v>
      </c>
      <c r="H6" s="1304"/>
      <c r="I6" s="1297">
        <f t="shared" si="3"/>
        <v>128194.78231618086</v>
      </c>
      <c r="J6" s="1304"/>
      <c r="K6" s="1299">
        <f t="shared" si="4"/>
        <v>-71272.644037595819</v>
      </c>
      <c r="L6" s="1498">
        <f t="shared" si="5"/>
        <v>12819.478231618088</v>
      </c>
      <c r="M6" s="1499">
        <f t="shared" si="6"/>
        <v>84092.122269213913</v>
      </c>
      <c r="N6" s="1500">
        <f t="shared" si="7"/>
        <v>31283.181815348849</v>
      </c>
      <c r="O6" s="1308"/>
      <c r="P6" s="1301"/>
      <c r="Q6" s="1301"/>
      <c r="R6" s="1301"/>
      <c r="S6" s="1301"/>
      <c r="T6" s="1301"/>
      <c r="U6" s="1301"/>
      <c r="V6" s="1301"/>
      <c r="W6" s="1301"/>
      <c r="X6" s="1301"/>
      <c r="Y6" s="1301"/>
      <c r="Z6" s="1301"/>
      <c r="AA6" s="1301"/>
      <c r="AB6" s="1301"/>
      <c r="AC6" s="1301"/>
      <c r="AD6" s="1301"/>
      <c r="AE6" s="1301"/>
      <c r="AF6" s="1301"/>
      <c r="AG6" s="1301"/>
      <c r="AH6" s="1301"/>
      <c r="AI6" s="1301"/>
      <c r="AJ6" s="1301"/>
      <c r="AK6" s="1301"/>
      <c r="AL6" s="1301"/>
      <c r="AM6" s="1301"/>
      <c r="AN6" s="1301"/>
      <c r="AO6" s="1301"/>
      <c r="AP6" s="1301"/>
      <c r="AQ6" s="1301"/>
      <c r="AR6" s="1301"/>
      <c r="AS6" s="1301"/>
      <c r="AT6" s="1301"/>
      <c r="AU6" s="1301"/>
      <c r="AV6" s="1301"/>
      <c r="AW6" s="1301"/>
      <c r="AX6" s="1301"/>
      <c r="AY6" s="1301"/>
      <c r="AZ6" s="1301"/>
      <c r="BA6" s="1301"/>
      <c r="BB6" s="1301"/>
      <c r="BC6" s="1301"/>
      <c r="BD6" s="1301"/>
      <c r="BE6" s="1301"/>
      <c r="BF6" s="1301"/>
      <c r="BG6" s="1301"/>
      <c r="BH6" s="1301"/>
      <c r="BI6" s="1301"/>
      <c r="BJ6" s="1301"/>
      <c r="BK6" s="1301"/>
      <c r="BL6" s="1301"/>
      <c r="BM6" s="1301"/>
      <c r="BN6" s="1301"/>
      <c r="BO6" s="1301"/>
      <c r="BP6" s="1301"/>
      <c r="BQ6" s="1301"/>
      <c r="BR6" s="1301"/>
      <c r="BS6" s="1301"/>
      <c r="BT6" s="1301"/>
      <c r="BU6" s="1301"/>
      <c r="BV6" s="1301"/>
      <c r="BW6" s="1301"/>
      <c r="BX6" s="1301"/>
      <c r="BY6" s="1301"/>
      <c r="BZ6" s="1301"/>
      <c r="CA6" s="1301"/>
      <c r="CB6" s="1301"/>
      <c r="CC6" s="1301"/>
      <c r="CD6" s="1301"/>
      <c r="CE6" s="1301"/>
      <c r="CF6" s="1301"/>
      <c r="CG6" s="1301"/>
      <c r="CH6" s="1301"/>
      <c r="CI6" s="1301"/>
      <c r="CJ6" s="1301"/>
      <c r="CK6" s="1301"/>
      <c r="CL6" s="1301"/>
      <c r="CM6" s="1301"/>
      <c r="CN6" s="1301"/>
      <c r="CO6" s="1301"/>
      <c r="CP6" s="1301"/>
      <c r="CQ6" s="1301"/>
      <c r="CR6" s="1301"/>
      <c r="CS6" s="1301"/>
      <c r="CT6" s="1301"/>
      <c r="CU6" s="1301"/>
      <c r="CV6" s="1301"/>
      <c r="CW6" s="1301"/>
      <c r="CX6" s="1301"/>
      <c r="CY6" s="1301"/>
      <c r="CZ6" s="1301"/>
      <c r="DA6" s="1301"/>
      <c r="DB6" s="1301"/>
      <c r="DC6" s="1301"/>
      <c r="DD6" s="1301"/>
      <c r="DE6" s="1301"/>
      <c r="DF6" s="1301"/>
      <c r="DG6" s="1301"/>
      <c r="DH6" s="1301"/>
      <c r="DI6" s="1301"/>
      <c r="DJ6" s="1301"/>
      <c r="DK6" s="1301"/>
      <c r="DL6" s="1301"/>
      <c r="DM6" s="1301"/>
      <c r="DN6" s="1301"/>
      <c r="DO6" s="1301"/>
      <c r="DP6" s="1301"/>
      <c r="DQ6" s="1301"/>
      <c r="DR6" s="1301"/>
      <c r="DS6" s="1301"/>
      <c r="DT6" s="1301"/>
      <c r="DU6" s="1301"/>
      <c r="DV6" s="1301"/>
      <c r="DW6" s="1301"/>
      <c r="DX6" s="1301"/>
      <c r="DY6" s="1301"/>
      <c r="DZ6" s="1301"/>
      <c r="EA6" s="1301"/>
      <c r="EB6" s="1301"/>
      <c r="EC6" s="1301"/>
      <c r="ED6" s="1301"/>
      <c r="EE6" s="1301"/>
      <c r="EF6" s="1301"/>
      <c r="EG6" s="1301"/>
      <c r="EH6" s="1301"/>
      <c r="EI6" s="1301"/>
      <c r="EJ6" s="1301"/>
      <c r="EK6" s="1301"/>
      <c r="EL6" s="1301"/>
      <c r="EM6" s="1301"/>
      <c r="EN6" s="1301"/>
      <c r="EO6" s="1301"/>
      <c r="EP6" s="1301"/>
      <c r="EQ6" s="1301"/>
      <c r="ER6" s="1301"/>
      <c r="ES6" s="1301"/>
      <c r="ET6" s="1301"/>
      <c r="EU6" s="1301"/>
      <c r="EV6" s="1301"/>
      <c r="EW6" s="1301"/>
      <c r="EX6" s="1301"/>
      <c r="EY6" s="1301"/>
      <c r="EZ6" s="1301"/>
      <c r="FA6" s="1301"/>
      <c r="FB6" s="1301"/>
      <c r="FC6" s="1301"/>
      <c r="FD6" s="1301"/>
      <c r="FE6" s="1301"/>
      <c r="FF6" s="1301"/>
      <c r="FG6" s="1301"/>
      <c r="FH6" s="1301"/>
      <c r="FI6" s="1301"/>
      <c r="FJ6" s="1301"/>
      <c r="FK6" s="1301"/>
      <c r="FL6" s="1301"/>
      <c r="FM6" s="1301"/>
      <c r="FN6" s="1301"/>
      <c r="FO6" s="1301"/>
      <c r="FP6" s="1301"/>
      <c r="FQ6" s="1301"/>
      <c r="FR6" s="1301"/>
      <c r="FS6" s="1301"/>
      <c r="FT6" s="1301"/>
      <c r="FU6" s="1301"/>
      <c r="FV6" s="1301"/>
      <c r="FW6" s="1301"/>
      <c r="FX6" s="1301"/>
      <c r="FY6" s="1301"/>
      <c r="FZ6" s="1301"/>
      <c r="GA6" s="1301"/>
      <c r="GB6" s="1301"/>
      <c r="GC6" s="1301"/>
      <c r="GD6" s="1301"/>
      <c r="GE6" s="1301"/>
      <c r="GF6" s="1301"/>
      <c r="GG6" s="1301"/>
      <c r="GH6" s="1301"/>
      <c r="GI6" s="1301"/>
      <c r="GJ6" s="1301"/>
      <c r="GK6" s="1301"/>
      <c r="GL6" s="1301"/>
      <c r="GM6" s="1301"/>
      <c r="GN6" s="1301"/>
      <c r="GO6" s="1301"/>
      <c r="GP6" s="1301"/>
      <c r="GQ6" s="1301"/>
      <c r="GR6" s="1301"/>
      <c r="GS6" s="1301"/>
      <c r="GT6" s="1301"/>
      <c r="GU6" s="1301"/>
      <c r="GV6" s="1301"/>
      <c r="GW6" s="1301"/>
      <c r="GX6" s="1301"/>
      <c r="GY6" s="1301"/>
      <c r="GZ6" s="1301"/>
      <c r="HA6" s="1301"/>
      <c r="HB6" s="1301"/>
      <c r="HC6" s="1301"/>
      <c r="HD6" s="1301"/>
      <c r="HE6" s="1301"/>
      <c r="HF6" s="1301"/>
      <c r="HG6" s="1301"/>
      <c r="HH6" s="1301"/>
      <c r="HI6" s="1301"/>
      <c r="HJ6" s="1301"/>
      <c r="HK6" s="1301"/>
      <c r="HL6" s="1301"/>
      <c r="HM6" s="1301"/>
      <c r="HN6" s="1301"/>
      <c r="HO6" s="1301"/>
      <c r="HP6" s="1301"/>
      <c r="HQ6" s="1301"/>
      <c r="HR6" s="1301"/>
      <c r="HS6" s="1301"/>
      <c r="HT6" s="1301"/>
      <c r="HU6" s="1301"/>
      <c r="HV6" s="1301"/>
      <c r="HW6" s="1301"/>
      <c r="HX6" s="1301"/>
      <c r="HY6" s="1301"/>
      <c r="HZ6" s="1301"/>
      <c r="IA6" s="1301"/>
      <c r="IB6" s="1301"/>
      <c r="IC6" s="1301"/>
      <c r="ID6" s="1301"/>
      <c r="IE6" s="1301"/>
      <c r="IF6" s="1301"/>
      <c r="IG6" s="1301"/>
      <c r="IH6" s="1301"/>
      <c r="II6" s="1301"/>
      <c r="IJ6" s="1301"/>
      <c r="IK6" s="1301"/>
      <c r="IL6" s="1301"/>
      <c r="IM6" s="1301"/>
      <c r="IN6" s="1301"/>
      <c r="IO6" s="1301"/>
      <c r="IP6" s="1301"/>
      <c r="IQ6" s="1301"/>
      <c r="IR6" s="1301"/>
      <c r="IS6" s="1301"/>
      <c r="IT6" s="1301"/>
      <c r="IU6" s="1301"/>
      <c r="IV6" s="1301"/>
    </row>
    <row r="7" spans="1:256">
      <c r="A7" s="1294"/>
      <c r="B7" s="1302"/>
      <c r="C7" s="1303" t="s">
        <v>2081</v>
      </c>
      <c r="D7" s="1297">
        <f t="shared" si="0"/>
        <v>10000</v>
      </c>
      <c r="E7" s="1304"/>
      <c r="F7" s="1297">
        <f t="shared" si="1"/>
        <v>3875</v>
      </c>
      <c r="G7" s="1297">
        <f t="shared" si="2"/>
        <v>6125</v>
      </c>
      <c r="H7" s="1304"/>
      <c r="I7" s="1297">
        <f t="shared" si="3"/>
        <v>6125</v>
      </c>
      <c r="J7" s="1304"/>
      <c r="K7" s="1299">
        <f t="shared" si="4"/>
        <v>-4087.5</v>
      </c>
      <c r="L7" s="1498">
        <f t="shared" si="5"/>
        <v>612.5</v>
      </c>
      <c r="M7" s="1499">
        <f t="shared" si="6"/>
        <v>4700</v>
      </c>
      <c r="N7" s="1500">
        <f t="shared" si="7"/>
        <v>812.5</v>
      </c>
      <c r="O7" s="1308"/>
      <c r="P7" s="1301"/>
      <c r="Q7" s="1301"/>
      <c r="R7" s="1301"/>
      <c r="S7" s="1301"/>
      <c r="T7" s="1301"/>
      <c r="U7" s="1301"/>
      <c r="V7" s="1301"/>
      <c r="W7" s="1301"/>
      <c r="X7" s="1301"/>
      <c r="Y7" s="1301"/>
      <c r="Z7" s="1301"/>
      <c r="AA7" s="1301"/>
      <c r="AB7" s="1301"/>
      <c r="AC7" s="1301"/>
      <c r="AD7" s="1301"/>
      <c r="AE7" s="1301"/>
      <c r="AF7" s="1301"/>
      <c r="AG7" s="1301"/>
      <c r="AH7" s="1301"/>
      <c r="AI7" s="1301"/>
      <c r="AJ7" s="1301"/>
      <c r="AK7" s="1301"/>
      <c r="AL7" s="1301"/>
      <c r="AM7" s="1301"/>
      <c r="AN7" s="1301"/>
      <c r="AO7" s="1301"/>
      <c r="AP7" s="1301"/>
      <c r="AQ7" s="1301"/>
      <c r="AR7" s="1301"/>
      <c r="AS7" s="1301"/>
      <c r="AT7" s="1301"/>
      <c r="AU7" s="1301"/>
      <c r="AV7" s="1301"/>
      <c r="AW7" s="1301"/>
      <c r="AX7" s="1301"/>
      <c r="AY7" s="1301"/>
      <c r="AZ7" s="1301"/>
      <c r="BA7" s="1301"/>
      <c r="BB7" s="1301"/>
      <c r="BC7" s="1301"/>
      <c r="BD7" s="1301"/>
      <c r="BE7" s="1301"/>
      <c r="BF7" s="1301"/>
      <c r="BG7" s="1301"/>
      <c r="BH7" s="1301"/>
      <c r="BI7" s="1301"/>
      <c r="BJ7" s="1301"/>
      <c r="BK7" s="1301"/>
      <c r="BL7" s="1301"/>
      <c r="BM7" s="1301"/>
      <c r="BN7" s="1301"/>
      <c r="BO7" s="1301"/>
      <c r="BP7" s="1301"/>
      <c r="BQ7" s="1301"/>
      <c r="BR7" s="1301"/>
      <c r="BS7" s="1301"/>
      <c r="BT7" s="1301"/>
      <c r="BU7" s="1301"/>
      <c r="BV7" s="1301"/>
      <c r="BW7" s="1301"/>
      <c r="BX7" s="1301"/>
      <c r="BY7" s="1301"/>
      <c r="BZ7" s="1301"/>
      <c r="CA7" s="1301"/>
      <c r="CB7" s="1301"/>
      <c r="CC7" s="1301"/>
      <c r="CD7" s="1301"/>
      <c r="CE7" s="1301"/>
      <c r="CF7" s="1301"/>
      <c r="CG7" s="1301"/>
      <c r="CH7" s="1301"/>
      <c r="CI7" s="1301"/>
      <c r="CJ7" s="1301"/>
      <c r="CK7" s="1301"/>
      <c r="CL7" s="1301"/>
      <c r="CM7" s="1301"/>
      <c r="CN7" s="1301"/>
      <c r="CO7" s="1301"/>
      <c r="CP7" s="1301"/>
      <c r="CQ7" s="1301"/>
      <c r="CR7" s="1301"/>
      <c r="CS7" s="1301"/>
      <c r="CT7" s="1301"/>
      <c r="CU7" s="1301"/>
      <c r="CV7" s="1301"/>
      <c r="CW7" s="1301"/>
      <c r="CX7" s="1301"/>
      <c r="CY7" s="1301"/>
      <c r="CZ7" s="1301"/>
      <c r="DA7" s="1301"/>
      <c r="DB7" s="1301"/>
      <c r="DC7" s="1301"/>
      <c r="DD7" s="1301"/>
      <c r="DE7" s="1301"/>
      <c r="DF7" s="1301"/>
      <c r="DG7" s="1301"/>
      <c r="DH7" s="1301"/>
      <c r="DI7" s="1301"/>
      <c r="DJ7" s="1301"/>
      <c r="DK7" s="1301"/>
      <c r="DL7" s="1301"/>
      <c r="DM7" s="1301"/>
      <c r="DN7" s="1301"/>
      <c r="DO7" s="1301"/>
      <c r="DP7" s="1301"/>
      <c r="DQ7" s="1301"/>
      <c r="DR7" s="1301"/>
      <c r="DS7" s="1301"/>
      <c r="DT7" s="1301"/>
      <c r="DU7" s="1301"/>
      <c r="DV7" s="1301"/>
      <c r="DW7" s="1301"/>
      <c r="DX7" s="1301"/>
      <c r="DY7" s="1301"/>
      <c r="DZ7" s="1301"/>
      <c r="EA7" s="1301"/>
      <c r="EB7" s="1301"/>
      <c r="EC7" s="1301"/>
      <c r="ED7" s="1301"/>
      <c r="EE7" s="1301"/>
      <c r="EF7" s="1301"/>
      <c r="EG7" s="1301"/>
      <c r="EH7" s="1301"/>
      <c r="EI7" s="1301"/>
      <c r="EJ7" s="1301"/>
      <c r="EK7" s="1301"/>
      <c r="EL7" s="1301"/>
      <c r="EM7" s="1301"/>
      <c r="EN7" s="1301"/>
      <c r="EO7" s="1301"/>
      <c r="EP7" s="1301"/>
      <c r="EQ7" s="1301"/>
      <c r="ER7" s="1301"/>
      <c r="ES7" s="1301"/>
      <c r="ET7" s="1301"/>
      <c r="EU7" s="1301"/>
      <c r="EV7" s="1301"/>
      <c r="EW7" s="1301"/>
      <c r="EX7" s="1301"/>
      <c r="EY7" s="1301"/>
      <c r="EZ7" s="1301"/>
      <c r="FA7" s="1301"/>
      <c r="FB7" s="1301"/>
      <c r="FC7" s="1301"/>
      <c r="FD7" s="1301"/>
      <c r="FE7" s="1301"/>
      <c r="FF7" s="1301"/>
      <c r="FG7" s="1301"/>
      <c r="FH7" s="1301"/>
      <c r="FI7" s="1301"/>
      <c r="FJ7" s="1301"/>
      <c r="FK7" s="1301"/>
      <c r="FL7" s="1301"/>
      <c r="FM7" s="1301"/>
      <c r="FN7" s="1301"/>
      <c r="FO7" s="1301"/>
      <c r="FP7" s="1301"/>
      <c r="FQ7" s="1301"/>
      <c r="FR7" s="1301"/>
      <c r="FS7" s="1301"/>
      <c r="FT7" s="1301"/>
      <c r="FU7" s="1301"/>
      <c r="FV7" s="1301"/>
      <c r="FW7" s="1301"/>
      <c r="FX7" s="1301"/>
      <c r="FY7" s="1301"/>
      <c r="FZ7" s="1301"/>
      <c r="GA7" s="1301"/>
      <c r="GB7" s="1301"/>
      <c r="GC7" s="1301"/>
      <c r="GD7" s="1301"/>
      <c r="GE7" s="1301"/>
      <c r="GF7" s="1301"/>
      <c r="GG7" s="1301"/>
      <c r="GH7" s="1301"/>
      <c r="GI7" s="1301"/>
      <c r="GJ7" s="1301"/>
      <c r="GK7" s="1301"/>
      <c r="GL7" s="1301"/>
      <c r="GM7" s="1301"/>
      <c r="GN7" s="1301"/>
      <c r="GO7" s="1301"/>
      <c r="GP7" s="1301"/>
      <c r="GQ7" s="1301"/>
      <c r="GR7" s="1301"/>
      <c r="GS7" s="1301"/>
      <c r="GT7" s="1301"/>
      <c r="GU7" s="1301"/>
      <c r="GV7" s="1301"/>
      <c r="GW7" s="1301"/>
      <c r="GX7" s="1301"/>
      <c r="GY7" s="1301"/>
      <c r="GZ7" s="1301"/>
      <c r="HA7" s="1301"/>
      <c r="HB7" s="1301"/>
      <c r="HC7" s="1301"/>
      <c r="HD7" s="1301"/>
      <c r="HE7" s="1301"/>
      <c r="HF7" s="1301"/>
      <c r="HG7" s="1301"/>
      <c r="HH7" s="1301"/>
      <c r="HI7" s="1301"/>
      <c r="HJ7" s="1301"/>
      <c r="HK7" s="1301"/>
      <c r="HL7" s="1301"/>
      <c r="HM7" s="1301"/>
      <c r="HN7" s="1301"/>
      <c r="HO7" s="1301"/>
      <c r="HP7" s="1301"/>
      <c r="HQ7" s="1301"/>
      <c r="HR7" s="1301"/>
      <c r="HS7" s="1301"/>
      <c r="HT7" s="1301"/>
      <c r="HU7" s="1301"/>
      <c r="HV7" s="1301"/>
      <c r="HW7" s="1301"/>
      <c r="HX7" s="1301"/>
      <c r="HY7" s="1301"/>
      <c r="HZ7" s="1301"/>
      <c r="IA7" s="1301"/>
      <c r="IB7" s="1301"/>
      <c r="IC7" s="1301"/>
      <c r="ID7" s="1301"/>
      <c r="IE7" s="1301"/>
      <c r="IF7" s="1301"/>
      <c r="IG7" s="1301"/>
      <c r="IH7" s="1301"/>
      <c r="II7" s="1301"/>
      <c r="IJ7" s="1301"/>
      <c r="IK7" s="1301"/>
      <c r="IL7" s="1301"/>
      <c r="IM7" s="1301"/>
      <c r="IN7" s="1301"/>
      <c r="IO7" s="1301"/>
      <c r="IP7" s="1301"/>
      <c r="IQ7" s="1301"/>
      <c r="IR7" s="1301"/>
      <c r="IS7" s="1301"/>
      <c r="IT7" s="1301"/>
      <c r="IU7" s="1301"/>
      <c r="IV7" s="1301"/>
    </row>
    <row r="8" spans="1:256">
      <c r="A8" s="1294"/>
      <c r="B8" s="1302"/>
      <c r="C8" s="1303" t="s">
        <v>2082</v>
      </c>
      <c r="D8" s="1297">
        <f t="shared" si="0"/>
        <v>3000</v>
      </c>
      <c r="E8" s="1304"/>
      <c r="F8" s="1297">
        <f t="shared" si="1"/>
        <v>0</v>
      </c>
      <c r="G8" s="1297">
        <f t="shared" si="2"/>
        <v>3000</v>
      </c>
      <c r="H8" s="1304"/>
      <c r="I8" s="1297">
        <f t="shared" si="3"/>
        <v>3000</v>
      </c>
      <c r="J8" s="1304"/>
      <c r="K8" s="1299">
        <f t="shared" si="4"/>
        <v>-1900</v>
      </c>
      <c r="L8" s="1498">
        <f t="shared" si="5"/>
        <v>300</v>
      </c>
      <c r="M8" s="1499">
        <f t="shared" si="6"/>
        <v>2200</v>
      </c>
      <c r="N8" s="1500">
        <f t="shared" si="7"/>
        <v>500</v>
      </c>
      <c r="O8" s="1308"/>
      <c r="P8" s="1301"/>
      <c r="Q8" s="1301"/>
      <c r="R8" s="1301"/>
      <c r="S8" s="1301"/>
      <c r="T8" s="1301"/>
      <c r="U8" s="1301"/>
      <c r="V8" s="1301"/>
      <c r="W8" s="1301"/>
      <c r="X8" s="1301"/>
      <c r="Y8" s="1301"/>
      <c r="Z8" s="1301"/>
      <c r="AA8" s="1301"/>
      <c r="AB8" s="1301"/>
      <c r="AC8" s="1301"/>
      <c r="AD8" s="1301"/>
      <c r="AE8" s="1301"/>
      <c r="AF8" s="1301"/>
      <c r="AG8" s="1301"/>
      <c r="AH8" s="1301"/>
      <c r="AI8" s="1301"/>
      <c r="AJ8" s="1301"/>
      <c r="AK8" s="1301"/>
      <c r="AL8" s="1301"/>
      <c r="AM8" s="1301"/>
      <c r="AN8" s="1301"/>
      <c r="AO8" s="1301"/>
      <c r="AP8" s="1301"/>
      <c r="AQ8" s="1301"/>
      <c r="AR8" s="1301"/>
      <c r="AS8" s="1301"/>
      <c r="AT8" s="1301"/>
      <c r="AU8" s="1301"/>
      <c r="AV8" s="1301"/>
      <c r="AW8" s="1301"/>
      <c r="AX8" s="1301"/>
      <c r="AY8" s="1301"/>
      <c r="AZ8" s="1301"/>
      <c r="BA8" s="1301"/>
      <c r="BB8" s="1301"/>
      <c r="BC8" s="1301"/>
      <c r="BD8" s="1301"/>
      <c r="BE8" s="1301"/>
      <c r="BF8" s="1301"/>
      <c r="BG8" s="1301"/>
      <c r="BH8" s="1301"/>
      <c r="BI8" s="1301"/>
      <c r="BJ8" s="1301"/>
      <c r="BK8" s="1301"/>
      <c r="BL8" s="1301"/>
      <c r="BM8" s="1301"/>
      <c r="BN8" s="1301"/>
      <c r="BO8" s="1301"/>
      <c r="BP8" s="1301"/>
      <c r="BQ8" s="1301"/>
      <c r="BR8" s="1301"/>
      <c r="BS8" s="1301"/>
      <c r="BT8" s="1301"/>
      <c r="BU8" s="1301"/>
      <c r="BV8" s="1301"/>
      <c r="BW8" s="1301"/>
      <c r="BX8" s="1301"/>
      <c r="BY8" s="1301"/>
      <c r="BZ8" s="1301"/>
      <c r="CA8" s="1301"/>
      <c r="CB8" s="1301"/>
      <c r="CC8" s="1301"/>
      <c r="CD8" s="1301"/>
      <c r="CE8" s="1301"/>
      <c r="CF8" s="1301"/>
      <c r="CG8" s="1301"/>
      <c r="CH8" s="1301"/>
      <c r="CI8" s="1301"/>
      <c r="CJ8" s="1301"/>
      <c r="CK8" s="1301"/>
      <c r="CL8" s="1301"/>
      <c r="CM8" s="1301"/>
      <c r="CN8" s="1301"/>
      <c r="CO8" s="1301"/>
      <c r="CP8" s="1301"/>
      <c r="CQ8" s="1301"/>
      <c r="CR8" s="1301"/>
      <c r="CS8" s="1301"/>
      <c r="CT8" s="1301"/>
      <c r="CU8" s="1301"/>
      <c r="CV8" s="1301"/>
      <c r="CW8" s="1301"/>
      <c r="CX8" s="1301"/>
      <c r="CY8" s="1301"/>
      <c r="CZ8" s="1301"/>
      <c r="DA8" s="1301"/>
      <c r="DB8" s="1301"/>
      <c r="DC8" s="1301"/>
      <c r="DD8" s="1301"/>
      <c r="DE8" s="1301"/>
      <c r="DF8" s="1301"/>
      <c r="DG8" s="1301"/>
      <c r="DH8" s="1301"/>
      <c r="DI8" s="1301"/>
      <c r="DJ8" s="1301"/>
      <c r="DK8" s="1301"/>
      <c r="DL8" s="1301"/>
      <c r="DM8" s="1301"/>
      <c r="DN8" s="1301"/>
      <c r="DO8" s="1301"/>
      <c r="DP8" s="1301"/>
      <c r="DQ8" s="1301"/>
      <c r="DR8" s="1301"/>
      <c r="DS8" s="1301"/>
      <c r="DT8" s="1301"/>
      <c r="DU8" s="1301"/>
      <c r="DV8" s="1301"/>
      <c r="DW8" s="1301"/>
      <c r="DX8" s="1301"/>
      <c r="DY8" s="1301"/>
      <c r="DZ8" s="1301"/>
      <c r="EA8" s="1301"/>
      <c r="EB8" s="1301"/>
      <c r="EC8" s="1301"/>
      <c r="ED8" s="1301"/>
      <c r="EE8" s="1301"/>
      <c r="EF8" s="1301"/>
      <c r="EG8" s="1301"/>
      <c r="EH8" s="1301"/>
      <c r="EI8" s="1301"/>
      <c r="EJ8" s="1301"/>
      <c r="EK8" s="1301"/>
      <c r="EL8" s="1301"/>
      <c r="EM8" s="1301"/>
      <c r="EN8" s="1301"/>
      <c r="EO8" s="1301"/>
      <c r="EP8" s="1301"/>
      <c r="EQ8" s="1301"/>
      <c r="ER8" s="1301"/>
      <c r="ES8" s="1301"/>
      <c r="ET8" s="1301"/>
      <c r="EU8" s="1301"/>
      <c r="EV8" s="1301"/>
      <c r="EW8" s="1301"/>
      <c r="EX8" s="1301"/>
      <c r="EY8" s="1301"/>
      <c r="EZ8" s="1301"/>
      <c r="FA8" s="1301"/>
      <c r="FB8" s="1301"/>
      <c r="FC8" s="1301"/>
      <c r="FD8" s="1301"/>
      <c r="FE8" s="1301"/>
      <c r="FF8" s="1301"/>
      <c r="FG8" s="1301"/>
      <c r="FH8" s="1301"/>
      <c r="FI8" s="1301"/>
      <c r="FJ8" s="1301"/>
      <c r="FK8" s="1301"/>
      <c r="FL8" s="1301"/>
      <c r="FM8" s="1301"/>
      <c r="FN8" s="1301"/>
      <c r="FO8" s="1301"/>
      <c r="FP8" s="1301"/>
      <c r="FQ8" s="1301"/>
      <c r="FR8" s="1301"/>
      <c r="FS8" s="1301"/>
      <c r="FT8" s="1301"/>
      <c r="FU8" s="1301"/>
      <c r="FV8" s="1301"/>
      <c r="FW8" s="1301"/>
      <c r="FX8" s="1301"/>
      <c r="FY8" s="1301"/>
      <c r="FZ8" s="1301"/>
      <c r="GA8" s="1301"/>
      <c r="GB8" s="1301"/>
      <c r="GC8" s="1301"/>
      <c r="GD8" s="1301"/>
      <c r="GE8" s="1301"/>
      <c r="GF8" s="1301"/>
      <c r="GG8" s="1301"/>
      <c r="GH8" s="1301"/>
      <c r="GI8" s="1301"/>
      <c r="GJ8" s="1301"/>
      <c r="GK8" s="1301"/>
      <c r="GL8" s="1301"/>
      <c r="GM8" s="1301"/>
      <c r="GN8" s="1301"/>
      <c r="GO8" s="1301"/>
      <c r="GP8" s="1301"/>
      <c r="GQ8" s="1301"/>
      <c r="GR8" s="1301"/>
      <c r="GS8" s="1301"/>
      <c r="GT8" s="1301"/>
      <c r="GU8" s="1301"/>
      <c r="GV8" s="1301"/>
      <c r="GW8" s="1301"/>
      <c r="GX8" s="1301"/>
      <c r="GY8" s="1301"/>
      <c r="GZ8" s="1301"/>
      <c r="HA8" s="1301"/>
      <c r="HB8" s="1301"/>
      <c r="HC8" s="1301"/>
      <c r="HD8" s="1301"/>
      <c r="HE8" s="1301"/>
      <c r="HF8" s="1301"/>
      <c r="HG8" s="1301"/>
      <c r="HH8" s="1301"/>
      <c r="HI8" s="1301"/>
      <c r="HJ8" s="1301"/>
      <c r="HK8" s="1301"/>
      <c r="HL8" s="1301"/>
      <c r="HM8" s="1301"/>
      <c r="HN8" s="1301"/>
      <c r="HO8" s="1301"/>
      <c r="HP8" s="1301"/>
      <c r="HQ8" s="1301"/>
      <c r="HR8" s="1301"/>
      <c r="HS8" s="1301"/>
      <c r="HT8" s="1301"/>
      <c r="HU8" s="1301"/>
      <c r="HV8" s="1301"/>
      <c r="HW8" s="1301"/>
      <c r="HX8" s="1301"/>
      <c r="HY8" s="1301"/>
      <c r="HZ8" s="1301"/>
      <c r="IA8" s="1301"/>
      <c r="IB8" s="1301"/>
      <c r="IC8" s="1301"/>
      <c r="ID8" s="1301"/>
      <c r="IE8" s="1301"/>
      <c r="IF8" s="1301"/>
      <c r="IG8" s="1301"/>
      <c r="IH8" s="1301"/>
      <c r="II8" s="1301"/>
      <c r="IJ8" s="1301"/>
      <c r="IK8" s="1301"/>
      <c r="IL8" s="1301"/>
      <c r="IM8" s="1301"/>
      <c r="IN8" s="1301"/>
      <c r="IO8" s="1301"/>
      <c r="IP8" s="1301"/>
      <c r="IQ8" s="1301"/>
      <c r="IR8" s="1301"/>
      <c r="IS8" s="1301"/>
      <c r="IT8" s="1301"/>
      <c r="IU8" s="1301"/>
      <c r="IV8" s="1301"/>
    </row>
    <row r="9" spans="1:256">
      <c r="A9" s="1309"/>
      <c r="B9" s="1310"/>
      <c r="C9" s="1311" t="s">
        <v>2083</v>
      </c>
      <c r="D9" s="1312">
        <f>SUM(D1:D8)</f>
        <v>2000000</v>
      </c>
      <c r="E9" s="1312">
        <f t="shared" ref="E9:N9" si="8">SUM(E1:E8)</f>
        <v>0</v>
      </c>
      <c r="F9" s="1312">
        <f t="shared" si="8"/>
        <v>581358.17333229876</v>
      </c>
      <c r="G9" s="1312">
        <f t="shared" si="8"/>
        <v>1418641.8266677014</v>
      </c>
      <c r="H9" s="1312">
        <f t="shared" si="8"/>
        <v>0</v>
      </c>
      <c r="I9" s="1312">
        <f t="shared" si="8"/>
        <v>1418641.8266677014</v>
      </c>
      <c r="J9" s="1312">
        <f t="shared" si="8"/>
        <v>0</v>
      </c>
      <c r="K9" s="1312">
        <f t="shared" si="8"/>
        <v>-489661.05509748543</v>
      </c>
      <c r="L9" s="1501">
        <f t="shared" si="8"/>
        <v>100238.43942610802</v>
      </c>
      <c r="M9" s="1502">
        <f t="shared" si="8"/>
        <v>589899.49452359346</v>
      </c>
      <c r="N9" s="1501">
        <f t="shared" si="8"/>
        <v>728503.89271799952</v>
      </c>
      <c r="O9" s="1309"/>
      <c r="P9" s="1503"/>
      <c r="Q9" s="1503"/>
      <c r="R9" s="1503">
        <f>D9-F9</f>
        <v>1418641.8266677014</v>
      </c>
      <c r="S9" s="1504">
        <f>L9*10</f>
        <v>1002384.3942610802</v>
      </c>
      <c r="T9" s="1313"/>
      <c r="U9" s="1313"/>
      <c r="V9" s="1313"/>
      <c r="W9" s="1313"/>
      <c r="X9" s="1313"/>
      <c r="Y9" s="1313"/>
      <c r="Z9" s="1313"/>
      <c r="AA9" s="1313"/>
      <c r="AB9" s="1313"/>
      <c r="AC9" s="1313"/>
      <c r="AD9" s="1313"/>
      <c r="AE9" s="1313"/>
      <c r="AF9" s="1313"/>
      <c r="AG9" s="1313"/>
      <c r="AH9" s="1313"/>
      <c r="AI9" s="1313"/>
      <c r="AJ9" s="1313"/>
      <c r="AK9" s="1313"/>
      <c r="AL9" s="1313"/>
      <c r="AM9" s="1313"/>
      <c r="AN9" s="1313"/>
      <c r="AO9" s="1313"/>
      <c r="AP9" s="1313"/>
      <c r="AQ9" s="1313"/>
      <c r="AR9" s="1313"/>
      <c r="AS9" s="1313"/>
      <c r="AT9" s="1313"/>
      <c r="AU9" s="1313"/>
      <c r="AV9" s="1313"/>
      <c r="AW9" s="1313"/>
      <c r="AX9" s="1313"/>
      <c r="AY9" s="1313"/>
      <c r="AZ9" s="1313"/>
      <c r="BA9" s="1313"/>
      <c r="BB9" s="1313"/>
      <c r="BC9" s="1313"/>
      <c r="BD9" s="1313"/>
      <c r="BE9" s="1313"/>
      <c r="BF9" s="1313"/>
      <c r="BG9" s="1313"/>
      <c r="BH9" s="1313"/>
      <c r="BI9" s="1313"/>
      <c r="BJ9" s="1313"/>
      <c r="BK9" s="1313"/>
      <c r="BL9" s="1313"/>
      <c r="BM9" s="1313"/>
      <c r="BN9" s="1313"/>
      <c r="BO9" s="1313"/>
      <c r="BP9" s="1313"/>
      <c r="BQ9" s="1313"/>
      <c r="BR9" s="1313"/>
      <c r="BS9" s="1313"/>
      <c r="BT9" s="1313"/>
      <c r="BU9" s="1313"/>
      <c r="BV9" s="1313"/>
      <c r="BW9" s="1313"/>
      <c r="BX9" s="1313"/>
      <c r="BY9" s="1313"/>
      <c r="BZ9" s="1313"/>
      <c r="CA9" s="1313"/>
      <c r="CB9" s="1313"/>
      <c r="CC9" s="1313"/>
      <c r="CD9" s="1313"/>
      <c r="CE9" s="1313"/>
      <c r="CF9" s="1313"/>
      <c r="CG9" s="1313"/>
      <c r="CH9" s="1313"/>
      <c r="CI9" s="1313"/>
      <c r="CJ9" s="1313"/>
      <c r="CK9" s="1313"/>
      <c r="CL9" s="1313"/>
      <c r="CM9" s="1313"/>
      <c r="CN9" s="1313"/>
      <c r="CO9" s="1313"/>
      <c r="CP9" s="1313"/>
      <c r="CQ9" s="1313"/>
      <c r="CR9" s="1313"/>
      <c r="CS9" s="1313"/>
      <c r="CT9" s="1313"/>
      <c r="CU9" s="1313"/>
      <c r="CV9" s="1313"/>
      <c r="CW9" s="1313"/>
      <c r="CX9" s="1313"/>
      <c r="CY9" s="1313"/>
      <c r="CZ9" s="1313"/>
      <c r="DA9" s="1313"/>
      <c r="DB9" s="1313"/>
      <c r="DC9" s="1313"/>
      <c r="DD9" s="1313"/>
      <c r="DE9" s="1313"/>
      <c r="DF9" s="1313"/>
      <c r="DG9" s="1313"/>
      <c r="DH9" s="1313"/>
      <c r="DI9" s="1313"/>
      <c r="DJ9" s="1313"/>
      <c r="DK9" s="1313"/>
      <c r="DL9" s="1313"/>
      <c r="DM9" s="1313"/>
      <c r="DN9" s="1313"/>
      <c r="DO9" s="1313"/>
      <c r="DP9" s="1313"/>
      <c r="DQ9" s="1313"/>
      <c r="DR9" s="1313"/>
      <c r="DS9" s="1313"/>
      <c r="DT9" s="1313"/>
      <c r="DU9" s="1313"/>
      <c r="DV9" s="1313"/>
      <c r="DW9" s="1313"/>
      <c r="DX9" s="1313"/>
      <c r="DY9" s="1313"/>
      <c r="DZ9" s="1313"/>
      <c r="EA9" s="1313"/>
      <c r="EB9" s="1313"/>
      <c r="EC9" s="1313"/>
      <c r="ED9" s="1313"/>
      <c r="EE9" s="1313"/>
      <c r="EF9" s="1313"/>
      <c r="EG9" s="1313"/>
      <c r="EH9" s="1313"/>
      <c r="EI9" s="1313"/>
      <c r="EJ9" s="1313"/>
      <c r="EK9" s="1313"/>
      <c r="EL9" s="1313"/>
      <c r="EM9" s="1313"/>
      <c r="EN9" s="1313"/>
      <c r="EO9" s="1313"/>
      <c r="EP9" s="1313"/>
      <c r="EQ9" s="1313"/>
      <c r="ER9" s="1313"/>
      <c r="ES9" s="1313"/>
      <c r="ET9" s="1313"/>
      <c r="EU9" s="1313"/>
      <c r="EV9" s="1313"/>
      <c r="EW9" s="1313"/>
      <c r="EX9" s="1313"/>
      <c r="EY9" s="1313"/>
      <c r="EZ9" s="1313"/>
      <c r="FA9" s="1313"/>
      <c r="FB9" s="1313"/>
      <c r="FC9" s="1313"/>
      <c r="FD9" s="1313"/>
      <c r="FE9" s="1313"/>
      <c r="FF9" s="1313"/>
      <c r="FG9" s="1313"/>
      <c r="FH9" s="1313"/>
      <c r="FI9" s="1313"/>
      <c r="FJ9" s="1313"/>
      <c r="FK9" s="1313"/>
      <c r="FL9" s="1313"/>
      <c r="FM9" s="1313"/>
      <c r="FN9" s="1313"/>
      <c r="FO9" s="1313"/>
      <c r="FP9" s="1313"/>
      <c r="FQ9" s="1313"/>
      <c r="FR9" s="1313"/>
      <c r="FS9" s="1313"/>
      <c r="FT9" s="1313"/>
      <c r="FU9" s="1313"/>
      <c r="FV9" s="1313"/>
      <c r="FW9" s="1313"/>
      <c r="FX9" s="1313"/>
      <c r="FY9" s="1313"/>
      <c r="FZ9" s="1313"/>
      <c r="GA9" s="1313"/>
      <c r="GB9" s="1313"/>
      <c r="GC9" s="1313"/>
      <c r="GD9" s="1313"/>
      <c r="GE9" s="1313"/>
      <c r="GF9" s="1313"/>
      <c r="GG9" s="1313"/>
      <c r="GH9" s="1313"/>
      <c r="GI9" s="1313"/>
      <c r="GJ9" s="1313"/>
      <c r="GK9" s="1313"/>
      <c r="GL9" s="1313"/>
      <c r="GM9" s="1313"/>
      <c r="GN9" s="1313"/>
      <c r="GO9" s="1313"/>
      <c r="GP9" s="1313"/>
      <c r="GQ9" s="1313"/>
      <c r="GR9" s="1313"/>
      <c r="GS9" s="1313"/>
      <c r="GT9" s="1313"/>
      <c r="GU9" s="1313"/>
      <c r="GV9" s="1313"/>
      <c r="GW9" s="1313"/>
      <c r="GX9" s="1313"/>
      <c r="GY9" s="1313"/>
      <c r="GZ9" s="1313"/>
      <c r="HA9" s="1313"/>
      <c r="HB9" s="1313"/>
      <c r="HC9" s="1313"/>
      <c r="HD9" s="1313"/>
      <c r="HE9" s="1313"/>
      <c r="HF9" s="1313"/>
      <c r="HG9" s="1313"/>
      <c r="HH9" s="1313"/>
      <c r="HI9" s="1313"/>
      <c r="HJ9" s="1313"/>
      <c r="HK9" s="1313"/>
      <c r="HL9" s="1313"/>
      <c r="HM9" s="1313"/>
      <c r="HN9" s="1313"/>
      <c r="HO9" s="1313"/>
      <c r="HP9" s="1313"/>
      <c r="HQ9" s="1313"/>
      <c r="HR9" s="1313"/>
      <c r="HS9" s="1313"/>
      <c r="HT9" s="1313"/>
      <c r="HU9" s="1313"/>
      <c r="HV9" s="1313"/>
      <c r="HW9" s="1313"/>
      <c r="HX9" s="1313"/>
      <c r="HY9" s="1313"/>
      <c r="HZ9" s="1313"/>
      <c r="IA9" s="1313"/>
      <c r="IB9" s="1313"/>
      <c r="IC9" s="1313"/>
      <c r="ID9" s="1313"/>
      <c r="IE9" s="1313"/>
      <c r="IF9" s="1313"/>
      <c r="IG9" s="1313"/>
      <c r="IH9" s="1313"/>
      <c r="II9" s="1313"/>
      <c r="IJ9" s="1313"/>
      <c r="IK9" s="1313"/>
      <c r="IL9" s="1313"/>
      <c r="IM9" s="1313"/>
      <c r="IN9" s="1313"/>
      <c r="IO9" s="1313"/>
      <c r="IP9" s="1313"/>
      <c r="IQ9" s="1313"/>
      <c r="IR9" s="1313"/>
      <c r="IS9" s="1313"/>
      <c r="IT9" s="1313"/>
      <c r="IU9" s="1313"/>
      <c r="IV9" s="1313"/>
    </row>
    <row r="10" spans="1:256">
      <c r="L10" s="1505">
        <f>L9/$I$12</f>
        <v>7.0658031887838577E-2</v>
      </c>
      <c r="M10" s="1506">
        <f>M9/$I$12</f>
        <v>0.41581989437688405</v>
      </c>
      <c r="N10" s="1505">
        <f>N9/$I$12</f>
        <v>0.51352207373527714</v>
      </c>
      <c r="O10" s="1320">
        <f>SUM(L10:N10)</f>
        <v>0.99999999999999978</v>
      </c>
      <c r="S10" s="1507">
        <f>R9-S9</f>
        <v>416257.43240662117</v>
      </c>
    </row>
    <row r="11" spans="1:256" ht="38.25">
      <c r="A11" s="1322" t="s">
        <v>22</v>
      </c>
      <c r="B11" s="1323" t="s">
        <v>2084</v>
      </c>
      <c r="C11" s="1324" t="s">
        <v>2085</v>
      </c>
      <c r="D11" s="1325" t="s">
        <v>2086</v>
      </c>
      <c r="E11" s="1326" t="s">
        <v>2087</v>
      </c>
      <c r="F11" s="1327" t="s">
        <v>2088</v>
      </c>
      <c r="G11" s="1325" t="s">
        <v>2089</v>
      </c>
      <c r="H11" s="1326" t="s">
        <v>2090</v>
      </c>
      <c r="I11" s="1325" t="s">
        <v>2091</v>
      </c>
      <c r="J11" s="1326" t="s">
        <v>2092</v>
      </c>
      <c r="K11" s="1326" t="s">
        <v>2093</v>
      </c>
      <c r="L11" s="1508" t="s">
        <v>2094</v>
      </c>
      <c r="M11" s="1509" t="s">
        <v>2095</v>
      </c>
      <c r="N11" s="1508" t="s">
        <v>2096</v>
      </c>
      <c r="O11" s="1322" t="s">
        <v>2097</v>
      </c>
      <c r="P11" s="1316"/>
      <c r="Q11" s="1316"/>
      <c r="R11" s="1316"/>
      <c r="S11" s="1316">
        <f>S10/2</f>
        <v>208128.71620331059</v>
      </c>
      <c r="T11" s="1316"/>
      <c r="U11" s="1316"/>
      <c r="V11" s="1316"/>
      <c r="W11" s="1316"/>
      <c r="X11" s="1316"/>
      <c r="Y11" s="1316"/>
      <c r="Z11" s="1316"/>
      <c r="AA11" s="1316"/>
      <c r="AB11" s="1316"/>
      <c r="AC11" s="1316"/>
      <c r="AD11" s="1316"/>
      <c r="AE11" s="1316"/>
      <c r="AF11" s="1316"/>
      <c r="AG11" s="1316"/>
      <c r="AH11" s="1316"/>
      <c r="AI11" s="1316"/>
      <c r="AJ11" s="1316"/>
      <c r="AK11" s="1316"/>
      <c r="AL11" s="1316"/>
      <c r="AM11" s="1316"/>
      <c r="AN11" s="1316"/>
      <c r="AO11" s="1316"/>
      <c r="AP11" s="1316"/>
      <c r="AQ11" s="1316"/>
      <c r="AR11" s="1316"/>
      <c r="AS11" s="1316"/>
      <c r="AT11" s="1316"/>
      <c r="AU11" s="1316"/>
      <c r="AV11" s="1316"/>
      <c r="AW11" s="1316"/>
      <c r="AX11" s="1316"/>
      <c r="AY11" s="1316"/>
      <c r="AZ11" s="1316"/>
      <c r="BA11" s="1316"/>
      <c r="BB11" s="1316"/>
      <c r="BC11" s="1316"/>
      <c r="BD11" s="1316"/>
      <c r="BE11" s="1316"/>
      <c r="BF11" s="1316"/>
      <c r="BG11" s="1316"/>
      <c r="BH11" s="1316"/>
      <c r="BI11" s="1316"/>
      <c r="BJ11" s="1316"/>
      <c r="BK11" s="1316"/>
      <c r="BL11" s="1316"/>
      <c r="BM11" s="1316"/>
      <c r="BN11" s="1316"/>
      <c r="BO11" s="1316"/>
      <c r="BP11" s="1316"/>
      <c r="BQ11" s="1316"/>
      <c r="BR11" s="1316"/>
      <c r="BS11" s="1316"/>
      <c r="BT11" s="1316"/>
      <c r="BU11" s="1316"/>
      <c r="BV11" s="1316"/>
      <c r="BW11" s="1316"/>
      <c r="BX11" s="1316"/>
      <c r="BY11" s="1316"/>
      <c r="BZ11" s="1316"/>
      <c r="CA11" s="1316"/>
      <c r="CB11" s="1316"/>
      <c r="CC11" s="1316"/>
      <c r="CD11" s="1316"/>
      <c r="CE11" s="1316"/>
      <c r="CF11" s="1316"/>
      <c r="CG11" s="1316"/>
      <c r="CH11" s="1316"/>
      <c r="CI11" s="1316"/>
      <c r="CJ11" s="1316"/>
      <c r="CK11" s="1316"/>
      <c r="CL11" s="1316"/>
      <c r="CM11" s="1316"/>
      <c r="CN11" s="1316"/>
      <c r="CO11" s="1316"/>
      <c r="CP11" s="1316"/>
      <c r="CQ11" s="1316"/>
      <c r="CR11" s="1316"/>
      <c r="CS11" s="1316"/>
      <c r="CT11" s="1316"/>
      <c r="CU11" s="1316"/>
      <c r="CV11" s="1316"/>
      <c r="CW11" s="1316"/>
      <c r="CX11" s="1316"/>
      <c r="CY11" s="1316"/>
      <c r="CZ11" s="1316"/>
      <c r="DA11" s="1316"/>
      <c r="DB11" s="1316"/>
      <c r="DC11" s="1316"/>
      <c r="DD11" s="1316"/>
      <c r="DE11" s="1316"/>
      <c r="DF11" s="1316"/>
      <c r="DG11" s="1316"/>
      <c r="DH11" s="1316"/>
      <c r="DI11" s="1316"/>
      <c r="DJ11" s="1316"/>
      <c r="DK11" s="1316"/>
      <c r="DL11" s="1316"/>
      <c r="DM11" s="1316"/>
      <c r="DN11" s="1316"/>
      <c r="DO11" s="1316"/>
      <c r="DP11" s="1316"/>
      <c r="DQ11" s="1316"/>
      <c r="DR11" s="1316"/>
      <c r="DS11" s="1316"/>
      <c r="DT11" s="1316"/>
      <c r="DU11" s="1316"/>
      <c r="DV11" s="1316"/>
      <c r="DW11" s="1316"/>
      <c r="DX11" s="1316"/>
      <c r="DY11" s="1316"/>
      <c r="DZ11" s="1316"/>
      <c r="EA11" s="1316"/>
      <c r="EB11" s="1316"/>
      <c r="EC11" s="1316"/>
      <c r="ED11" s="1316"/>
      <c r="EE11" s="1316"/>
      <c r="EF11" s="1316"/>
      <c r="EG11" s="1316"/>
      <c r="EH11" s="1316"/>
      <c r="EI11" s="1316"/>
      <c r="EJ11" s="1316"/>
      <c r="EK11" s="1316"/>
      <c r="EL11" s="1316"/>
      <c r="EM11" s="1316"/>
      <c r="EN11" s="1316"/>
      <c r="EO11" s="1316"/>
      <c r="EP11" s="1316"/>
      <c r="EQ11" s="1316"/>
      <c r="ER11" s="1316"/>
      <c r="ES11" s="1316"/>
      <c r="ET11" s="1316"/>
      <c r="EU11" s="1316"/>
      <c r="EV11" s="1316"/>
      <c r="EW11" s="1316"/>
      <c r="EX11" s="1316"/>
      <c r="EY11" s="1316"/>
      <c r="EZ11" s="1316"/>
      <c r="FA11" s="1316"/>
      <c r="FB11" s="1316"/>
      <c r="FC11" s="1316"/>
      <c r="FD11" s="1316"/>
      <c r="FE11" s="1316"/>
      <c r="FF11" s="1316"/>
      <c r="FG11" s="1316"/>
      <c r="FH11" s="1316"/>
      <c r="FI11" s="1316"/>
      <c r="FJ11" s="1316"/>
      <c r="FK11" s="1316"/>
      <c r="FL11" s="1316"/>
      <c r="FM11" s="1316"/>
      <c r="FN11" s="1316"/>
      <c r="FO11" s="1316"/>
      <c r="FP11" s="1316"/>
      <c r="FQ11" s="1316"/>
      <c r="FR11" s="1316"/>
      <c r="FS11" s="1316"/>
      <c r="FT11" s="1316"/>
      <c r="FU11" s="1316"/>
      <c r="FV11" s="1316"/>
      <c r="FW11" s="1316"/>
      <c r="FX11" s="1316"/>
      <c r="FY11" s="1316"/>
      <c r="FZ11" s="1316"/>
      <c r="GA11" s="1316"/>
      <c r="GB11" s="1316"/>
      <c r="GC11" s="1316"/>
      <c r="GD11" s="1316"/>
      <c r="GE11" s="1316"/>
      <c r="GF11" s="1316"/>
      <c r="GG11" s="1316"/>
      <c r="GH11" s="1316"/>
      <c r="GI11" s="1316"/>
      <c r="GJ11" s="1316"/>
      <c r="GK11" s="1316"/>
      <c r="GL11" s="1316"/>
      <c r="GM11" s="1316"/>
      <c r="GN11" s="1316"/>
      <c r="GO11" s="1316"/>
      <c r="GP11" s="1316"/>
      <c r="GQ11" s="1316"/>
      <c r="GR11" s="1316"/>
      <c r="GS11" s="1316"/>
      <c r="GT11" s="1316"/>
      <c r="GU11" s="1316"/>
      <c r="GV11" s="1316"/>
      <c r="GW11" s="1316"/>
      <c r="GX11" s="1316"/>
      <c r="GY11" s="1316"/>
      <c r="GZ11" s="1316"/>
      <c r="HA11" s="1316"/>
      <c r="HB11" s="1316"/>
      <c r="HC11" s="1316"/>
      <c r="HD11" s="1316"/>
      <c r="HE11" s="1316"/>
      <c r="HF11" s="1316"/>
      <c r="HG11" s="1316"/>
      <c r="HH11" s="1316"/>
      <c r="HI11" s="1316"/>
      <c r="HJ11" s="1316"/>
      <c r="HK11" s="1316"/>
      <c r="HL11" s="1316"/>
      <c r="HM11" s="1316"/>
      <c r="HN11" s="1316"/>
      <c r="HO11" s="1316"/>
      <c r="HP11" s="1316"/>
      <c r="HQ11" s="1316"/>
      <c r="HR11" s="1316"/>
      <c r="HS11" s="1316"/>
      <c r="HT11" s="1316"/>
      <c r="HU11" s="1316"/>
      <c r="HV11" s="1316"/>
      <c r="HW11" s="1316"/>
      <c r="HX11" s="1316"/>
      <c r="HY11" s="1316"/>
      <c r="HZ11" s="1316"/>
      <c r="IA11" s="1316"/>
      <c r="IB11" s="1316"/>
      <c r="IC11" s="1316"/>
      <c r="ID11" s="1316"/>
      <c r="IE11" s="1316"/>
      <c r="IF11" s="1316"/>
      <c r="IG11" s="1316"/>
      <c r="IH11" s="1316"/>
      <c r="II11" s="1316"/>
      <c r="IJ11" s="1316"/>
      <c r="IK11" s="1316"/>
      <c r="IL11" s="1316"/>
      <c r="IM11" s="1316"/>
      <c r="IN11" s="1316"/>
      <c r="IO11" s="1316"/>
      <c r="IP11" s="1316"/>
      <c r="IQ11" s="1316"/>
      <c r="IR11" s="1316"/>
      <c r="IS11" s="1316"/>
      <c r="IT11" s="1316"/>
      <c r="IU11" s="1316"/>
      <c r="IV11" s="1316"/>
    </row>
    <row r="12" spans="1:256">
      <c r="A12" s="1322"/>
      <c r="B12" s="1323" t="s">
        <v>2070</v>
      </c>
      <c r="C12" s="1328"/>
      <c r="D12" s="1329">
        <f t="shared" ref="D12:N12" si="9">D13+D34+D37+D40+D50+D62+D79+D100+D129+D158+D180+D194</f>
        <v>2000000</v>
      </c>
      <c r="E12" s="1329">
        <f t="shared" si="9"/>
        <v>36.410655286314373</v>
      </c>
      <c r="F12" s="1329">
        <f t="shared" si="9"/>
        <v>581358.17333229887</v>
      </c>
      <c r="G12" s="1329">
        <f t="shared" si="9"/>
        <v>1418641.8266677014</v>
      </c>
      <c r="H12" s="1329">
        <f t="shared" si="9"/>
        <v>0</v>
      </c>
      <c r="I12" s="1329">
        <f t="shared" si="9"/>
        <v>1418641.8266677014</v>
      </c>
      <c r="J12" s="1329">
        <f t="shared" si="9"/>
        <v>10.5</v>
      </c>
      <c r="K12" s="1329">
        <f t="shared" si="9"/>
        <v>89.59999999999998</v>
      </c>
      <c r="L12" s="1510">
        <f t="shared" si="9"/>
        <v>100238.439426108</v>
      </c>
      <c r="M12" s="1511">
        <f t="shared" si="9"/>
        <v>589899.49452359346</v>
      </c>
      <c r="N12" s="1510">
        <f t="shared" si="9"/>
        <v>728503.89271799964</v>
      </c>
      <c r="O12" s="1330"/>
      <c r="P12" s="1331"/>
      <c r="Q12" s="1331"/>
      <c r="R12" s="1331"/>
      <c r="S12" s="1331"/>
      <c r="T12" s="1331"/>
      <c r="U12" s="1331"/>
      <c r="V12" s="1331"/>
      <c r="W12" s="1331"/>
      <c r="X12" s="1331"/>
      <c r="Y12" s="1331"/>
      <c r="Z12" s="1331"/>
      <c r="AA12" s="1331"/>
      <c r="AB12" s="1331"/>
      <c r="AC12" s="1331"/>
      <c r="AD12" s="1331"/>
      <c r="AE12" s="1331"/>
      <c r="AF12" s="1331"/>
      <c r="AG12" s="1331"/>
      <c r="AH12" s="1331"/>
      <c r="AI12" s="1331"/>
      <c r="AJ12" s="1331"/>
      <c r="AK12" s="1331"/>
      <c r="AL12" s="1331"/>
      <c r="AM12" s="1331"/>
      <c r="AN12" s="1331"/>
      <c r="AO12" s="1331"/>
      <c r="AP12" s="1331"/>
      <c r="AQ12" s="1331"/>
      <c r="AR12" s="1331"/>
      <c r="AS12" s="1331"/>
      <c r="AT12" s="1331"/>
      <c r="AU12" s="1331"/>
      <c r="AV12" s="1331"/>
      <c r="AW12" s="1331"/>
      <c r="AX12" s="1331"/>
      <c r="AY12" s="1331"/>
      <c r="AZ12" s="1331"/>
      <c r="BA12" s="1331"/>
      <c r="BB12" s="1331"/>
      <c r="BC12" s="1331"/>
      <c r="BD12" s="1331"/>
      <c r="BE12" s="1331"/>
      <c r="BF12" s="1331"/>
      <c r="BG12" s="1331"/>
      <c r="BH12" s="1331"/>
      <c r="BI12" s="1331"/>
      <c r="BJ12" s="1331"/>
      <c r="BK12" s="1331"/>
      <c r="BL12" s="1331"/>
      <c r="BM12" s="1331"/>
      <c r="BN12" s="1331"/>
      <c r="BO12" s="1331"/>
      <c r="BP12" s="1331"/>
      <c r="BQ12" s="1331"/>
      <c r="BR12" s="1331"/>
      <c r="BS12" s="1331"/>
      <c r="BT12" s="1331"/>
      <c r="BU12" s="1331"/>
      <c r="BV12" s="1331"/>
      <c r="BW12" s="1331"/>
      <c r="BX12" s="1331"/>
      <c r="BY12" s="1331"/>
      <c r="BZ12" s="1331"/>
      <c r="CA12" s="1331"/>
      <c r="CB12" s="1331"/>
      <c r="CC12" s="1331"/>
      <c r="CD12" s="1331"/>
      <c r="CE12" s="1331"/>
      <c r="CF12" s="1331"/>
      <c r="CG12" s="1331"/>
      <c r="CH12" s="1331"/>
      <c r="CI12" s="1331"/>
      <c r="CJ12" s="1331"/>
      <c r="CK12" s="1331"/>
      <c r="CL12" s="1331"/>
      <c r="CM12" s="1331"/>
      <c r="CN12" s="1331"/>
      <c r="CO12" s="1331"/>
      <c r="CP12" s="1331"/>
      <c r="CQ12" s="1331"/>
      <c r="CR12" s="1331"/>
      <c r="CS12" s="1331"/>
      <c r="CT12" s="1331"/>
      <c r="CU12" s="1331"/>
      <c r="CV12" s="1331"/>
      <c r="CW12" s="1331"/>
      <c r="CX12" s="1331"/>
      <c r="CY12" s="1331"/>
      <c r="CZ12" s="1331"/>
      <c r="DA12" s="1331"/>
      <c r="DB12" s="1331"/>
      <c r="DC12" s="1331"/>
      <c r="DD12" s="1331"/>
      <c r="DE12" s="1331"/>
      <c r="DF12" s="1331"/>
      <c r="DG12" s="1331"/>
      <c r="DH12" s="1331"/>
      <c r="DI12" s="1331"/>
      <c r="DJ12" s="1331"/>
      <c r="DK12" s="1331"/>
      <c r="DL12" s="1331"/>
      <c r="DM12" s="1331"/>
      <c r="DN12" s="1331"/>
      <c r="DO12" s="1331"/>
      <c r="DP12" s="1331"/>
      <c r="DQ12" s="1331"/>
      <c r="DR12" s="1331"/>
      <c r="DS12" s="1331"/>
      <c r="DT12" s="1331"/>
      <c r="DU12" s="1331"/>
      <c r="DV12" s="1331"/>
      <c r="DW12" s="1331"/>
      <c r="DX12" s="1331"/>
      <c r="DY12" s="1331"/>
      <c r="DZ12" s="1331"/>
      <c r="EA12" s="1331"/>
      <c r="EB12" s="1331"/>
      <c r="EC12" s="1331"/>
      <c r="ED12" s="1331"/>
      <c r="EE12" s="1331"/>
      <c r="EF12" s="1331"/>
      <c r="EG12" s="1331"/>
      <c r="EH12" s="1331"/>
      <c r="EI12" s="1331"/>
      <c r="EJ12" s="1331"/>
      <c r="EK12" s="1331"/>
      <c r="EL12" s="1331"/>
      <c r="EM12" s="1331"/>
      <c r="EN12" s="1331"/>
      <c r="EO12" s="1331"/>
      <c r="EP12" s="1331"/>
      <c r="EQ12" s="1331"/>
      <c r="ER12" s="1331"/>
      <c r="ES12" s="1331"/>
      <c r="ET12" s="1331"/>
      <c r="EU12" s="1331"/>
      <c r="EV12" s="1331"/>
      <c r="EW12" s="1331"/>
      <c r="EX12" s="1331"/>
      <c r="EY12" s="1331"/>
      <c r="EZ12" s="1331"/>
      <c r="FA12" s="1331"/>
      <c r="FB12" s="1331"/>
      <c r="FC12" s="1331"/>
      <c r="FD12" s="1331"/>
      <c r="FE12" s="1331"/>
      <c r="FF12" s="1331"/>
      <c r="FG12" s="1331"/>
      <c r="FH12" s="1331"/>
      <c r="FI12" s="1331"/>
      <c r="FJ12" s="1331"/>
      <c r="FK12" s="1331"/>
      <c r="FL12" s="1331"/>
      <c r="FM12" s="1331"/>
      <c r="FN12" s="1331"/>
      <c r="FO12" s="1331"/>
      <c r="FP12" s="1331"/>
      <c r="FQ12" s="1331"/>
      <c r="FR12" s="1331"/>
      <c r="FS12" s="1331"/>
      <c r="FT12" s="1331"/>
      <c r="FU12" s="1331"/>
      <c r="FV12" s="1331"/>
      <c r="FW12" s="1331"/>
      <c r="FX12" s="1331"/>
      <c r="FY12" s="1331"/>
      <c r="FZ12" s="1331"/>
      <c r="GA12" s="1331"/>
      <c r="GB12" s="1331"/>
      <c r="GC12" s="1331"/>
      <c r="GD12" s="1331"/>
      <c r="GE12" s="1331"/>
      <c r="GF12" s="1331"/>
      <c r="GG12" s="1331"/>
      <c r="GH12" s="1331"/>
      <c r="GI12" s="1331"/>
      <c r="GJ12" s="1331"/>
      <c r="GK12" s="1331"/>
      <c r="GL12" s="1331"/>
      <c r="GM12" s="1331"/>
      <c r="GN12" s="1331"/>
      <c r="GO12" s="1331"/>
      <c r="GP12" s="1331"/>
      <c r="GQ12" s="1331"/>
      <c r="GR12" s="1331"/>
      <c r="GS12" s="1331"/>
      <c r="GT12" s="1331"/>
      <c r="GU12" s="1331"/>
      <c r="GV12" s="1331"/>
      <c r="GW12" s="1331"/>
      <c r="GX12" s="1331"/>
      <c r="GY12" s="1331"/>
      <c r="GZ12" s="1331"/>
      <c r="HA12" s="1331"/>
      <c r="HB12" s="1331"/>
      <c r="HC12" s="1331"/>
      <c r="HD12" s="1331"/>
      <c r="HE12" s="1331"/>
      <c r="HF12" s="1331"/>
      <c r="HG12" s="1331"/>
      <c r="HH12" s="1331"/>
      <c r="HI12" s="1331"/>
      <c r="HJ12" s="1331"/>
      <c r="HK12" s="1331"/>
      <c r="HL12" s="1331"/>
      <c r="HM12" s="1331"/>
      <c r="HN12" s="1331"/>
      <c r="HO12" s="1331"/>
      <c r="HP12" s="1331"/>
      <c r="HQ12" s="1331"/>
      <c r="HR12" s="1331"/>
      <c r="HS12" s="1331"/>
      <c r="HT12" s="1331"/>
      <c r="HU12" s="1331"/>
      <c r="HV12" s="1331"/>
      <c r="HW12" s="1331"/>
      <c r="HX12" s="1331"/>
      <c r="HY12" s="1331"/>
      <c r="HZ12" s="1331"/>
      <c r="IA12" s="1331"/>
      <c r="IB12" s="1331"/>
      <c r="IC12" s="1331"/>
      <c r="ID12" s="1331"/>
      <c r="IE12" s="1331"/>
      <c r="IF12" s="1331"/>
      <c r="IG12" s="1331"/>
      <c r="IH12" s="1331"/>
      <c r="II12" s="1331"/>
      <c r="IJ12" s="1331"/>
      <c r="IK12" s="1331"/>
      <c r="IL12" s="1331"/>
      <c r="IM12" s="1331"/>
      <c r="IN12" s="1331"/>
      <c r="IO12" s="1331"/>
      <c r="IP12" s="1331"/>
      <c r="IQ12" s="1331"/>
      <c r="IR12" s="1331"/>
      <c r="IS12" s="1331"/>
      <c r="IT12" s="1331"/>
      <c r="IU12" s="1331"/>
      <c r="IV12" s="1331"/>
    </row>
    <row r="13" spans="1:256">
      <c r="A13" s="1332" t="s">
        <v>2011</v>
      </c>
      <c r="B13" s="1333" t="s">
        <v>2098</v>
      </c>
      <c r="C13" s="1334"/>
      <c r="D13" s="1335">
        <f>SUM(D14:D33)</f>
        <v>550000</v>
      </c>
      <c r="E13" s="1335"/>
      <c r="F13" s="1335">
        <f>SUM(F14:F33)</f>
        <v>0</v>
      </c>
      <c r="G13" s="1335">
        <f>SUM(G14:G33)</f>
        <v>550000</v>
      </c>
      <c r="H13" s="1336">
        <v>0</v>
      </c>
      <c r="I13" s="1335">
        <f>SUM(I14:I33)</f>
        <v>550000</v>
      </c>
      <c r="J13" s="1335"/>
      <c r="K13" s="1335"/>
      <c r="L13" s="1512">
        <f>SUM(L14:L33)</f>
        <v>14700</v>
      </c>
      <c r="M13" s="1513">
        <f>SUM(M14:M33)</f>
        <v>79200</v>
      </c>
      <c r="N13" s="1512">
        <f>SUM(N14:N33)</f>
        <v>456100</v>
      </c>
      <c r="O13" s="1337"/>
      <c r="P13" s="1313"/>
      <c r="Q13" s="1313"/>
      <c r="R13" s="1313"/>
      <c r="S13" s="1313"/>
      <c r="T13" s="1313"/>
      <c r="U13" s="1313"/>
      <c r="V13" s="1313"/>
      <c r="W13" s="1313"/>
      <c r="X13" s="1313"/>
      <c r="Y13" s="1313"/>
      <c r="Z13" s="1313"/>
      <c r="AA13" s="1313"/>
      <c r="AB13" s="1313"/>
      <c r="AC13" s="1313"/>
      <c r="AD13" s="1313"/>
      <c r="AE13" s="1313"/>
      <c r="AF13" s="1313"/>
      <c r="AG13" s="1313"/>
      <c r="AH13" s="1313"/>
      <c r="AI13" s="1313"/>
      <c r="AJ13" s="1313"/>
      <c r="AK13" s="1313"/>
      <c r="AL13" s="1313"/>
      <c r="AM13" s="1313"/>
      <c r="AN13" s="1313"/>
      <c r="AO13" s="1313"/>
      <c r="AP13" s="1313"/>
      <c r="AQ13" s="1313"/>
      <c r="AR13" s="1313"/>
      <c r="AS13" s="1313"/>
      <c r="AT13" s="1313"/>
      <c r="AU13" s="1313"/>
      <c r="AV13" s="1313"/>
      <c r="AW13" s="1313"/>
      <c r="AX13" s="1313"/>
      <c r="AY13" s="1313"/>
      <c r="AZ13" s="1313"/>
      <c r="BA13" s="1313"/>
      <c r="BB13" s="1313"/>
      <c r="BC13" s="1313"/>
      <c r="BD13" s="1313"/>
      <c r="BE13" s="1313"/>
      <c r="BF13" s="1313"/>
      <c r="BG13" s="1313"/>
      <c r="BH13" s="1313"/>
      <c r="BI13" s="1313"/>
      <c r="BJ13" s="1313"/>
      <c r="BK13" s="1313"/>
      <c r="BL13" s="1313"/>
      <c r="BM13" s="1313"/>
      <c r="BN13" s="1313"/>
      <c r="BO13" s="1313"/>
      <c r="BP13" s="1313"/>
      <c r="BQ13" s="1313"/>
      <c r="BR13" s="1313"/>
      <c r="BS13" s="1313"/>
      <c r="BT13" s="1313"/>
      <c r="BU13" s="1313"/>
      <c r="BV13" s="1313"/>
      <c r="BW13" s="1313"/>
      <c r="BX13" s="1313"/>
      <c r="BY13" s="1313"/>
      <c r="BZ13" s="1313"/>
      <c r="CA13" s="1313"/>
      <c r="CB13" s="1313"/>
      <c r="CC13" s="1313"/>
      <c r="CD13" s="1313"/>
      <c r="CE13" s="1313"/>
      <c r="CF13" s="1313"/>
      <c r="CG13" s="1313"/>
      <c r="CH13" s="1313"/>
      <c r="CI13" s="1313"/>
      <c r="CJ13" s="1313"/>
      <c r="CK13" s="1313"/>
      <c r="CL13" s="1313"/>
      <c r="CM13" s="1313"/>
      <c r="CN13" s="1313"/>
      <c r="CO13" s="1313"/>
      <c r="CP13" s="1313"/>
      <c r="CQ13" s="1313"/>
      <c r="CR13" s="1313"/>
      <c r="CS13" s="1313"/>
      <c r="CT13" s="1313"/>
      <c r="CU13" s="1313"/>
      <c r="CV13" s="1313"/>
      <c r="CW13" s="1313"/>
      <c r="CX13" s="1313"/>
      <c r="CY13" s="1313"/>
      <c r="CZ13" s="1313"/>
      <c r="DA13" s="1313"/>
      <c r="DB13" s="1313"/>
      <c r="DC13" s="1313"/>
      <c r="DD13" s="1313"/>
      <c r="DE13" s="1313"/>
      <c r="DF13" s="1313"/>
      <c r="DG13" s="1313"/>
      <c r="DH13" s="1313"/>
      <c r="DI13" s="1313"/>
      <c r="DJ13" s="1313"/>
      <c r="DK13" s="1313"/>
      <c r="DL13" s="1313"/>
      <c r="DM13" s="1313"/>
      <c r="DN13" s="1313"/>
      <c r="DO13" s="1313"/>
      <c r="DP13" s="1313"/>
      <c r="DQ13" s="1313"/>
      <c r="DR13" s="1313"/>
      <c r="DS13" s="1313"/>
      <c r="DT13" s="1313"/>
      <c r="DU13" s="1313"/>
      <c r="DV13" s="1313"/>
      <c r="DW13" s="1313"/>
      <c r="DX13" s="1313"/>
      <c r="DY13" s="1313"/>
      <c r="DZ13" s="1313"/>
      <c r="EA13" s="1313"/>
      <c r="EB13" s="1313"/>
      <c r="EC13" s="1313"/>
      <c r="ED13" s="1313"/>
      <c r="EE13" s="1313"/>
      <c r="EF13" s="1313"/>
      <c r="EG13" s="1313"/>
      <c r="EH13" s="1313"/>
      <c r="EI13" s="1313"/>
      <c r="EJ13" s="1313"/>
      <c r="EK13" s="1313"/>
      <c r="EL13" s="1313"/>
      <c r="EM13" s="1313"/>
      <c r="EN13" s="1313"/>
      <c r="EO13" s="1313"/>
      <c r="EP13" s="1313"/>
      <c r="EQ13" s="1313"/>
      <c r="ER13" s="1313"/>
      <c r="ES13" s="1313"/>
      <c r="ET13" s="1313"/>
      <c r="EU13" s="1313"/>
      <c r="EV13" s="1313"/>
      <c r="EW13" s="1313"/>
      <c r="EX13" s="1313"/>
      <c r="EY13" s="1313"/>
      <c r="EZ13" s="1313"/>
      <c r="FA13" s="1313"/>
      <c r="FB13" s="1313"/>
      <c r="FC13" s="1313"/>
      <c r="FD13" s="1313"/>
      <c r="FE13" s="1313"/>
      <c r="FF13" s="1313"/>
      <c r="FG13" s="1313"/>
      <c r="FH13" s="1313"/>
      <c r="FI13" s="1313"/>
      <c r="FJ13" s="1313"/>
      <c r="FK13" s="1313"/>
      <c r="FL13" s="1313"/>
      <c r="FM13" s="1313"/>
      <c r="FN13" s="1313"/>
      <c r="FO13" s="1313"/>
      <c r="FP13" s="1313"/>
      <c r="FQ13" s="1313"/>
      <c r="FR13" s="1313"/>
      <c r="FS13" s="1313"/>
      <c r="FT13" s="1313"/>
      <c r="FU13" s="1313"/>
      <c r="FV13" s="1313"/>
      <c r="FW13" s="1313"/>
      <c r="FX13" s="1313"/>
      <c r="FY13" s="1313"/>
      <c r="FZ13" s="1313"/>
      <c r="GA13" s="1313"/>
      <c r="GB13" s="1313"/>
      <c r="GC13" s="1313"/>
      <c r="GD13" s="1313"/>
      <c r="GE13" s="1313"/>
      <c r="GF13" s="1313"/>
      <c r="GG13" s="1313"/>
      <c r="GH13" s="1313"/>
      <c r="GI13" s="1313"/>
      <c r="GJ13" s="1313"/>
      <c r="GK13" s="1313"/>
      <c r="GL13" s="1313"/>
      <c r="GM13" s="1313"/>
      <c r="GN13" s="1313"/>
      <c r="GO13" s="1313"/>
      <c r="GP13" s="1313"/>
      <c r="GQ13" s="1313"/>
      <c r="GR13" s="1313"/>
      <c r="GS13" s="1313"/>
      <c r="GT13" s="1313"/>
      <c r="GU13" s="1313"/>
      <c r="GV13" s="1313"/>
      <c r="GW13" s="1313"/>
      <c r="GX13" s="1313"/>
      <c r="GY13" s="1313"/>
      <c r="GZ13" s="1313"/>
      <c r="HA13" s="1313"/>
      <c r="HB13" s="1313"/>
      <c r="HC13" s="1313"/>
      <c r="HD13" s="1313"/>
      <c r="HE13" s="1313"/>
      <c r="HF13" s="1313"/>
      <c r="HG13" s="1313"/>
      <c r="HH13" s="1313"/>
      <c r="HI13" s="1313"/>
      <c r="HJ13" s="1313"/>
      <c r="HK13" s="1313"/>
      <c r="HL13" s="1313"/>
      <c r="HM13" s="1313"/>
      <c r="HN13" s="1313"/>
      <c r="HO13" s="1313"/>
      <c r="HP13" s="1313"/>
      <c r="HQ13" s="1313"/>
      <c r="HR13" s="1313"/>
      <c r="HS13" s="1313"/>
      <c r="HT13" s="1313"/>
      <c r="HU13" s="1313"/>
      <c r="HV13" s="1313"/>
      <c r="HW13" s="1313"/>
      <c r="HX13" s="1313"/>
      <c r="HY13" s="1313"/>
      <c r="HZ13" s="1313"/>
      <c r="IA13" s="1313"/>
      <c r="IB13" s="1313"/>
      <c r="IC13" s="1313"/>
      <c r="ID13" s="1313"/>
      <c r="IE13" s="1313"/>
      <c r="IF13" s="1313"/>
      <c r="IG13" s="1313"/>
      <c r="IH13" s="1313"/>
      <c r="II13" s="1313"/>
      <c r="IJ13" s="1313"/>
      <c r="IK13" s="1313"/>
      <c r="IL13" s="1313"/>
      <c r="IM13" s="1313"/>
      <c r="IN13" s="1313"/>
      <c r="IO13" s="1313"/>
      <c r="IP13" s="1313"/>
      <c r="IQ13" s="1313"/>
      <c r="IR13" s="1313"/>
      <c r="IS13" s="1313"/>
      <c r="IT13" s="1313"/>
      <c r="IU13" s="1313"/>
      <c r="IV13" s="1313"/>
    </row>
    <row r="14" spans="1:256" ht="31.5">
      <c r="A14" s="1347">
        <v>1</v>
      </c>
      <c r="B14" s="1339" t="s">
        <v>2099</v>
      </c>
      <c r="C14" s="1365" t="s">
        <v>2073</v>
      </c>
      <c r="D14" s="1341">
        <v>36000</v>
      </c>
      <c r="E14" s="1366">
        <v>0</v>
      </c>
      <c r="F14" s="1367">
        <f t="shared" ref="F14:F27" si="10">D14*E14</f>
        <v>0</v>
      </c>
      <c r="G14" s="1367">
        <f t="shared" ref="G14:G33" si="11">D14-F14</f>
        <v>36000</v>
      </c>
      <c r="H14" s="1368">
        <f t="shared" ref="H14:H33" si="12">H13</f>
        <v>0</v>
      </c>
      <c r="I14" s="1367">
        <f t="shared" ref="I14:I33" si="13">G14-G14*H14</f>
        <v>36000</v>
      </c>
      <c r="J14" s="1368">
        <v>0</v>
      </c>
      <c r="K14" s="1366">
        <v>0.4</v>
      </c>
      <c r="L14" s="1514">
        <f t="shared" ref="L14:L33" si="14">I14*J14</f>
        <v>0</v>
      </c>
      <c r="M14" s="1515">
        <f t="shared" ref="M14:M33" si="15">I14*K14</f>
        <v>14400</v>
      </c>
      <c r="N14" s="1516">
        <f t="shared" ref="N14:N33" si="16">I14-L14-M14</f>
        <v>21600</v>
      </c>
      <c r="O14" s="1369"/>
      <c r="P14" s="1370"/>
      <c r="Q14" s="1370"/>
      <c r="R14" s="1370"/>
      <c r="S14" s="1370"/>
      <c r="T14" s="1370"/>
      <c r="U14" s="1370"/>
      <c r="V14" s="1370"/>
      <c r="W14" s="1370"/>
      <c r="X14" s="1370"/>
      <c r="Y14" s="1370"/>
      <c r="Z14" s="1370"/>
      <c r="AA14" s="1370"/>
      <c r="AB14" s="1370"/>
      <c r="AC14" s="1370"/>
      <c r="AD14" s="1370"/>
      <c r="AE14" s="1370"/>
      <c r="AF14" s="1370"/>
      <c r="AG14" s="1370"/>
      <c r="AH14" s="1370"/>
      <c r="AI14" s="1370"/>
      <c r="AJ14" s="1370"/>
      <c r="AK14" s="1370"/>
      <c r="AL14" s="1370"/>
      <c r="AM14" s="1370"/>
      <c r="AN14" s="1370"/>
      <c r="AO14" s="1370"/>
      <c r="AP14" s="1370"/>
      <c r="AQ14" s="1370"/>
      <c r="AR14" s="1370"/>
      <c r="AS14" s="1370"/>
      <c r="AT14" s="1370"/>
      <c r="AU14" s="1370"/>
      <c r="AV14" s="1370"/>
      <c r="AW14" s="1370"/>
      <c r="AX14" s="1370"/>
      <c r="AY14" s="1370"/>
      <c r="AZ14" s="1370"/>
      <c r="BA14" s="1370"/>
      <c r="BB14" s="1370"/>
      <c r="BC14" s="1370"/>
      <c r="BD14" s="1370"/>
      <c r="BE14" s="1370"/>
      <c r="BF14" s="1370"/>
      <c r="BG14" s="1370"/>
      <c r="BH14" s="1370"/>
      <c r="BI14" s="1370"/>
      <c r="BJ14" s="1370"/>
      <c r="BK14" s="1370"/>
      <c r="BL14" s="1370"/>
      <c r="BM14" s="1370"/>
      <c r="BN14" s="1370"/>
      <c r="BO14" s="1370"/>
      <c r="BP14" s="1370"/>
      <c r="BQ14" s="1370"/>
      <c r="BR14" s="1370"/>
      <c r="BS14" s="1370"/>
      <c r="BT14" s="1370"/>
      <c r="BU14" s="1370"/>
      <c r="BV14" s="1370"/>
      <c r="BW14" s="1370"/>
      <c r="BX14" s="1370"/>
      <c r="BY14" s="1370"/>
      <c r="BZ14" s="1370"/>
      <c r="CA14" s="1370"/>
      <c r="CB14" s="1370"/>
      <c r="CC14" s="1370"/>
      <c r="CD14" s="1370"/>
      <c r="CE14" s="1370"/>
      <c r="CF14" s="1370"/>
      <c r="CG14" s="1370"/>
      <c r="CH14" s="1370"/>
      <c r="CI14" s="1370"/>
      <c r="CJ14" s="1370"/>
      <c r="CK14" s="1370"/>
      <c r="CL14" s="1370"/>
      <c r="CM14" s="1370"/>
      <c r="CN14" s="1370"/>
      <c r="CO14" s="1370"/>
      <c r="CP14" s="1370"/>
      <c r="CQ14" s="1370"/>
      <c r="CR14" s="1370"/>
      <c r="CS14" s="1370"/>
      <c r="CT14" s="1370"/>
      <c r="CU14" s="1370"/>
      <c r="CV14" s="1370"/>
      <c r="CW14" s="1370"/>
      <c r="CX14" s="1370"/>
      <c r="CY14" s="1370"/>
      <c r="CZ14" s="1370"/>
      <c r="DA14" s="1370"/>
      <c r="DB14" s="1370"/>
      <c r="DC14" s="1370"/>
      <c r="DD14" s="1370"/>
      <c r="DE14" s="1370"/>
      <c r="DF14" s="1370"/>
      <c r="DG14" s="1370"/>
      <c r="DH14" s="1370"/>
      <c r="DI14" s="1370"/>
      <c r="DJ14" s="1370"/>
      <c r="DK14" s="1370"/>
      <c r="DL14" s="1370"/>
      <c r="DM14" s="1370"/>
      <c r="DN14" s="1370"/>
      <c r="DO14" s="1370"/>
      <c r="DP14" s="1370"/>
      <c r="DQ14" s="1370"/>
      <c r="DR14" s="1370"/>
      <c r="DS14" s="1370"/>
      <c r="DT14" s="1370"/>
      <c r="DU14" s="1370"/>
      <c r="DV14" s="1370"/>
      <c r="DW14" s="1370"/>
      <c r="DX14" s="1370"/>
      <c r="DY14" s="1370"/>
      <c r="DZ14" s="1370"/>
      <c r="EA14" s="1370"/>
      <c r="EB14" s="1370"/>
      <c r="EC14" s="1370"/>
      <c r="ED14" s="1370"/>
      <c r="EE14" s="1370"/>
      <c r="EF14" s="1370"/>
      <c r="EG14" s="1370"/>
      <c r="EH14" s="1370"/>
      <c r="EI14" s="1370"/>
      <c r="EJ14" s="1370"/>
      <c r="EK14" s="1370"/>
      <c r="EL14" s="1370"/>
      <c r="EM14" s="1370"/>
      <c r="EN14" s="1370"/>
      <c r="EO14" s="1370"/>
      <c r="EP14" s="1370"/>
      <c r="EQ14" s="1370"/>
      <c r="ER14" s="1370"/>
      <c r="ES14" s="1370"/>
      <c r="ET14" s="1370"/>
      <c r="EU14" s="1370"/>
      <c r="EV14" s="1370"/>
      <c r="EW14" s="1370"/>
      <c r="EX14" s="1370"/>
      <c r="EY14" s="1370"/>
      <c r="EZ14" s="1370"/>
      <c r="FA14" s="1370"/>
      <c r="FB14" s="1370"/>
      <c r="FC14" s="1370"/>
      <c r="FD14" s="1370"/>
      <c r="FE14" s="1370"/>
      <c r="FF14" s="1370"/>
      <c r="FG14" s="1370"/>
      <c r="FH14" s="1370"/>
      <c r="FI14" s="1370"/>
      <c r="FJ14" s="1370"/>
      <c r="FK14" s="1370"/>
      <c r="FL14" s="1370"/>
      <c r="FM14" s="1370"/>
      <c r="FN14" s="1370"/>
      <c r="FO14" s="1370"/>
      <c r="FP14" s="1370"/>
      <c r="FQ14" s="1370"/>
      <c r="FR14" s="1370"/>
      <c r="FS14" s="1370"/>
      <c r="FT14" s="1370"/>
      <c r="FU14" s="1370"/>
      <c r="FV14" s="1370"/>
      <c r="FW14" s="1370"/>
      <c r="FX14" s="1370"/>
      <c r="FY14" s="1370"/>
      <c r="FZ14" s="1370"/>
      <c r="GA14" s="1370"/>
      <c r="GB14" s="1370"/>
      <c r="GC14" s="1370"/>
      <c r="GD14" s="1370"/>
      <c r="GE14" s="1370"/>
      <c r="GF14" s="1370"/>
      <c r="GG14" s="1370"/>
      <c r="GH14" s="1370"/>
      <c r="GI14" s="1370"/>
      <c r="GJ14" s="1370"/>
      <c r="GK14" s="1370"/>
      <c r="GL14" s="1370"/>
      <c r="GM14" s="1370"/>
      <c r="GN14" s="1370"/>
      <c r="GO14" s="1370"/>
      <c r="GP14" s="1370"/>
      <c r="GQ14" s="1370"/>
      <c r="GR14" s="1370"/>
      <c r="GS14" s="1370"/>
      <c r="GT14" s="1370"/>
      <c r="GU14" s="1370"/>
      <c r="GV14" s="1370"/>
      <c r="GW14" s="1370"/>
      <c r="GX14" s="1370"/>
      <c r="GY14" s="1370"/>
      <c r="GZ14" s="1370"/>
      <c r="HA14" s="1370"/>
      <c r="HB14" s="1370"/>
      <c r="HC14" s="1370"/>
      <c r="HD14" s="1370"/>
      <c r="HE14" s="1370"/>
      <c r="HF14" s="1370"/>
      <c r="HG14" s="1370"/>
      <c r="HH14" s="1370"/>
      <c r="HI14" s="1370"/>
      <c r="HJ14" s="1370"/>
      <c r="HK14" s="1370"/>
      <c r="HL14" s="1370"/>
      <c r="HM14" s="1370"/>
      <c r="HN14" s="1370"/>
      <c r="HO14" s="1370"/>
      <c r="HP14" s="1370"/>
      <c r="HQ14" s="1370"/>
      <c r="HR14" s="1370"/>
      <c r="HS14" s="1370"/>
      <c r="HT14" s="1370"/>
      <c r="HU14" s="1370"/>
      <c r="HV14" s="1370"/>
      <c r="HW14" s="1370"/>
      <c r="HX14" s="1370"/>
      <c r="HY14" s="1370"/>
      <c r="HZ14" s="1370"/>
      <c r="IA14" s="1370"/>
      <c r="IB14" s="1370"/>
      <c r="IC14" s="1370"/>
      <c r="ID14" s="1370"/>
      <c r="IE14" s="1370"/>
      <c r="IF14" s="1370"/>
      <c r="IG14" s="1370"/>
      <c r="IH14" s="1370"/>
      <c r="II14" s="1370"/>
      <c r="IJ14" s="1370"/>
      <c r="IK14" s="1370"/>
      <c r="IL14" s="1370"/>
      <c r="IM14" s="1370"/>
      <c r="IN14" s="1370"/>
      <c r="IO14" s="1370"/>
      <c r="IP14" s="1370"/>
      <c r="IQ14" s="1370"/>
      <c r="IR14" s="1370"/>
      <c r="IS14" s="1370"/>
      <c r="IT14" s="1370"/>
      <c r="IU14" s="1370"/>
      <c r="IV14" s="1370"/>
    </row>
    <row r="15" spans="1:256" ht="31.5">
      <c r="A15" s="1338">
        <v>2</v>
      </c>
      <c r="B15" s="1339" t="s">
        <v>2100</v>
      </c>
      <c r="C15" s="1340" t="s">
        <v>2073</v>
      </c>
      <c r="D15" s="1341">
        <v>25000</v>
      </c>
      <c r="E15" s="1342">
        <v>0</v>
      </c>
      <c r="F15" s="1343">
        <f t="shared" si="10"/>
        <v>0</v>
      </c>
      <c r="G15" s="1343">
        <f t="shared" si="11"/>
        <v>25000</v>
      </c>
      <c r="H15" s="1344">
        <f t="shared" si="12"/>
        <v>0</v>
      </c>
      <c r="I15" s="1343">
        <f t="shared" si="13"/>
        <v>25000</v>
      </c>
      <c r="J15" s="1344">
        <v>0.1</v>
      </c>
      <c r="K15" s="1342">
        <v>0.4</v>
      </c>
      <c r="L15" s="1514">
        <f t="shared" si="14"/>
        <v>2500</v>
      </c>
      <c r="M15" s="1517">
        <f t="shared" si="15"/>
        <v>10000</v>
      </c>
      <c r="N15" s="1516">
        <f t="shared" si="16"/>
        <v>12500</v>
      </c>
      <c r="O15" s="1329"/>
    </row>
    <row r="16" spans="1:256" ht="31.5">
      <c r="A16" s="1347">
        <v>3</v>
      </c>
      <c r="B16" s="1348" t="s">
        <v>2101</v>
      </c>
      <c r="C16" s="1340" t="s">
        <v>2073</v>
      </c>
      <c r="D16" s="1341">
        <v>13000</v>
      </c>
      <c r="E16" s="1342">
        <v>0</v>
      </c>
      <c r="F16" s="1343">
        <f t="shared" si="10"/>
        <v>0</v>
      </c>
      <c r="G16" s="1343">
        <f t="shared" si="11"/>
        <v>13000</v>
      </c>
      <c r="H16" s="1344">
        <f t="shared" si="12"/>
        <v>0</v>
      </c>
      <c r="I16" s="1343">
        <f t="shared" si="13"/>
        <v>13000</v>
      </c>
      <c r="J16" s="1344">
        <v>0.1</v>
      </c>
      <c r="K16" s="1342">
        <v>0.4</v>
      </c>
      <c r="L16" s="1514">
        <f t="shared" si="14"/>
        <v>1300</v>
      </c>
      <c r="M16" s="1517">
        <f t="shared" si="15"/>
        <v>5200</v>
      </c>
      <c r="N16" s="1516">
        <f t="shared" si="16"/>
        <v>6500</v>
      </c>
      <c r="O16" s="1329"/>
    </row>
    <row r="17" spans="1:256" s="1363" customFormat="1" ht="31.5">
      <c r="A17" s="1349">
        <v>4</v>
      </c>
      <c r="B17" s="1350" t="s">
        <v>2102</v>
      </c>
      <c r="C17" s="1351" t="s">
        <v>2073</v>
      </c>
      <c r="D17" s="1352">
        <v>25000</v>
      </c>
      <c r="E17" s="1353">
        <v>0</v>
      </c>
      <c r="F17" s="1354">
        <f t="shared" si="10"/>
        <v>0</v>
      </c>
      <c r="G17" s="1354">
        <f t="shared" si="11"/>
        <v>25000</v>
      </c>
      <c r="H17" s="1355">
        <f t="shared" si="12"/>
        <v>0</v>
      </c>
      <c r="I17" s="1354">
        <f t="shared" si="13"/>
        <v>25000</v>
      </c>
      <c r="J17" s="1355">
        <v>0</v>
      </c>
      <c r="K17" s="1353">
        <v>0</v>
      </c>
      <c r="L17" s="1518">
        <f t="shared" si="14"/>
        <v>0</v>
      </c>
      <c r="M17" s="1515">
        <f t="shared" si="15"/>
        <v>0</v>
      </c>
      <c r="N17" s="1519">
        <f t="shared" si="16"/>
        <v>25000</v>
      </c>
      <c r="O17" s="1356"/>
      <c r="P17" s="1357"/>
      <c r="Q17" s="1357"/>
      <c r="R17" s="1357"/>
      <c r="S17" s="1357"/>
      <c r="T17" s="1357"/>
      <c r="U17" s="1357"/>
      <c r="V17" s="1357"/>
      <c r="W17" s="1357"/>
      <c r="X17" s="1357"/>
      <c r="Y17" s="1357"/>
      <c r="Z17" s="1357"/>
      <c r="AA17" s="1357"/>
      <c r="AB17" s="1357"/>
      <c r="AC17" s="1357"/>
      <c r="AD17" s="1357"/>
      <c r="AE17" s="1357"/>
      <c r="AF17" s="1357"/>
      <c r="AG17" s="1357"/>
      <c r="AH17" s="1357"/>
      <c r="AI17" s="1357"/>
      <c r="AJ17" s="1357"/>
      <c r="AK17" s="1357"/>
      <c r="AL17" s="1357"/>
      <c r="AM17" s="1357"/>
      <c r="AN17" s="1357"/>
      <c r="AO17" s="1357"/>
      <c r="AP17" s="1357"/>
      <c r="AQ17" s="1357"/>
      <c r="AR17" s="1357"/>
      <c r="AS17" s="1357"/>
      <c r="AT17" s="1357"/>
      <c r="AU17" s="1357"/>
      <c r="AV17" s="1357"/>
      <c r="AW17" s="1357"/>
      <c r="AX17" s="1357"/>
      <c r="AY17" s="1357"/>
      <c r="AZ17" s="1357"/>
      <c r="BA17" s="1357"/>
      <c r="BB17" s="1357"/>
      <c r="BC17" s="1357"/>
      <c r="BD17" s="1357"/>
      <c r="BE17" s="1357"/>
      <c r="BF17" s="1357"/>
      <c r="BG17" s="1357"/>
      <c r="BH17" s="1357"/>
      <c r="BI17" s="1357"/>
      <c r="BJ17" s="1357"/>
      <c r="BK17" s="1357"/>
      <c r="BL17" s="1357"/>
      <c r="BM17" s="1357"/>
      <c r="BN17" s="1357"/>
      <c r="BO17" s="1357"/>
      <c r="BP17" s="1357"/>
      <c r="BQ17" s="1357"/>
      <c r="BR17" s="1357"/>
      <c r="BS17" s="1357"/>
      <c r="BT17" s="1357"/>
      <c r="BU17" s="1357"/>
      <c r="BV17" s="1357"/>
      <c r="BW17" s="1357"/>
      <c r="BX17" s="1357"/>
      <c r="BY17" s="1357"/>
      <c r="BZ17" s="1357"/>
      <c r="CA17" s="1357"/>
      <c r="CB17" s="1357"/>
      <c r="CC17" s="1357"/>
      <c r="CD17" s="1357"/>
      <c r="CE17" s="1357"/>
      <c r="CF17" s="1357"/>
      <c r="CG17" s="1357"/>
      <c r="CH17" s="1357"/>
      <c r="CI17" s="1357"/>
      <c r="CJ17" s="1357"/>
      <c r="CK17" s="1357"/>
      <c r="CL17" s="1357"/>
      <c r="CM17" s="1357"/>
      <c r="CN17" s="1357"/>
      <c r="CO17" s="1357"/>
      <c r="CP17" s="1357"/>
      <c r="CQ17" s="1357"/>
      <c r="CR17" s="1357"/>
      <c r="CS17" s="1357"/>
      <c r="CT17" s="1357"/>
      <c r="CU17" s="1357"/>
      <c r="CV17" s="1357"/>
      <c r="CW17" s="1357"/>
      <c r="CX17" s="1357"/>
      <c r="CY17" s="1357"/>
      <c r="CZ17" s="1357"/>
      <c r="DA17" s="1357"/>
      <c r="DB17" s="1357"/>
      <c r="DC17" s="1357"/>
      <c r="DD17" s="1357"/>
      <c r="DE17" s="1357"/>
      <c r="DF17" s="1357"/>
      <c r="DG17" s="1357"/>
      <c r="DH17" s="1357"/>
      <c r="DI17" s="1357"/>
      <c r="DJ17" s="1357"/>
      <c r="DK17" s="1357"/>
      <c r="DL17" s="1357"/>
      <c r="DM17" s="1357"/>
      <c r="DN17" s="1357"/>
      <c r="DO17" s="1357"/>
      <c r="DP17" s="1357"/>
      <c r="DQ17" s="1357"/>
      <c r="DR17" s="1357"/>
      <c r="DS17" s="1357"/>
      <c r="DT17" s="1357"/>
      <c r="DU17" s="1357"/>
      <c r="DV17" s="1357"/>
      <c r="DW17" s="1357"/>
      <c r="DX17" s="1357"/>
      <c r="DY17" s="1357"/>
      <c r="DZ17" s="1357"/>
      <c r="EA17" s="1357"/>
      <c r="EB17" s="1357"/>
      <c r="EC17" s="1357"/>
      <c r="ED17" s="1357"/>
      <c r="EE17" s="1357"/>
      <c r="EF17" s="1357"/>
      <c r="EG17" s="1357"/>
      <c r="EH17" s="1357"/>
      <c r="EI17" s="1357"/>
      <c r="EJ17" s="1357"/>
      <c r="EK17" s="1357"/>
      <c r="EL17" s="1357"/>
      <c r="EM17" s="1357"/>
      <c r="EN17" s="1357"/>
      <c r="EO17" s="1357"/>
      <c r="EP17" s="1357"/>
      <c r="EQ17" s="1357"/>
      <c r="ER17" s="1357"/>
      <c r="ES17" s="1357"/>
      <c r="ET17" s="1357"/>
      <c r="EU17" s="1357"/>
      <c r="EV17" s="1357"/>
      <c r="EW17" s="1357"/>
      <c r="EX17" s="1357"/>
      <c r="EY17" s="1357"/>
      <c r="EZ17" s="1357"/>
      <c r="FA17" s="1357"/>
      <c r="FB17" s="1357"/>
      <c r="FC17" s="1357"/>
      <c r="FD17" s="1357"/>
      <c r="FE17" s="1357"/>
      <c r="FF17" s="1357"/>
      <c r="FG17" s="1357"/>
      <c r="FH17" s="1357"/>
      <c r="FI17" s="1357"/>
      <c r="FJ17" s="1357"/>
      <c r="FK17" s="1357"/>
      <c r="FL17" s="1357"/>
      <c r="FM17" s="1357"/>
      <c r="FN17" s="1357"/>
      <c r="FO17" s="1357"/>
      <c r="FP17" s="1357"/>
      <c r="FQ17" s="1357"/>
      <c r="FR17" s="1357"/>
      <c r="FS17" s="1357"/>
      <c r="FT17" s="1357"/>
      <c r="FU17" s="1357"/>
      <c r="FV17" s="1357"/>
      <c r="FW17" s="1357"/>
      <c r="FX17" s="1357"/>
      <c r="FY17" s="1357"/>
      <c r="FZ17" s="1357"/>
      <c r="GA17" s="1357"/>
      <c r="GB17" s="1357"/>
      <c r="GC17" s="1357"/>
      <c r="GD17" s="1357"/>
      <c r="GE17" s="1357"/>
      <c r="GF17" s="1357"/>
      <c r="GG17" s="1357"/>
      <c r="GH17" s="1357"/>
      <c r="GI17" s="1357"/>
      <c r="GJ17" s="1357"/>
      <c r="GK17" s="1357"/>
      <c r="GL17" s="1357"/>
      <c r="GM17" s="1357"/>
      <c r="GN17" s="1357"/>
      <c r="GO17" s="1357"/>
      <c r="GP17" s="1357"/>
      <c r="GQ17" s="1357"/>
      <c r="GR17" s="1357"/>
      <c r="GS17" s="1357"/>
      <c r="GT17" s="1357"/>
      <c r="GU17" s="1357"/>
      <c r="GV17" s="1357"/>
      <c r="GW17" s="1357"/>
      <c r="GX17" s="1357"/>
      <c r="GY17" s="1357"/>
      <c r="GZ17" s="1357"/>
      <c r="HA17" s="1357"/>
      <c r="HB17" s="1357"/>
      <c r="HC17" s="1357"/>
      <c r="HD17" s="1357"/>
      <c r="HE17" s="1357"/>
      <c r="HF17" s="1357"/>
      <c r="HG17" s="1357"/>
      <c r="HH17" s="1357"/>
      <c r="HI17" s="1357"/>
      <c r="HJ17" s="1357"/>
      <c r="HK17" s="1357"/>
      <c r="HL17" s="1357"/>
      <c r="HM17" s="1357"/>
      <c r="HN17" s="1357"/>
      <c r="HO17" s="1357"/>
      <c r="HP17" s="1357"/>
      <c r="HQ17" s="1357"/>
      <c r="HR17" s="1357"/>
      <c r="HS17" s="1357"/>
      <c r="HT17" s="1357"/>
      <c r="HU17" s="1357"/>
      <c r="HV17" s="1357"/>
      <c r="HW17" s="1357"/>
      <c r="HX17" s="1357"/>
      <c r="HY17" s="1357"/>
      <c r="HZ17" s="1357"/>
      <c r="IA17" s="1357"/>
      <c r="IB17" s="1357"/>
      <c r="IC17" s="1357"/>
      <c r="ID17" s="1357"/>
      <c r="IE17" s="1357"/>
      <c r="IF17" s="1357"/>
      <c r="IG17" s="1357"/>
      <c r="IH17" s="1357"/>
      <c r="II17" s="1357"/>
      <c r="IJ17" s="1357"/>
      <c r="IK17" s="1357"/>
      <c r="IL17" s="1357"/>
      <c r="IM17" s="1357"/>
      <c r="IN17" s="1357"/>
      <c r="IO17" s="1357"/>
      <c r="IP17" s="1357"/>
      <c r="IQ17" s="1357"/>
      <c r="IR17" s="1357"/>
      <c r="IS17" s="1357"/>
      <c r="IT17" s="1357"/>
      <c r="IU17" s="1357"/>
      <c r="IV17" s="1357"/>
    </row>
    <row r="18" spans="1:256" ht="47.25">
      <c r="A18" s="1347">
        <v>5</v>
      </c>
      <c r="B18" s="1339" t="s">
        <v>2103</v>
      </c>
      <c r="C18" s="1340" t="s">
        <v>2073</v>
      </c>
      <c r="D18" s="1341">
        <v>10000</v>
      </c>
      <c r="E18" s="1342">
        <v>0</v>
      </c>
      <c r="F18" s="1343">
        <f t="shared" si="10"/>
        <v>0</v>
      </c>
      <c r="G18" s="1343">
        <f t="shared" si="11"/>
        <v>10000</v>
      </c>
      <c r="H18" s="1344">
        <f t="shared" si="12"/>
        <v>0</v>
      </c>
      <c r="I18" s="1343">
        <f t="shared" si="13"/>
        <v>10000</v>
      </c>
      <c r="J18" s="1344">
        <v>0.1</v>
      </c>
      <c r="K18" s="1342">
        <v>0.4</v>
      </c>
      <c r="L18" s="1514">
        <f t="shared" si="14"/>
        <v>1000</v>
      </c>
      <c r="M18" s="1517">
        <f t="shared" si="15"/>
        <v>4000</v>
      </c>
      <c r="N18" s="1516">
        <f t="shared" si="16"/>
        <v>5000</v>
      </c>
      <c r="O18" s="1346"/>
    </row>
    <row r="19" spans="1:256" s="1363" customFormat="1" ht="47.25">
      <c r="A19" s="1349">
        <v>6</v>
      </c>
      <c r="B19" s="1350" t="s">
        <v>2104</v>
      </c>
      <c r="C19" s="1351" t="s">
        <v>2073</v>
      </c>
      <c r="D19" s="1352">
        <v>20000</v>
      </c>
      <c r="E19" s="1353">
        <v>0</v>
      </c>
      <c r="F19" s="1354">
        <f t="shared" si="10"/>
        <v>0</v>
      </c>
      <c r="G19" s="1354">
        <f t="shared" si="11"/>
        <v>20000</v>
      </c>
      <c r="H19" s="1355">
        <f t="shared" si="12"/>
        <v>0</v>
      </c>
      <c r="I19" s="1354">
        <f t="shared" si="13"/>
        <v>20000</v>
      </c>
      <c r="J19" s="1355">
        <v>0</v>
      </c>
      <c r="K19" s="1353">
        <v>0</v>
      </c>
      <c r="L19" s="1518">
        <f t="shared" si="14"/>
        <v>0</v>
      </c>
      <c r="M19" s="1515">
        <f t="shared" si="15"/>
        <v>0</v>
      </c>
      <c r="N19" s="1519">
        <f t="shared" si="16"/>
        <v>20000</v>
      </c>
      <c r="O19" s="1356"/>
      <c r="P19" s="1357"/>
      <c r="Q19" s="1357"/>
      <c r="R19" s="1357"/>
      <c r="S19" s="1357"/>
      <c r="T19" s="1357"/>
      <c r="U19" s="1357"/>
      <c r="V19" s="1357"/>
      <c r="W19" s="1357"/>
      <c r="X19" s="1357"/>
      <c r="Y19" s="1357"/>
      <c r="Z19" s="1357"/>
      <c r="AA19" s="1357"/>
      <c r="AB19" s="1357"/>
      <c r="AC19" s="1357"/>
      <c r="AD19" s="1357"/>
      <c r="AE19" s="1357"/>
      <c r="AF19" s="1357"/>
      <c r="AG19" s="1357"/>
      <c r="AH19" s="1357"/>
      <c r="AI19" s="1357"/>
      <c r="AJ19" s="1357"/>
      <c r="AK19" s="1357"/>
      <c r="AL19" s="1357"/>
      <c r="AM19" s="1357"/>
      <c r="AN19" s="1357"/>
      <c r="AO19" s="1357"/>
      <c r="AP19" s="1357"/>
      <c r="AQ19" s="1357"/>
      <c r="AR19" s="1357"/>
      <c r="AS19" s="1357"/>
      <c r="AT19" s="1357"/>
      <c r="AU19" s="1357"/>
      <c r="AV19" s="1357"/>
      <c r="AW19" s="1357"/>
      <c r="AX19" s="1357"/>
      <c r="AY19" s="1357"/>
      <c r="AZ19" s="1357"/>
      <c r="BA19" s="1357"/>
      <c r="BB19" s="1357"/>
      <c r="BC19" s="1357"/>
      <c r="BD19" s="1357"/>
      <c r="BE19" s="1357"/>
      <c r="BF19" s="1357"/>
      <c r="BG19" s="1357"/>
      <c r="BH19" s="1357"/>
      <c r="BI19" s="1357"/>
      <c r="BJ19" s="1357"/>
      <c r="BK19" s="1357"/>
      <c r="BL19" s="1357"/>
      <c r="BM19" s="1357"/>
      <c r="BN19" s="1357"/>
      <c r="BO19" s="1357"/>
      <c r="BP19" s="1357"/>
      <c r="BQ19" s="1357"/>
      <c r="BR19" s="1357"/>
      <c r="BS19" s="1357"/>
      <c r="BT19" s="1357"/>
      <c r="BU19" s="1357"/>
      <c r="BV19" s="1357"/>
      <c r="BW19" s="1357"/>
      <c r="BX19" s="1357"/>
      <c r="BY19" s="1357"/>
      <c r="BZ19" s="1357"/>
      <c r="CA19" s="1357"/>
      <c r="CB19" s="1357"/>
      <c r="CC19" s="1357"/>
      <c r="CD19" s="1357"/>
      <c r="CE19" s="1357"/>
      <c r="CF19" s="1357"/>
      <c r="CG19" s="1357"/>
      <c r="CH19" s="1357"/>
      <c r="CI19" s="1357"/>
      <c r="CJ19" s="1357"/>
      <c r="CK19" s="1357"/>
      <c r="CL19" s="1357"/>
      <c r="CM19" s="1357"/>
      <c r="CN19" s="1357"/>
      <c r="CO19" s="1357"/>
      <c r="CP19" s="1357"/>
      <c r="CQ19" s="1357"/>
      <c r="CR19" s="1357"/>
      <c r="CS19" s="1357"/>
      <c r="CT19" s="1357"/>
      <c r="CU19" s="1357"/>
      <c r="CV19" s="1357"/>
      <c r="CW19" s="1357"/>
      <c r="CX19" s="1357"/>
      <c r="CY19" s="1357"/>
      <c r="CZ19" s="1357"/>
      <c r="DA19" s="1357"/>
      <c r="DB19" s="1357"/>
      <c r="DC19" s="1357"/>
      <c r="DD19" s="1357"/>
      <c r="DE19" s="1357"/>
      <c r="DF19" s="1357"/>
      <c r="DG19" s="1357"/>
      <c r="DH19" s="1357"/>
      <c r="DI19" s="1357"/>
      <c r="DJ19" s="1357"/>
      <c r="DK19" s="1357"/>
      <c r="DL19" s="1357"/>
      <c r="DM19" s="1357"/>
      <c r="DN19" s="1357"/>
      <c r="DO19" s="1357"/>
      <c r="DP19" s="1357"/>
      <c r="DQ19" s="1357"/>
      <c r="DR19" s="1357"/>
      <c r="DS19" s="1357"/>
      <c r="DT19" s="1357"/>
      <c r="DU19" s="1357"/>
      <c r="DV19" s="1357"/>
      <c r="DW19" s="1357"/>
      <c r="DX19" s="1357"/>
      <c r="DY19" s="1357"/>
      <c r="DZ19" s="1357"/>
      <c r="EA19" s="1357"/>
      <c r="EB19" s="1357"/>
      <c r="EC19" s="1357"/>
      <c r="ED19" s="1357"/>
      <c r="EE19" s="1357"/>
      <c r="EF19" s="1357"/>
      <c r="EG19" s="1357"/>
      <c r="EH19" s="1357"/>
      <c r="EI19" s="1357"/>
      <c r="EJ19" s="1357"/>
      <c r="EK19" s="1357"/>
      <c r="EL19" s="1357"/>
      <c r="EM19" s="1357"/>
      <c r="EN19" s="1357"/>
      <c r="EO19" s="1357"/>
      <c r="EP19" s="1357"/>
      <c r="EQ19" s="1357"/>
      <c r="ER19" s="1357"/>
      <c r="ES19" s="1357"/>
      <c r="ET19" s="1357"/>
      <c r="EU19" s="1357"/>
      <c r="EV19" s="1357"/>
      <c r="EW19" s="1357"/>
      <c r="EX19" s="1357"/>
      <c r="EY19" s="1357"/>
      <c r="EZ19" s="1357"/>
      <c r="FA19" s="1357"/>
      <c r="FB19" s="1357"/>
      <c r="FC19" s="1357"/>
      <c r="FD19" s="1357"/>
      <c r="FE19" s="1357"/>
      <c r="FF19" s="1357"/>
      <c r="FG19" s="1357"/>
      <c r="FH19" s="1357"/>
      <c r="FI19" s="1357"/>
      <c r="FJ19" s="1357"/>
      <c r="FK19" s="1357"/>
      <c r="FL19" s="1357"/>
      <c r="FM19" s="1357"/>
      <c r="FN19" s="1357"/>
      <c r="FO19" s="1357"/>
      <c r="FP19" s="1357"/>
      <c r="FQ19" s="1357"/>
      <c r="FR19" s="1357"/>
      <c r="FS19" s="1357"/>
      <c r="FT19" s="1357"/>
      <c r="FU19" s="1357"/>
      <c r="FV19" s="1357"/>
      <c r="FW19" s="1357"/>
      <c r="FX19" s="1357"/>
      <c r="FY19" s="1357"/>
      <c r="FZ19" s="1357"/>
      <c r="GA19" s="1357"/>
      <c r="GB19" s="1357"/>
      <c r="GC19" s="1357"/>
      <c r="GD19" s="1357"/>
      <c r="GE19" s="1357"/>
      <c r="GF19" s="1357"/>
      <c r="GG19" s="1357"/>
      <c r="GH19" s="1357"/>
      <c r="GI19" s="1357"/>
      <c r="GJ19" s="1357"/>
      <c r="GK19" s="1357"/>
      <c r="GL19" s="1357"/>
      <c r="GM19" s="1357"/>
      <c r="GN19" s="1357"/>
      <c r="GO19" s="1357"/>
      <c r="GP19" s="1357"/>
      <c r="GQ19" s="1357"/>
      <c r="GR19" s="1357"/>
      <c r="GS19" s="1357"/>
      <c r="GT19" s="1357"/>
      <c r="GU19" s="1357"/>
      <c r="GV19" s="1357"/>
      <c r="GW19" s="1357"/>
      <c r="GX19" s="1357"/>
      <c r="GY19" s="1357"/>
      <c r="GZ19" s="1357"/>
      <c r="HA19" s="1357"/>
      <c r="HB19" s="1357"/>
      <c r="HC19" s="1357"/>
      <c r="HD19" s="1357"/>
      <c r="HE19" s="1357"/>
      <c r="HF19" s="1357"/>
      <c r="HG19" s="1357"/>
      <c r="HH19" s="1357"/>
      <c r="HI19" s="1357"/>
      <c r="HJ19" s="1357"/>
      <c r="HK19" s="1357"/>
      <c r="HL19" s="1357"/>
      <c r="HM19" s="1357"/>
      <c r="HN19" s="1357"/>
      <c r="HO19" s="1357"/>
      <c r="HP19" s="1357"/>
      <c r="HQ19" s="1357"/>
      <c r="HR19" s="1357"/>
      <c r="HS19" s="1357"/>
      <c r="HT19" s="1357"/>
      <c r="HU19" s="1357"/>
      <c r="HV19" s="1357"/>
      <c r="HW19" s="1357"/>
      <c r="HX19" s="1357"/>
      <c r="HY19" s="1357"/>
      <c r="HZ19" s="1357"/>
      <c r="IA19" s="1357"/>
      <c r="IB19" s="1357"/>
      <c r="IC19" s="1357"/>
      <c r="ID19" s="1357"/>
      <c r="IE19" s="1357"/>
      <c r="IF19" s="1357"/>
      <c r="IG19" s="1357"/>
      <c r="IH19" s="1357"/>
      <c r="II19" s="1357"/>
      <c r="IJ19" s="1357"/>
      <c r="IK19" s="1357"/>
      <c r="IL19" s="1357"/>
      <c r="IM19" s="1357"/>
      <c r="IN19" s="1357"/>
      <c r="IO19" s="1357"/>
      <c r="IP19" s="1357"/>
      <c r="IQ19" s="1357"/>
      <c r="IR19" s="1357"/>
      <c r="IS19" s="1357"/>
      <c r="IT19" s="1357"/>
      <c r="IU19" s="1357"/>
      <c r="IV19" s="1357"/>
    </row>
    <row r="20" spans="1:256" ht="31.5">
      <c r="A20" s="1347">
        <v>7</v>
      </c>
      <c r="B20" s="1339" t="s">
        <v>2105</v>
      </c>
      <c r="C20" s="1340" t="s">
        <v>2073</v>
      </c>
      <c r="D20" s="1341">
        <v>30000</v>
      </c>
      <c r="E20" s="1342">
        <v>0</v>
      </c>
      <c r="F20" s="1343">
        <f t="shared" si="10"/>
        <v>0</v>
      </c>
      <c r="G20" s="1343">
        <f t="shared" si="11"/>
        <v>30000</v>
      </c>
      <c r="H20" s="1344">
        <f t="shared" si="12"/>
        <v>0</v>
      </c>
      <c r="I20" s="1343">
        <f t="shared" si="13"/>
        <v>30000</v>
      </c>
      <c r="J20" s="1344">
        <v>0.1</v>
      </c>
      <c r="K20" s="1342">
        <v>0.4</v>
      </c>
      <c r="L20" s="1514">
        <f t="shared" si="14"/>
        <v>3000</v>
      </c>
      <c r="M20" s="1517">
        <f t="shared" si="15"/>
        <v>12000</v>
      </c>
      <c r="N20" s="1516">
        <f t="shared" si="16"/>
        <v>15000</v>
      </c>
      <c r="O20" s="1346"/>
    </row>
    <row r="21" spans="1:256" s="1363" customFormat="1" ht="47.25">
      <c r="A21" s="1349">
        <v>8</v>
      </c>
      <c r="B21" s="1350" t="s">
        <v>2106</v>
      </c>
      <c r="C21" s="1358" t="s">
        <v>2073</v>
      </c>
      <c r="D21" s="1352">
        <v>21000</v>
      </c>
      <c r="E21" s="1359">
        <v>0</v>
      </c>
      <c r="F21" s="1360">
        <f t="shared" si="10"/>
        <v>0</v>
      </c>
      <c r="G21" s="1360">
        <f t="shared" si="11"/>
        <v>21000</v>
      </c>
      <c r="H21" s="1361">
        <f t="shared" si="12"/>
        <v>0</v>
      </c>
      <c r="I21" s="1360">
        <f t="shared" si="13"/>
        <v>21000</v>
      </c>
      <c r="J21" s="1361">
        <v>0</v>
      </c>
      <c r="K21" s="1359">
        <v>0</v>
      </c>
      <c r="L21" s="1518">
        <f t="shared" si="14"/>
        <v>0</v>
      </c>
      <c r="M21" s="1517">
        <f t="shared" si="15"/>
        <v>0</v>
      </c>
      <c r="N21" s="1519">
        <f t="shared" si="16"/>
        <v>21000</v>
      </c>
      <c r="O21" s="1362"/>
    </row>
    <row r="22" spans="1:256" ht="15.75">
      <c r="A22" s="1347">
        <v>9</v>
      </c>
      <c r="B22" s="1339" t="s">
        <v>2107</v>
      </c>
      <c r="C22" s="1340" t="s">
        <v>2073</v>
      </c>
      <c r="D22" s="1341">
        <v>120000</v>
      </c>
      <c r="E22" s="1342">
        <v>0</v>
      </c>
      <c r="F22" s="1343">
        <f t="shared" si="10"/>
        <v>0</v>
      </c>
      <c r="G22" s="1343">
        <f t="shared" si="11"/>
        <v>120000</v>
      </c>
      <c r="H22" s="1344">
        <f t="shared" si="12"/>
        <v>0</v>
      </c>
      <c r="I22" s="1343">
        <f t="shared" si="13"/>
        <v>120000</v>
      </c>
      <c r="J22" s="1344">
        <v>0</v>
      </c>
      <c r="K22" s="1342">
        <v>0</v>
      </c>
      <c r="L22" s="1514">
        <f t="shared" si="14"/>
        <v>0</v>
      </c>
      <c r="M22" s="1517">
        <f t="shared" si="15"/>
        <v>0</v>
      </c>
      <c r="N22" s="1516">
        <f t="shared" si="16"/>
        <v>120000</v>
      </c>
      <c r="O22" s="1346"/>
    </row>
    <row r="23" spans="1:256" ht="15.75">
      <c r="A23" s="1338">
        <v>10</v>
      </c>
      <c r="B23" s="1339" t="s">
        <v>2108</v>
      </c>
      <c r="C23" s="1340" t="s">
        <v>2073</v>
      </c>
      <c r="D23" s="1364">
        <v>70000</v>
      </c>
      <c r="E23" s="1342">
        <v>0</v>
      </c>
      <c r="F23" s="1343">
        <f t="shared" si="10"/>
        <v>0</v>
      </c>
      <c r="G23" s="1343">
        <f t="shared" si="11"/>
        <v>70000</v>
      </c>
      <c r="H23" s="1344">
        <f t="shared" si="12"/>
        <v>0</v>
      </c>
      <c r="I23" s="1343">
        <f t="shared" si="13"/>
        <v>70000</v>
      </c>
      <c r="J23" s="1344"/>
      <c r="K23" s="1342"/>
      <c r="L23" s="1514">
        <f t="shared" si="14"/>
        <v>0</v>
      </c>
      <c r="M23" s="1517">
        <f t="shared" si="15"/>
        <v>0</v>
      </c>
      <c r="N23" s="1516">
        <f t="shared" si="16"/>
        <v>70000</v>
      </c>
      <c r="O23" s="1346"/>
    </row>
    <row r="24" spans="1:256" ht="15.75">
      <c r="A24" s="1347">
        <v>11</v>
      </c>
      <c r="B24" s="1339" t="s">
        <v>2109</v>
      </c>
      <c r="C24" s="1365" t="s">
        <v>2073</v>
      </c>
      <c r="D24" s="1364">
        <v>60000</v>
      </c>
      <c r="E24" s="1366">
        <v>0</v>
      </c>
      <c r="F24" s="1367">
        <f t="shared" si="10"/>
        <v>0</v>
      </c>
      <c r="G24" s="1367">
        <f t="shared" si="11"/>
        <v>60000</v>
      </c>
      <c r="H24" s="1368">
        <f t="shared" si="12"/>
        <v>0</v>
      </c>
      <c r="I24" s="1367">
        <f t="shared" si="13"/>
        <v>60000</v>
      </c>
      <c r="J24" s="1368"/>
      <c r="K24" s="1366"/>
      <c r="L24" s="1514">
        <f t="shared" si="14"/>
        <v>0</v>
      </c>
      <c r="M24" s="1515">
        <f t="shared" si="15"/>
        <v>0</v>
      </c>
      <c r="N24" s="1516">
        <f t="shared" si="16"/>
        <v>60000</v>
      </c>
      <c r="O24" s="1369"/>
      <c r="P24" s="1370"/>
      <c r="Q24" s="1370"/>
      <c r="R24" s="1370"/>
      <c r="S24" s="1370"/>
      <c r="T24" s="1370"/>
      <c r="U24" s="1370"/>
      <c r="V24" s="1370"/>
      <c r="W24" s="1370"/>
      <c r="X24" s="1370"/>
      <c r="Y24" s="1370"/>
      <c r="Z24" s="1370"/>
      <c r="AA24" s="1370"/>
      <c r="AB24" s="1370"/>
      <c r="AC24" s="1370"/>
      <c r="AD24" s="1370"/>
      <c r="AE24" s="1370"/>
      <c r="AF24" s="1370"/>
      <c r="AG24" s="1370"/>
      <c r="AH24" s="1370"/>
      <c r="AI24" s="1370"/>
      <c r="AJ24" s="1370"/>
      <c r="AK24" s="1370"/>
      <c r="AL24" s="1370"/>
      <c r="AM24" s="1370"/>
      <c r="AN24" s="1370"/>
      <c r="AO24" s="1370"/>
      <c r="AP24" s="1370"/>
      <c r="AQ24" s="1370"/>
      <c r="AR24" s="1370"/>
      <c r="AS24" s="1370"/>
      <c r="AT24" s="1370"/>
      <c r="AU24" s="1370"/>
      <c r="AV24" s="1370"/>
      <c r="AW24" s="1370"/>
      <c r="AX24" s="1370"/>
      <c r="AY24" s="1370"/>
      <c r="AZ24" s="1370"/>
      <c r="BA24" s="1370"/>
      <c r="BB24" s="1370"/>
      <c r="BC24" s="1370"/>
      <c r="BD24" s="1370"/>
      <c r="BE24" s="1370"/>
      <c r="BF24" s="1370"/>
      <c r="BG24" s="1370"/>
      <c r="BH24" s="1370"/>
      <c r="BI24" s="1370"/>
      <c r="BJ24" s="1370"/>
      <c r="BK24" s="1370"/>
      <c r="BL24" s="1370"/>
      <c r="BM24" s="1370"/>
      <c r="BN24" s="1370"/>
      <c r="BO24" s="1370"/>
      <c r="BP24" s="1370"/>
      <c r="BQ24" s="1370"/>
      <c r="BR24" s="1370"/>
      <c r="BS24" s="1370"/>
      <c r="BT24" s="1370"/>
      <c r="BU24" s="1370"/>
      <c r="BV24" s="1370"/>
      <c r="BW24" s="1370"/>
      <c r="BX24" s="1370"/>
      <c r="BY24" s="1370"/>
      <c r="BZ24" s="1370"/>
      <c r="CA24" s="1370"/>
      <c r="CB24" s="1370"/>
      <c r="CC24" s="1370"/>
      <c r="CD24" s="1370"/>
      <c r="CE24" s="1370"/>
      <c r="CF24" s="1370"/>
      <c r="CG24" s="1370"/>
      <c r="CH24" s="1370"/>
      <c r="CI24" s="1370"/>
      <c r="CJ24" s="1370"/>
      <c r="CK24" s="1370"/>
      <c r="CL24" s="1370"/>
      <c r="CM24" s="1370"/>
      <c r="CN24" s="1370"/>
      <c r="CO24" s="1370"/>
      <c r="CP24" s="1370"/>
      <c r="CQ24" s="1370"/>
      <c r="CR24" s="1370"/>
      <c r="CS24" s="1370"/>
      <c r="CT24" s="1370"/>
      <c r="CU24" s="1370"/>
      <c r="CV24" s="1370"/>
      <c r="CW24" s="1370"/>
      <c r="CX24" s="1370"/>
      <c r="CY24" s="1370"/>
      <c r="CZ24" s="1370"/>
      <c r="DA24" s="1370"/>
      <c r="DB24" s="1370"/>
      <c r="DC24" s="1370"/>
      <c r="DD24" s="1370"/>
      <c r="DE24" s="1370"/>
      <c r="DF24" s="1370"/>
      <c r="DG24" s="1370"/>
      <c r="DH24" s="1370"/>
      <c r="DI24" s="1370"/>
      <c r="DJ24" s="1370"/>
      <c r="DK24" s="1370"/>
      <c r="DL24" s="1370"/>
      <c r="DM24" s="1370"/>
      <c r="DN24" s="1370"/>
      <c r="DO24" s="1370"/>
      <c r="DP24" s="1370"/>
      <c r="DQ24" s="1370"/>
      <c r="DR24" s="1370"/>
      <c r="DS24" s="1370"/>
      <c r="DT24" s="1370"/>
      <c r="DU24" s="1370"/>
      <c r="DV24" s="1370"/>
      <c r="DW24" s="1370"/>
      <c r="DX24" s="1370"/>
      <c r="DY24" s="1370"/>
      <c r="DZ24" s="1370"/>
      <c r="EA24" s="1370"/>
      <c r="EB24" s="1370"/>
      <c r="EC24" s="1370"/>
      <c r="ED24" s="1370"/>
      <c r="EE24" s="1370"/>
      <c r="EF24" s="1370"/>
      <c r="EG24" s="1370"/>
      <c r="EH24" s="1370"/>
      <c r="EI24" s="1370"/>
      <c r="EJ24" s="1370"/>
      <c r="EK24" s="1370"/>
      <c r="EL24" s="1370"/>
      <c r="EM24" s="1370"/>
      <c r="EN24" s="1370"/>
      <c r="EO24" s="1370"/>
      <c r="EP24" s="1370"/>
      <c r="EQ24" s="1370"/>
      <c r="ER24" s="1370"/>
      <c r="ES24" s="1370"/>
      <c r="ET24" s="1370"/>
      <c r="EU24" s="1370"/>
      <c r="EV24" s="1370"/>
      <c r="EW24" s="1370"/>
      <c r="EX24" s="1370"/>
      <c r="EY24" s="1370"/>
      <c r="EZ24" s="1370"/>
      <c r="FA24" s="1370"/>
      <c r="FB24" s="1370"/>
      <c r="FC24" s="1370"/>
      <c r="FD24" s="1370"/>
      <c r="FE24" s="1370"/>
      <c r="FF24" s="1370"/>
      <c r="FG24" s="1370"/>
      <c r="FH24" s="1370"/>
      <c r="FI24" s="1370"/>
      <c r="FJ24" s="1370"/>
      <c r="FK24" s="1370"/>
      <c r="FL24" s="1370"/>
      <c r="FM24" s="1370"/>
      <c r="FN24" s="1370"/>
      <c r="FO24" s="1370"/>
      <c r="FP24" s="1370"/>
      <c r="FQ24" s="1370"/>
      <c r="FR24" s="1370"/>
      <c r="FS24" s="1370"/>
      <c r="FT24" s="1370"/>
      <c r="FU24" s="1370"/>
      <c r="FV24" s="1370"/>
      <c r="FW24" s="1370"/>
      <c r="FX24" s="1370"/>
      <c r="FY24" s="1370"/>
      <c r="FZ24" s="1370"/>
      <c r="GA24" s="1370"/>
      <c r="GB24" s="1370"/>
      <c r="GC24" s="1370"/>
      <c r="GD24" s="1370"/>
      <c r="GE24" s="1370"/>
      <c r="GF24" s="1370"/>
      <c r="GG24" s="1370"/>
      <c r="GH24" s="1370"/>
      <c r="GI24" s="1370"/>
      <c r="GJ24" s="1370"/>
      <c r="GK24" s="1370"/>
      <c r="GL24" s="1370"/>
      <c r="GM24" s="1370"/>
      <c r="GN24" s="1370"/>
      <c r="GO24" s="1370"/>
      <c r="GP24" s="1370"/>
      <c r="GQ24" s="1370"/>
      <c r="GR24" s="1370"/>
      <c r="GS24" s="1370"/>
      <c r="GT24" s="1370"/>
      <c r="GU24" s="1370"/>
      <c r="GV24" s="1370"/>
      <c r="GW24" s="1370"/>
      <c r="GX24" s="1370"/>
      <c r="GY24" s="1370"/>
      <c r="GZ24" s="1370"/>
      <c r="HA24" s="1370"/>
      <c r="HB24" s="1370"/>
      <c r="HC24" s="1370"/>
      <c r="HD24" s="1370"/>
      <c r="HE24" s="1370"/>
      <c r="HF24" s="1370"/>
      <c r="HG24" s="1370"/>
      <c r="HH24" s="1370"/>
      <c r="HI24" s="1370"/>
      <c r="HJ24" s="1370"/>
      <c r="HK24" s="1370"/>
      <c r="HL24" s="1370"/>
      <c r="HM24" s="1370"/>
      <c r="HN24" s="1370"/>
      <c r="HO24" s="1370"/>
      <c r="HP24" s="1370"/>
      <c r="HQ24" s="1370"/>
      <c r="HR24" s="1370"/>
      <c r="HS24" s="1370"/>
      <c r="HT24" s="1370"/>
      <c r="HU24" s="1370"/>
      <c r="HV24" s="1370"/>
      <c r="HW24" s="1370"/>
      <c r="HX24" s="1370"/>
      <c r="HY24" s="1370"/>
      <c r="HZ24" s="1370"/>
      <c r="IA24" s="1370"/>
      <c r="IB24" s="1370"/>
      <c r="IC24" s="1370"/>
      <c r="ID24" s="1370"/>
      <c r="IE24" s="1370"/>
      <c r="IF24" s="1370"/>
      <c r="IG24" s="1370"/>
      <c r="IH24" s="1370"/>
      <c r="II24" s="1370"/>
      <c r="IJ24" s="1370"/>
      <c r="IK24" s="1370"/>
      <c r="IL24" s="1370"/>
      <c r="IM24" s="1370"/>
      <c r="IN24" s="1370"/>
      <c r="IO24" s="1370"/>
      <c r="IP24" s="1370"/>
      <c r="IQ24" s="1370"/>
      <c r="IR24" s="1370"/>
      <c r="IS24" s="1370"/>
      <c r="IT24" s="1370"/>
      <c r="IU24" s="1370"/>
      <c r="IV24" s="1370"/>
    </row>
    <row r="25" spans="1:256" ht="15.75">
      <c r="A25" s="1338">
        <v>12</v>
      </c>
      <c r="B25" s="1339" t="s">
        <v>2110</v>
      </c>
      <c r="C25" s="1340" t="s">
        <v>2073</v>
      </c>
      <c r="D25" s="1364">
        <v>51000</v>
      </c>
      <c r="E25" s="1342">
        <v>0</v>
      </c>
      <c r="F25" s="1343">
        <f t="shared" si="10"/>
        <v>0</v>
      </c>
      <c r="G25" s="1343">
        <f t="shared" si="11"/>
        <v>51000</v>
      </c>
      <c r="H25" s="1344">
        <f t="shared" si="12"/>
        <v>0</v>
      </c>
      <c r="I25" s="1343">
        <f t="shared" si="13"/>
        <v>51000</v>
      </c>
      <c r="J25" s="1344"/>
      <c r="K25" s="1342"/>
      <c r="L25" s="1514">
        <f t="shared" si="14"/>
        <v>0</v>
      </c>
      <c r="M25" s="1517">
        <f t="shared" si="15"/>
        <v>0</v>
      </c>
      <c r="N25" s="1516">
        <f t="shared" si="16"/>
        <v>51000</v>
      </c>
      <c r="O25" s="1346"/>
    </row>
    <row r="26" spans="1:256" ht="31.5">
      <c r="A26" s="1347">
        <v>13</v>
      </c>
      <c r="B26" s="1339" t="s">
        <v>2111</v>
      </c>
      <c r="C26" s="1340" t="s">
        <v>2073</v>
      </c>
      <c r="D26" s="1341">
        <v>13000</v>
      </c>
      <c r="E26" s="1342">
        <v>0</v>
      </c>
      <c r="F26" s="1343">
        <f t="shared" si="10"/>
        <v>0</v>
      </c>
      <c r="G26" s="1343">
        <f t="shared" si="11"/>
        <v>13000</v>
      </c>
      <c r="H26" s="1344">
        <f t="shared" si="12"/>
        <v>0</v>
      </c>
      <c r="I26" s="1343">
        <f t="shared" si="13"/>
        <v>13000</v>
      </c>
      <c r="J26" s="1344">
        <v>0.1</v>
      </c>
      <c r="K26" s="1342">
        <v>0.4</v>
      </c>
      <c r="L26" s="1514">
        <f t="shared" si="14"/>
        <v>1300</v>
      </c>
      <c r="M26" s="1517">
        <f t="shared" si="15"/>
        <v>5200</v>
      </c>
      <c r="N26" s="1516">
        <f t="shared" si="16"/>
        <v>6500</v>
      </c>
      <c r="O26" s="1329"/>
    </row>
    <row r="27" spans="1:256" ht="31.5">
      <c r="A27" s="1338">
        <v>14</v>
      </c>
      <c r="B27" s="1339" t="s">
        <v>2112</v>
      </c>
      <c r="C27" s="1340" t="s">
        <v>2073</v>
      </c>
      <c r="D27" s="1341">
        <v>36000</v>
      </c>
      <c r="E27" s="1342">
        <v>0</v>
      </c>
      <c r="F27" s="1343">
        <f t="shared" si="10"/>
        <v>0</v>
      </c>
      <c r="G27" s="1343">
        <f t="shared" si="11"/>
        <v>36000</v>
      </c>
      <c r="H27" s="1344">
        <f t="shared" si="12"/>
        <v>0</v>
      </c>
      <c r="I27" s="1343">
        <f t="shared" si="13"/>
        <v>36000</v>
      </c>
      <c r="J27" s="1344">
        <v>0.1</v>
      </c>
      <c r="K27" s="1342">
        <v>0.4</v>
      </c>
      <c r="L27" s="1514">
        <f t="shared" si="14"/>
        <v>3600</v>
      </c>
      <c r="M27" s="1517">
        <f t="shared" si="15"/>
        <v>14400</v>
      </c>
      <c r="N27" s="1516">
        <f t="shared" si="16"/>
        <v>18000</v>
      </c>
      <c r="O27" s="1329"/>
    </row>
    <row r="28" spans="1:256" ht="15.75">
      <c r="A28" s="1347">
        <v>15</v>
      </c>
      <c r="B28" s="1339" t="s">
        <v>2113</v>
      </c>
      <c r="C28" s="1340" t="s">
        <v>2075</v>
      </c>
      <c r="D28" s="1341">
        <v>20000</v>
      </c>
      <c r="E28" s="1342">
        <v>0</v>
      </c>
      <c r="F28" s="1343"/>
      <c r="G28" s="1343">
        <f t="shared" si="11"/>
        <v>20000</v>
      </c>
      <c r="H28" s="1344">
        <f t="shared" si="12"/>
        <v>0</v>
      </c>
      <c r="I28" s="1343">
        <f t="shared" si="13"/>
        <v>20000</v>
      </c>
      <c r="J28" s="1344">
        <v>0.1</v>
      </c>
      <c r="K28" s="1342">
        <v>0.7</v>
      </c>
      <c r="L28" s="1514">
        <f t="shared" si="14"/>
        <v>2000</v>
      </c>
      <c r="M28" s="1517">
        <f t="shared" si="15"/>
        <v>14000</v>
      </c>
      <c r="N28" s="1516">
        <f t="shared" si="16"/>
        <v>4000</v>
      </c>
      <c r="O28" s="1329"/>
    </row>
    <row r="29" spans="1:256" ht="31.5">
      <c r="A29" s="1338">
        <v>16</v>
      </c>
      <c r="B29" s="1339" t="s">
        <v>2114</v>
      </c>
      <c r="C29" s="1365" t="s">
        <v>2077</v>
      </c>
      <c r="D29" s="1346"/>
      <c r="E29" s="1342">
        <v>0</v>
      </c>
      <c r="F29" s="1343"/>
      <c r="G29" s="1343">
        <f t="shared" si="11"/>
        <v>0</v>
      </c>
      <c r="H29" s="1344">
        <f t="shared" si="12"/>
        <v>0</v>
      </c>
      <c r="I29" s="1343">
        <f t="shared" si="13"/>
        <v>0</v>
      </c>
      <c r="J29" s="1344">
        <v>0</v>
      </c>
      <c r="K29" s="1342">
        <v>1</v>
      </c>
      <c r="L29" s="1514">
        <f t="shared" si="14"/>
        <v>0</v>
      </c>
      <c r="M29" s="1517">
        <f t="shared" si="15"/>
        <v>0</v>
      </c>
      <c r="N29" s="1516">
        <f t="shared" si="16"/>
        <v>0</v>
      </c>
      <c r="O29" s="1329"/>
    </row>
    <row r="30" spans="1:256" ht="31.5">
      <c r="A30" s="1347">
        <v>17</v>
      </c>
      <c r="B30" s="1339" t="s">
        <v>2115</v>
      </c>
      <c r="C30" s="1365" t="s">
        <v>2077</v>
      </c>
      <c r="D30" s="1346"/>
      <c r="E30" s="1342">
        <v>0</v>
      </c>
      <c r="F30" s="1343"/>
      <c r="G30" s="1343">
        <f t="shared" si="11"/>
        <v>0</v>
      </c>
      <c r="H30" s="1344">
        <f t="shared" si="12"/>
        <v>0</v>
      </c>
      <c r="I30" s="1343">
        <f t="shared" si="13"/>
        <v>0</v>
      </c>
      <c r="J30" s="1344">
        <v>0</v>
      </c>
      <c r="K30" s="1342">
        <v>1</v>
      </c>
      <c r="L30" s="1514">
        <f t="shared" si="14"/>
        <v>0</v>
      </c>
      <c r="M30" s="1517">
        <f t="shared" si="15"/>
        <v>0</v>
      </c>
      <c r="N30" s="1516">
        <f t="shared" si="16"/>
        <v>0</v>
      </c>
      <c r="O30" s="1329"/>
    </row>
    <row r="31" spans="1:256" ht="31.5">
      <c r="A31" s="1338">
        <v>18</v>
      </c>
      <c r="B31" s="1339" t="s">
        <v>2116</v>
      </c>
      <c r="C31" s="1365" t="s">
        <v>2077</v>
      </c>
      <c r="D31" s="1346"/>
      <c r="E31" s="1342">
        <v>0</v>
      </c>
      <c r="F31" s="1343"/>
      <c r="G31" s="1343">
        <f t="shared" si="11"/>
        <v>0</v>
      </c>
      <c r="H31" s="1344">
        <f t="shared" si="12"/>
        <v>0</v>
      </c>
      <c r="I31" s="1343">
        <f t="shared" si="13"/>
        <v>0</v>
      </c>
      <c r="J31" s="1344">
        <v>0</v>
      </c>
      <c r="K31" s="1342">
        <v>1</v>
      </c>
      <c r="L31" s="1514">
        <f t="shared" si="14"/>
        <v>0</v>
      </c>
      <c r="M31" s="1517">
        <f t="shared" si="15"/>
        <v>0</v>
      </c>
      <c r="N31" s="1516">
        <f t="shared" si="16"/>
        <v>0</v>
      </c>
      <c r="O31" s="1329"/>
    </row>
    <row r="32" spans="1:256" ht="31.5">
      <c r="A32" s="1338">
        <v>20</v>
      </c>
      <c r="B32" s="1339" t="s">
        <v>2117</v>
      </c>
      <c r="C32" s="1340" t="s">
        <v>2079</v>
      </c>
      <c r="D32" s="1346"/>
      <c r="E32" s="1342">
        <v>0</v>
      </c>
      <c r="F32" s="1343"/>
      <c r="G32" s="1343">
        <f t="shared" si="11"/>
        <v>0</v>
      </c>
      <c r="H32" s="1344">
        <f t="shared" si="12"/>
        <v>0</v>
      </c>
      <c r="I32" s="1343">
        <f t="shared" si="13"/>
        <v>0</v>
      </c>
      <c r="J32" s="1344">
        <v>0.1</v>
      </c>
      <c r="K32" s="1342">
        <v>0.4</v>
      </c>
      <c r="L32" s="1514">
        <f t="shared" si="14"/>
        <v>0</v>
      </c>
      <c r="M32" s="1517">
        <f t="shared" si="15"/>
        <v>0</v>
      </c>
      <c r="N32" s="1516">
        <f t="shared" si="16"/>
        <v>0</v>
      </c>
      <c r="O32" s="1329"/>
    </row>
    <row r="33" spans="1:256" ht="15.75">
      <c r="A33" s="1347">
        <v>23</v>
      </c>
      <c r="B33" s="1339" t="s">
        <v>2118</v>
      </c>
      <c r="C33" s="1340" t="s">
        <v>2079</v>
      </c>
      <c r="D33" s="1346"/>
      <c r="E33" s="1342">
        <v>0</v>
      </c>
      <c r="F33" s="1343"/>
      <c r="G33" s="1343">
        <f t="shared" si="11"/>
        <v>0</v>
      </c>
      <c r="H33" s="1344">
        <f t="shared" si="12"/>
        <v>0</v>
      </c>
      <c r="I33" s="1343">
        <f t="shared" si="13"/>
        <v>0</v>
      </c>
      <c r="J33" s="1344">
        <v>0.1</v>
      </c>
      <c r="K33" s="1342">
        <v>0.4</v>
      </c>
      <c r="L33" s="1514">
        <f t="shared" si="14"/>
        <v>0</v>
      </c>
      <c r="M33" s="1517">
        <f t="shared" si="15"/>
        <v>0</v>
      </c>
      <c r="N33" s="1516">
        <f t="shared" si="16"/>
        <v>0</v>
      </c>
      <c r="O33" s="1329"/>
    </row>
    <row r="34" spans="1:256">
      <c r="A34" s="1332" t="s">
        <v>2011</v>
      </c>
      <c r="B34" s="1333" t="s">
        <v>2119</v>
      </c>
      <c r="C34" s="1334"/>
      <c r="D34" s="1335">
        <f>SUM(D35:D36)</f>
        <v>120000</v>
      </c>
      <c r="E34" s="1335"/>
      <c r="F34" s="1335">
        <f>SUM(F35:F36)</f>
        <v>49800</v>
      </c>
      <c r="G34" s="1335">
        <f>SUM(G35:G36)</f>
        <v>70200</v>
      </c>
      <c r="H34" s="1371"/>
      <c r="I34" s="1335">
        <f>SUM(I35:I36)</f>
        <v>70200</v>
      </c>
      <c r="J34" s="1335"/>
      <c r="K34" s="1335"/>
      <c r="L34" s="1512">
        <f>SUM(L35:L36)</f>
        <v>7020</v>
      </c>
      <c r="M34" s="1513">
        <f>SUM(M35:M36)</f>
        <v>28080</v>
      </c>
      <c r="N34" s="1512">
        <f>SUM(N35:N36)</f>
        <v>35100</v>
      </c>
      <c r="O34" s="1337"/>
      <c r="P34" s="1331"/>
      <c r="Q34" s="1331"/>
      <c r="R34" s="1331"/>
      <c r="S34" s="1331"/>
      <c r="T34" s="1331"/>
      <c r="U34" s="1331"/>
      <c r="V34" s="1331"/>
      <c r="W34" s="1331"/>
      <c r="X34" s="1331"/>
      <c r="Y34" s="1331"/>
      <c r="Z34" s="1331"/>
      <c r="AA34" s="1331"/>
      <c r="AB34" s="1331"/>
      <c r="AC34" s="1331"/>
      <c r="AD34" s="1331"/>
      <c r="AE34" s="1331"/>
      <c r="AF34" s="1331"/>
      <c r="AG34" s="1331"/>
      <c r="AH34" s="1331"/>
      <c r="AI34" s="1331"/>
      <c r="AJ34" s="1331"/>
      <c r="AK34" s="1331"/>
      <c r="AL34" s="1331"/>
      <c r="AM34" s="1331"/>
      <c r="AN34" s="1331"/>
      <c r="AO34" s="1331"/>
      <c r="AP34" s="1331"/>
      <c r="AQ34" s="1331"/>
      <c r="AR34" s="1331"/>
      <c r="AS34" s="1331"/>
      <c r="AT34" s="1331"/>
      <c r="AU34" s="1331"/>
      <c r="AV34" s="1331"/>
      <c r="AW34" s="1331"/>
      <c r="AX34" s="1331"/>
      <c r="AY34" s="1331"/>
      <c r="AZ34" s="1331"/>
      <c r="BA34" s="1331"/>
      <c r="BB34" s="1331"/>
      <c r="BC34" s="1331"/>
      <c r="BD34" s="1331"/>
      <c r="BE34" s="1331"/>
      <c r="BF34" s="1331"/>
      <c r="BG34" s="1331"/>
      <c r="BH34" s="1331"/>
      <c r="BI34" s="1331"/>
      <c r="BJ34" s="1331"/>
      <c r="BK34" s="1331"/>
      <c r="BL34" s="1331"/>
      <c r="BM34" s="1331"/>
      <c r="BN34" s="1331"/>
      <c r="BO34" s="1331"/>
      <c r="BP34" s="1331"/>
      <c r="BQ34" s="1331"/>
      <c r="BR34" s="1331"/>
      <c r="BS34" s="1331"/>
      <c r="BT34" s="1331"/>
      <c r="BU34" s="1331"/>
      <c r="BV34" s="1331"/>
      <c r="BW34" s="1331"/>
      <c r="BX34" s="1331"/>
      <c r="BY34" s="1331"/>
      <c r="BZ34" s="1331"/>
      <c r="CA34" s="1331"/>
      <c r="CB34" s="1331"/>
      <c r="CC34" s="1331"/>
      <c r="CD34" s="1331"/>
      <c r="CE34" s="1331"/>
      <c r="CF34" s="1331"/>
      <c r="CG34" s="1331"/>
      <c r="CH34" s="1331"/>
      <c r="CI34" s="1331"/>
      <c r="CJ34" s="1331"/>
      <c r="CK34" s="1331"/>
      <c r="CL34" s="1331"/>
      <c r="CM34" s="1331"/>
      <c r="CN34" s="1331"/>
      <c r="CO34" s="1331"/>
      <c r="CP34" s="1331"/>
      <c r="CQ34" s="1331"/>
      <c r="CR34" s="1331"/>
      <c r="CS34" s="1331"/>
      <c r="CT34" s="1331"/>
      <c r="CU34" s="1331"/>
      <c r="CV34" s="1331"/>
      <c r="CW34" s="1331"/>
      <c r="CX34" s="1331"/>
      <c r="CY34" s="1331"/>
      <c r="CZ34" s="1331"/>
      <c r="DA34" s="1331"/>
      <c r="DB34" s="1331"/>
      <c r="DC34" s="1331"/>
      <c r="DD34" s="1331"/>
      <c r="DE34" s="1331"/>
      <c r="DF34" s="1331"/>
      <c r="DG34" s="1331"/>
      <c r="DH34" s="1331"/>
      <c r="DI34" s="1331"/>
      <c r="DJ34" s="1331"/>
      <c r="DK34" s="1331"/>
      <c r="DL34" s="1331"/>
      <c r="DM34" s="1331"/>
      <c r="DN34" s="1331"/>
      <c r="DO34" s="1331"/>
      <c r="DP34" s="1331"/>
      <c r="DQ34" s="1331"/>
      <c r="DR34" s="1331"/>
      <c r="DS34" s="1331"/>
      <c r="DT34" s="1331"/>
      <c r="DU34" s="1331"/>
      <c r="DV34" s="1331"/>
      <c r="DW34" s="1331"/>
      <c r="DX34" s="1331"/>
      <c r="DY34" s="1331"/>
      <c r="DZ34" s="1331"/>
      <c r="EA34" s="1331"/>
      <c r="EB34" s="1331"/>
      <c r="EC34" s="1331"/>
      <c r="ED34" s="1331"/>
      <c r="EE34" s="1331"/>
      <c r="EF34" s="1331"/>
      <c r="EG34" s="1331"/>
      <c r="EH34" s="1331"/>
      <c r="EI34" s="1331"/>
      <c r="EJ34" s="1331"/>
      <c r="EK34" s="1331"/>
      <c r="EL34" s="1331"/>
      <c r="EM34" s="1331"/>
      <c r="EN34" s="1331"/>
      <c r="EO34" s="1331"/>
      <c r="EP34" s="1331"/>
      <c r="EQ34" s="1331"/>
      <c r="ER34" s="1331"/>
      <c r="ES34" s="1331"/>
      <c r="ET34" s="1331"/>
      <c r="EU34" s="1331"/>
      <c r="EV34" s="1331"/>
      <c r="EW34" s="1331"/>
      <c r="EX34" s="1331"/>
      <c r="EY34" s="1331"/>
      <c r="EZ34" s="1331"/>
      <c r="FA34" s="1331"/>
      <c r="FB34" s="1331"/>
      <c r="FC34" s="1331"/>
      <c r="FD34" s="1331"/>
      <c r="FE34" s="1331"/>
      <c r="FF34" s="1331"/>
      <c r="FG34" s="1331"/>
      <c r="FH34" s="1331"/>
      <c r="FI34" s="1331"/>
      <c r="FJ34" s="1331"/>
      <c r="FK34" s="1331"/>
      <c r="FL34" s="1331"/>
      <c r="FM34" s="1331"/>
      <c r="FN34" s="1331"/>
      <c r="FO34" s="1331"/>
      <c r="FP34" s="1331"/>
      <c r="FQ34" s="1331"/>
      <c r="FR34" s="1331"/>
      <c r="FS34" s="1331"/>
      <c r="FT34" s="1331"/>
      <c r="FU34" s="1331"/>
      <c r="FV34" s="1331"/>
      <c r="FW34" s="1331"/>
      <c r="FX34" s="1331"/>
      <c r="FY34" s="1331"/>
      <c r="FZ34" s="1331"/>
      <c r="GA34" s="1331"/>
      <c r="GB34" s="1331"/>
      <c r="GC34" s="1331"/>
      <c r="GD34" s="1331"/>
      <c r="GE34" s="1331"/>
      <c r="GF34" s="1331"/>
      <c r="GG34" s="1331"/>
      <c r="GH34" s="1331"/>
      <c r="GI34" s="1331"/>
      <c r="GJ34" s="1331"/>
      <c r="GK34" s="1331"/>
      <c r="GL34" s="1331"/>
      <c r="GM34" s="1331"/>
      <c r="GN34" s="1331"/>
      <c r="GO34" s="1331"/>
      <c r="GP34" s="1331"/>
      <c r="GQ34" s="1331"/>
      <c r="GR34" s="1331"/>
      <c r="GS34" s="1331"/>
      <c r="GT34" s="1331"/>
      <c r="GU34" s="1331"/>
      <c r="GV34" s="1331"/>
      <c r="GW34" s="1331"/>
      <c r="GX34" s="1331"/>
      <c r="GY34" s="1331"/>
      <c r="GZ34" s="1331"/>
      <c r="HA34" s="1331"/>
      <c r="HB34" s="1331"/>
      <c r="HC34" s="1331"/>
      <c r="HD34" s="1331"/>
      <c r="HE34" s="1331"/>
      <c r="HF34" s="1331"/>
      <c r="HG34" s="1331"/>
      <c r="HH34" s="1331"/>
      <c r="HI34" s="1331"/>
      <c r="HJ34" s="1331"/>
      <c r="HK34" s="1331"/>
      <c r="HL34" s="1331"/>
      <c r="HM34" s="1331"/>
      <c r="HN34" s="1331"/>
      <c r="HO34" s="1331"/>
      <c r="HP34" s="1331"/>
      <c r="HQ34" s="1331"/>
      <c r="HR34" s="1331"/>
      <c r="HS34" s="1331"/>
      <c r="HT34" s="1331"/>
      <c r="HU34" s="1331"/>
      <c r="HV34" s="1331"/>
      <c r="HW34" s="1331"/>
      <c r="HX34" s="1331"/>
      <c r="HY34" s="1331"/>
      <c r="HZ34" s="1331"/>
      <c r="IA34" s="1331"/>
      <c r="IB34" s="1331"/>
      <c r="IC34" s="1331"/>
      <c r="ID34" s="1331"/>
      <c r="IE34" s="1331"/>
      <c r="IF34" s="1331"/>
      <c r="IG34" s="1331"/>
      <c r="IH34" s="1331"/>
      <c r="II34" s="1331"/>
      <c r="IJ34" s="1331"/>
      <c r="IK34" s="1331"/>
      <c r="IL34" s="1331"/>
      <c r="IM34" s="1331"/>
      <c r="IN34" s="1331"/>
      <c r="IO34" s="1331"/>
      <c r="IP34" s="1331"/>
      <c r="IQ34" s="1331"/>
      <c r="IR34" s="1331"/>
      <c r="IS34" s="1331"/>
      <c r="IT34" s="1331"/>
      <c r="IU34" s="1331"/>
      <c r="IV34" s="1331"/>
    </row>
    <row r="35" spans="1:256">
      <c r="A35" s="494"/>
      <c r="B35" s="336" t="s">
        <v>2120</v>
      </c>
      <c r="C35" s="1340" t="s">
        <v>2073</v>
      </c>
      <c r="D35" s="1346">
        <v>45000</v>
      </c>
      <c r="E35" s="1342">
        <v>0.44</v>
      </c>
      <c r="F35" s="1343">
        <f>D35*E35</f>
        <v>19800</v>
      </c>
      <c r="G35" s="1343">
        <f>D35-F35</f>
        <v>25200</v>
      </c>
      <c r="H35" s="1344"/>
      <c r="I35" s="1343">
        <f>G35-G35*H35</f>
        <v>25200</v>
      </c>
      <c r="J35" s="1344">
        <v>0.1</v>
      </c>
      <c r="K35" s="1342">
        <v>0.4</v>
      </c>
      <c r="L35" s="1514">
        <f>I35*J35</f>
        <v>2520</v>
      </c>
      <c r="M35" s="1517">
        <f>I35*K35</f>
        <v>10080</v>
      </c>
      <c r="N35" s="1516">
        <f>I35-L35-M35</f>
        <v>12600</v>
      </c>
      <c r="O35" s="1329"/>
    </row>
    <row r="36" spans="1:256" ht="25.5">
      <c r="A36" s="494"/>
      <c r="B36" s="336" t="s">
        <v>2121</v>
      </c>
      <c r="C36" s="1340" t="s">
        <v>2073</v>
      </c>
      <c r="D36" s="1346">
        <v>75000</v>
      </c>
      <c r="E36" s="1342">
        <v>0.4</v>
      </c>
      <c r="F36" s="1343">
        <f>D36*E36</f>
        <v>30000</v>
      </c>
      <c r="G36" s="1343">
        <f>D36-F36</f>
        <v>45000</v>
      </c>
      <c r="H36" s="1344"/>
      <c r="I36" s="1343">
        <f>G36-G36*H36</f>
        <v>45000</v>
      </c>
      <c r="J36" s="1344">
        <v>0.1</v>
      </c>
      <c r="K36" s="1342">
        <v>0.4</v>
      </c>
      <c r="L36" s="1514">
        <f>I36*J36</f>
        <v>4500</v>
      </c>
      <c r="M36" s="1517">
        <f>I36*K36</f>
        <v>18000</v>
      </c>
      <c r="N36" s="1516">
        <f>I36-L36-M36</f>
        <v>22500</v>
      </c>
      <c r="O36" s="1329"/>
    </row>
    <row r="37" spans="1:256">
      <c r="A37" s="494" t="s">
        <v>2011</v>
      </c>
      <c r="B37" s="1323" t="s">
        <v>2122</v>
      </c>
      <c r="C37" s="1340"/>
      <c r="D37" s="1335">
        <f>SUM(D38:D39)</f>
        <v>194000</v>
      </c>
      <c r="E37" s="1335">
        <f t="shared" ref="E37:N37" si="17">SUM(E38:E39)</f>
        <v>1.05</v>
      </c>
      <c r="F37" s="1335">
        <f t="shared" si="17"/>
        <v>98850</v>
      </c>
      <c r="G37" s="1335">
        <f t="shared" si="17"/>
        <v>95150</v>
      </c>
      <c r="H37" s="1335">
        <f t="shared" si="17"/>
        <v>0</v>
      </c>
      <c r="I37" s="1335">
        <f t="shared" si="17"/>
        <v>95150</v>
      </c>
      <c r="J37" s="1335">
        <f t="shared" si="17"/>
        <v>0.2</v>
      </c>
      <c r="K37" s="1335">
        <f t="shared" si="17"/>
        <v>0.8</v>
      </c>
      <c r="L37" s="1512">
        <f t="shared" si="17"/>
        <v>9515</v>
      </c>
      <c r="M37" s="1513">
        <f t="shared" si="17"/>
        <v>38060</v>
      </c>
      <c r="N37" s="1512">
        <f t="shared" si="17"/>
        <v>47575</v>
      </c>
      <c r="O37" s="1329"/>
      <c r="P37" s="1313"/>
      <c r="Q37" s="1313"/>
      <c r="R37" s="1313"/>
      <c r="S37" s="1313"/>
      <c r="T37" s="1313"/>
      <c r="U37" s="1313"/>
      <c r="V37" s="1313"/>
      <c r="W37" s="1313"/>
      <c r="X37" s="1313"/>
      <c r="Y37" s="1313"/>
      <c r="Z37" s="1313"/>
      <c r="AA37" s="1313"/>
      <c r="AB37" s="1313"/>
      <c r="AC37" s="1313"/>
      <c r="AD37" s="1313"/>
      <c r="AE37" s="1313"/>
      <c r="AF37" s="1313"/>
      <c r="AG37" s="1313"/>
      <c r="AH37" s="1313"/>
      <c r="AI37" s="1313"/>
      <c r="AJ37" s="1313"/>
      <c r="AK37" s="1313"/>
      <c r="AL37" s="1313"/>
      <c r="AM37" s="1313"/>
      <c r="AN37" s="1313"/>
      <c r="AO37" s="1313"/>
      <c r="AP37" s="1313"/>
      <c r="AQ37" s="1313"/>
      <c r="AR37" s="1313"/>
      <c r="AS37" s="1313"/>
      <c r="AT37" s="1313"/>
      <c r="AU37" s="1313"/>
      <c r="AV37" s="1313"/>
      <c r="AW37" s="1313"/>
      <c r="AX37" s="1313"/>
      <c r="AY37" s="1313"/>
      <c r="AZ37" s="1313"/>
      <c r="BA37" s="1313"/>
      <c r="BB37" s="1313"/>
      <c r="BC37" s="1313"/>
      <c r="BD37" s="1313"/>
      <c r="BE37" s="1313"/>
      <c r="BF37" s="1313"/>
      <c r="BG37" s="1313"/>
      <c r="BH37" s="1313"/>
      <c r="BI37" s="1313"/>
      <c r="BJ37" s="1313"/>
      <c r="BK37" s="1313"/>
      <c r="BL37" s="1313"/>
      <c r="BM37" s="1313"/>
      <c r="BN37" s="1313"/>
      <c r="BO37" s="1313"/>
      <c r="BP37" s="1313"/>
      <c r="BQ37" s="1313"/>
      <c r="BR37" s="1313"/>
      <c r="BS37" s="1313"/>
      <c r="BT37" s="1313"/>
      <c r="BU37" s="1313"/>
      <c r="BV37" s="1313"/>
      <c r="BW37" s="1313"/>
      <c r="BX37" s="1313"/>
      <c r="BY37" s="1313"/>
      <c r="BZ37" s="1313"/>
      <c r="CA37" s="1313"/>
      <c r="CB37" s="1313"/>
      <c r="CC37" s="1313"/>
      <c r="CD37" s="1313"/>
      <c r="CE37" s="1313"/>
      <c r="CF37" s="1313"/>
      <c r="CG37" s="1313"/>
      <c r="CH37" s="1313"/>
      <c r="CI37" s="1313"/>
      <c r="CJ37" s="1313"/>
      <c r="CK37" s="1313"/>
      <c r="CL37" s="1313"/>
      <c r="CM37" s="1313"/>
      <c r="CN37" s="1313"/>
      <c r="CO37" s="1313"/>
      <c r="CP37" s="1313"/>
      <c r="CQ37" s="1313"/>
      <c r="CR37" s="1313"/>
      <c r="CS37" s="1313"/>
      <c r="CT37" s="1313"/>
      <c r="CU37" s="1313"/>
      <c r="CV37" s="1313"/>
      <c r="CW37" s="1313"/>
      <c r="CX37" s="1313"/>
      <c r="CY37" s="1313"/>
      <c r="CZ37" s="1313"/>
      <c r="DA37" s="1313"/>
      <c r="DB37" s="1313"/>
      <c r="DC37" s="1313"/>
      <c r="DD37" s="1313"/>
      <c r="DE37" s="1313"/>
      <c r="DF37" s="1313"/>
      <c r="DG37" s="1313"/>
      <c r="DH37" s="1313"/>
      <c r="DI37" s="1313"/>
      <c r="DJ37" s="1313"/>
      <c r="DK37" s="1313"/>
      <c r="DL37" s="1313"/>
      <c r="DM37" s="1313"/>
      <c r="DN37" s="1313"/>
      <c r="DO37" s="1313"/>
      <c r="DP37" s="1313"/>
      <c r="DQ37" s="1313"/>
      <c r="DR37" s="1313"/>
      <c r="DS37" s="1313"/>
      <c r="DT37" s="1313"/>
      <c r="DU37" s="1313"/>
      <c r="DV37" s="1313"/>
      <c r="DW37" s="1313"/>
      <c r="DX37" s="1313"/>
      <c r="DY37" s="1313"/>
      <c r="DZ37" s="1313"/>
      <c r="EA37" s="1313"/>
      <c r="EB37" s="1313"/>
      <c r="EC37" s="1313"/>
      <c r="ED37" s="1313"/>
      <c r="EE37" s="1313"/>
      <c r="EF37" s="1313"/>
      <c r="EG37" s="1313"/>
      <c r="EH37" s="1313"/>
      <c r="EI37" s="1313"/>
      <c r="EJ37" s="1313"/>
      <c r="EK37" s="1313"/>
      <c r="EL37" s="1313"/>
      <c r="EM37" s="1313"/>
      <c r="EN37" s="1313"/>
      <c r="EO37" s="1313"/>
      <c r="EP37" s="1313"/>
      <c r="EQ37" s="1313"/>
      <c r="ER37" s="1313"/>
      <c r="ES37" s="1313"/>
      <c r="ET37" s="1313"/>
      <c r="EU37" s="1313"/>
      <c r="EV37" s="1313"/>
      <c r="EW37" s="1313"/>
      <c r="EX37" s="1313"/>
      <c r="EY37" s="1313"/>
      <c r="EZ37" s="1313"/>
      <c r="FA37" s="1313"/>
      <c r="FB37" s="1313"/>
      <c r="FC37" s="1313"/>
      <c r="FD37" s="1313"/>
      <c r="FE37" s="1313"/>
      <c r="FF37" s="1313"/>
      <c r="FG37" s="1313"/>
      <c r="FH37" s="1313"/>
      <c r="FI37" s="1313"/>
      <c r="FJ37" s="1313"/>
      <c r="FK37" s="1313"/>
      <c r="FL37" s="1313"/>
      <c r="FM37" s="1313"/>
      <c r="FN37" s="1313"/>
      <c r="FO37" s="1313"/>
      <c r="FP37" s="1313"/>
      <c r="FQ37" s="1313"/>
      <c r="FR37" s="1313"/>
      <c r="FS37" s="1313"/>
      <c r="FT37" s="1313"/>
      <c r="FU37" s="1313"/>
      <c r="FV37" s="1313"/>
      <c r="FW37" s="1313"/>
      <c r="FX37" s="1313"/>
      <c r="FY37" s="1313"/>
      <c r="FZ37" s="1313"/>
      <c r="GA37" s="1313"/>
      <c r="GB37" s="1313"/>
      <c r="GC37" s="1313"/>
      <c r="GD37" s="1313"/>
      <c r="GE37" s="1313"/>
      <c r="GF37" s="1313"/>
      <c r="GG37" s="1313"/>
      <c r="GH37" s="1313"/>
      <c r="GI37" s="1313"/>
      <c r="GJ37" s="1313"/>
      <c r="GK37" s="1313"/>
      <c r="GL37" s="1313"/>
      <c r="GM37" s="1313"/>
      <c r="GN37" s="1313"/>
      <c r="GO37" s="1313"/>
      <c r="GP37" s="1313"/>
      <c r="GQ37" s="1313"/>
      <c r="GR37" s="1313"/>
      <c r="GS37" s="1313"/>
      <c r="GT37" s="1313"/>
      <c r="GU37" s="1313"/>
      <c r="GV37" s="1313"/>
      <c r="GW37" s="1313"/>
      <c r="GX37" s="1313"/>
      <c r="GY37" s="1313"/>
      <c r="GZ37" s="1313"/>
      <c r="HA37" s="1313"/>
      <c r="HB37" s="1313"/>
      <c r="HC37" s="1313"/>
      <c r="HD37" s="1313"/>
      <c r="HE37" s="1313"/>
      <c r="HF37" s="1313"/>
      <c r="HG37" s="1313"/>
      <c r="HH37" s="1313"/>
      <c r="HI37" s="1313"/>
      <c r="HJ37" s="1313"/>
      <c r="HK37" s="1313"/>
      <c r="HL37" s="1313"/>
      <c r="HM37" s="1313"/>
      <c r="HN37" s="1313"/>
      <c r="HO37" s="1313"/>
      <c r="HP37" s="1313"/>
      <c r="HQ37" s="1313"/>
      <c r="HR37" s="1313"/>
      <c r="HS37" s="1313"/>
      <c r="HT37" s="1313"/>
      <c r="HU37" s="1313"/>
      <c r="HV37" s="1313"/>
      <c r="HW37" s="1313"/>
      <c r="HX37" s="1313"/>
      <c r="HY37" s="1313"/>
      <c r="HZ37" s="1313"/>
      <c r="IA37" s="1313"/>
      <c r="IB37" s="1313"/>
      <c r="IC37" s="1313"/>
      <c r="ID37" s="1313"/>
      <c r="IE37" s="1313"/>
      <c r="IF37" s="1313"/>
      <c r="IG37" s="1313"/>
      <c r="IH37" s="1313"/>
      <c r="II37" s="1313"/>
      <c r="IJ37" s="1313"/>
      <c r="IK37" s="1313"/>
      <c r="IL37" s="1313"/>
      <c r="IM37" s="1313"/>
      <c r="IN37" s="1313"/>
      <c r="IO37" s="1313"/>
      <c r="IP37" s="1313"/>
      <c r="IQ37" s="1313"/>
      <c r="IR37" s="1313"/>
      <c r="IS37" s="1313"/>
      <c r="IT37" s="1313"/>
      <c r="IU37" s="1313"/>
      <c r="IV37" s="1313"/>
    </row>
    <row r="38" spans="1:256" ht="25.5">
      <c r="A38" s="494"/>
      <c r="B38" s="336" t="s">
        <v>2123</v>
      </c>
      <c r="C38" s="1340" t="s">
        <v>2073</v>
      </c>
      <c r="D38" s="1346">
        <v>109000</v>
      </c>
      <c r="E38" s="1342">
        <v>0.4</v>
      </c>
      <c r="F38" s="1343">
        <f>D38*E38</f>
        <v>43600</v>
      </c>
      <c r="G38" s="1343">
        <f>D38-F38</f>
        <v>65400</v>
      </c>
      <c r="H38" s="1344"/>
      <c r="I38" s="1343">
        <f>G38-G38*H38</f>
        <v>65400</v>
      </c>
      <c r="J38" s="1344">
        <v>0.1</v>
      </c>
      <c r="K38" s="1342">
        <v>0.4</v>
      </c>
      <c r="L38" s="1514">
        <f>I38*J38</f>
        <v>6540</v>
      </c>
      <c r="M38" s="1517">
        <f>I38*K38</f>
        <v>26160</v>
      </c>
      <c r="N38" s="1516">
        <f>I38-L38-M38</f>
        <v>32700</v>
      </c>
      <c r="O38" s="1329"/>
      <c r="P38" s="1313"/>
      <c r="Q38" s="1313"/>
      <c r="R38" s="1313"/>
      <c r="S38" s="1313"/>
      <c r="T38" s="1313"/>
      <c r="U38" s="1313"/>
      <c r="V38" s="1313"/>
      <c r="W38" s="1313"/>
      <c r="X38" s="1313"/>
      <c r="Y38" s="1313"/>
      <c r="Z38" s="1313"/>
      <c r="AA38" s="1313"/>
      <c r="AB38" s="1313"/>
      <c r="AC38" s="1313"/>
      <c r="AD38" s="1313"/>
      <c r="AE38" s="1313"/>
      <c r="AF38" s="1313"/>
      <c r="AG38" s="1313"/>
      <c r="AH38" s="1313"/>
      <c r="AI38" s="1313"/>
      <c r="AJ38" s="1313"/>
      <c r="AK38" s="1313"/>
      <c r="AL38" s="1313"/>
      <c r="AM38" s="1313"/>
      <c r="AN38" s="1313"/>
      <c r="AO38" s="1313"/>
      <c r="AP38" s="1313"/>
      <c r="AQ38" s="1313"/>
      <c r="AR38" s="1313"/>
      <c r="AS38" s="1313"/>
      <c r="AT38" s="1313"/>
      <c r="AU38" s="1313"/>
      <c r="AV38" s="1313"/>
      <c r="AW38" s="1313"/>
      <c r="AX38" s="1313"/>
      <c r="AY38" s="1313"/>
      <c r="AZ38" s="1313"/>
      <c r="BA38" s="1313"/>
      <c r="BB38" s="1313"/>
      <c r="BC38" s="1313"/>
      <c r="BD38" s="1313"/>
      <c r="BE38" s="1313"/>
      <c r="BF38" s="1313"/>
      <c r="BG38" s="1313"/>
      <c r="BH38" s="1313"/>
      <c r="BI38" s="1313"/>
      <c r="BJ38" s="1313"/>
      <c r="BK38" s="1313"/>
      <c r="BL38" s="1313"/>
      <c r="BM38" s="1313"/>
      <c r="BN38" s="1313"/>
      <c r="BO38" s="1313"/>
      <c r="BP38" s="1313"/>
      <c r="BQ38" s="1313"/>
      <c r="BR38" s="1313"/>
      <c r="BS38" s="1313"/>
      <c r="BT38" s="1313"/>
      <c r="BU38" s="1313"/>
      <c r="BV38" s="1313"/>
      <c r="BW38" s="1313"/>
      <c r="BX38" s="1313"/>
      <c r="BY38" s="1313"/>
      <c r="BZ38" s="1313"/>
      <c r="CA38" s="1313"/>
      <c r="CB38" s="1313"/>
      <c r="CC38" s="1313"/>
      <c r="CD38" s="1313"/>
      <c r="CE38" s="1313"/>
      <c r="CF38" s="1313"/>
      <c r="CG38" s="1313"/>
      <c r="CH38" s="1313"/>
      <c r="CI38" s="1313"/>
      <c r="CJ38" s="1313"/>
      <c r="CK38" s="1313"/>
      <c r="CL38" s="1313"/>
      <c r="CM38" s="1313"/>
      <c r="CN38" s="1313"/>
      <c r="CO38" s="1313"/>
      <c r="CP38" s="1313"/>
      <c r="CQ38" s="1313"/>
      <c r="CR38" s="1313"/>
      <c r="CS38" s="1313"/>
      <c r="CT38" s="1313"/>
      <c r="CU38" s="1313"/>
      <c r="CV38" s="1313"/>
      <c r="CW38" s="1313"/>
      <c r="CX38" s="1313"/>
      <c r="CY38" s="1313"/>
      <c r="CZ38" s="1313"/>
      <c r="DA38" s="1313"/>
      <c r="DB38" s="1313"/>
      <c r="DC38" s="1313"/>
      <c r="DD38" s="1313"/>
      <c r="DE38" s="1313"/>
      <c r="DF38" s="1313"/>
      <c r="DG38" s="1313"/>
      <c r="DH38" s="1313"/>
      <c r="DI38" s="1313"/>
      <c r="DJ38" s="1313"/>
      <c r="DK38" s="1313"/>
      <c r="DL38" s="1313"/>
      <c r="DM38" s="1313"/>
      <c r="DN38" s="1313"/>
      <c r="DO38" s="1313"/>
      <c r="DP38" s="1313"/>
      <c r="DQ38" s="1313"/>
      <c r="DR38" s="1313"/>
      <c r="DS38" s="1313"/>
      <c r="DT38" s="1313"/>
      <c r="DU38" s="1313"/>
      <c r="DV38" s="1313"/>
      <c r="DW38" s="1313"/>
      <c r="DX38" s="1313"/>
      <c r="DY38" s="1313"/>
      <c r="DZ38" s="1313"/>
      <c r="EA38" s="1313"/>
      <c r="EB38" s="1313"/>
      <c r="EC38" s="1313"/>
      <c r="ED38" s="1313"/>
      <c r="EE38" s="1313"/>
      <c r="EF38" s="1313"/>
      <c r="EG38" s="1313"/>
      <c r="EH38" s="1313"/>
      <c r="EI38" s="1313"/>
      <c r="EJ38" s="1313"/>
      <c r="EK38" s="1313"/>
      <c r="EL38" s="1313"/>
      <c r="EM38" s="1313"/>
      <c r="EN38" s="1313"/>
      <c r="EO38" s="1313"/>
      <c r="EP38" s="1313"/>
      <c r="EQ38" s="1313"/>
      <c r="ER38" s="1313"/>
      <c r="ES38" s="1313"/>
      <c r="ET38" s="1313"/>
      <c r="EU38" s="1313"/>
      <c r="EV38" s="1313"/>
      <c r="EW38" s="1313"/>
      <c r="EX38" s="1313"/>
      <c r="EY38" s="1313"/>
      <c r="EZ38" s="1313"/>
      <c r="FA38" s="1313"/>
      <c r="FB38" s="1313"/>
      <c r="FC38" s="1313"/>
      <c r="FD38" s="1313"/>
      <c r="FE38" s="1313"/>
      <c r="FF38" s="1313"/>
      <c r="FG38" s="1313"/>
      <c r="FH38" s="1313"/>
      <c r="FI38" s="1313"/>
      <c r="FJ38" s="1313"/>
      <c r="FK38" s="1313"/>
      <c r="FL38" s="1313"/>
      <c r="FM38" s="1313"/>
      <c r="FN38" s="1313"/>
      <c r="FO38" s="1313"/>
      <c r="FP38" s="1313"/>
      <c r="FQ38" s="1313"/>
      <c r="FR38" s="1313"/>
      <c r="FS38" s="1313"/>
      <c r="FT38" s="1313"/>
      <c r="FU38" s="1313"/>
      <c r="FV38" s="1313"/>
      <c r="FW38" s="1313"/>
      <c r="FX38" s="1313"/>
      <c r="FY38" s="1313"/>
      <c r="FZ38" s="1313"/>
      <c r="GA38" s="1313"/>
      <c r="GB38" s="1313"/>
      <c r="GC38" s="1313"/>
      <c r="GD38" s="1313"/>
      <c r="GE38" s="1313"/>
      <c r="GF38" s="1313"/>
      <c r="GG38" s="1313"/>
      <c r="GH38" s="1313"/>
      <c r="GI38" s="1313"/>
      <c r="GJ38" s="1313"/>
      <c r="GK38" s="1313"/>
      <c r="GL38" s="1313"/>
      <c r="GM38" s="1313"/>
      <c r="GN38" s="1313"/>
      <c r="GO38" s="1313"/>
      <c r="GP38" s="1313"/>
      <c r="GQ38" s="1313"/>
      <c r="GR38" s="1313"/>
      <c r="GS38" s="1313"/>
      <c r="GT38" s="1313"/>
      <c r="GU38" s="1313"/>
      <c r="GV38" s="1313"/>
      <c r="GW38" s="1313"/>
      <c r="GX38" s="1313"/>
      <c r="GY38" s="1313"/>
      <c r="GZ38" s="1313"/>
      <c r="HA38" s="1313"/>
      <c r="HB38" s="1313"/>
      <c r="HC38" s="1313"/>
      <c r="HD38" s="1313"/>
      <c r="HE38" s="1313"/>
      <c r="HF38" s="1313"/>
      <c r="HG38" s="1313"/>
      <c r="HH38" s="1313"/>
      <c r="HI38" s="1313"/>
      <c r="HJ38" s="1313"/>
      <c r="HK38" s="1313"/>
      <c r="HL38" s="1313"/>
      <c r="HM38" s="1313"/>
      <c r="HN38" s="1313"/>
      <c r="HO38" s="1313"/>
      <c r="HP38" s="1313"/>
      <c r="HQ38" s="1313"/>
      <c r="HR38" s="1313"/>
      <c r="HS38" s="1313"/>
      <c r="HT38" s="1313"/>
      <c r="HU38" s="1313"/>
      <c r="HV38" s="1313"/>
      <c r="HW38" s="1313"/>
      <c r="HX38" s="1313"/>
      <c r="HY38" s="1313"/>
      <c r="HZ38" s="1313"/>
      <c r="IA38" s="1313"/>
      <c r="IB38" s="1313"/>
      <c r="IC38" s="1313"/>
      <c r="ID38" s="1313"/>
      <c r="IE38" s="1313"/>
      <c r="IF38" s="1313"/>
      <c r="IG38" s="1313"/>
      <c r="IH38" s="1313"/>
      <c r="II38" s="1313"/>
      <c r="IJ38" s="1313"/>
      <c r="IK38" s="1313"/>
      <c r="IL38" s="1313"/>
      <c r="IM38" s="1313"/>
      <c r="IN38" s="1313"/>
      <c r="IO38" s="1313"/>
      <c r="IP38" s="1313"/>
      <c r="IQ38" s="1313"/>
      <c r="IR38" s="1313"/>
      <c r="IS38" s="1313"/>
      <c r="IT38" s="1313"/>
      <c r="IU38" s="1313"/>
      <c r="IV38" s="1313"/>
    </row>
    <row r="39" spans="1:256" ht="25.5">
      <c r="A39" s="494"/>
      <c r="B39" s="336" t="s">
        <v>2124</v>
      </c>
      <c r="C39" s="1340" t="s">
        <v>2073</v>
      </c>
      <c r="D39" s="1346">
        <v>85000</v>
      </c>
      <c r="E39" s="1342">
        <v>0.65</v>
      </c>
      <c r="F39" s="1343">
        <f>D39*E39</f>
        <v>55250</v>
      </c>
      <c r="G39" s="1343">
        <f>D39-F39</f>
        <v>29750</v>
      </c>
      <c r="H39" s="1344"/>
      <c r="I39" s="1343">
        <f>G39-G39*H39</f>
        <v>29750</v>
      </c>
      <c r="J39" s="1344">
        <v>0.1</v>
      </c>
      <c r="K39" s="1342">
        <v>0.4</v>
      </c>
      <c r="L39" s="1514">
        <f>I39*J39</f>
        <v>2975</v>
      </c>
      <c r="M39" s="1517">
        <f>I39*K39</f>
        <v>11900</v>
      </c>
      <c r="N39" s="1516">
        <f>I39-L39-M39</f>
        <v>14875</v>
      </c>
      <c r="O39" s="1329"/>
      <c r="P39" s="1313"/>
      <c r="Q39" s="1313"/>
      <c r="R39" s="1313"/>
      <c r="S39" s="1313"/>
      <c r="T39" s="1313"/>
      <c r="U39" s="1313"/>
      <c r="V39" s="1313"/>
      <c r="W39" s="1313"/>
      <c r="X39" s="1313"/>
      <c r="Y39" s="1313"/>
      <c r="Z39" s="1313"/>
      <c r="AA39" s="1313"/>
      <c r="AB39" s="1313"/>
      <c r="AC39" s="1313"/>
      <c r="AD39" s="1313"/>
      <c r="AE39" s="1313"/>
      <c r="AF39" s="1313"/>
      <c r="AG39" s="1313"/>
      <c r="AH39" s="1313"/>
      <c r="AI39" s="1313"/>
      <c r="AJ39" s="1313"/>
      <c r="AK39" s="1313"/>
      <c r="AL39" s="1313"/>
      <c r="AM39" s="1313"/>
      <c r="AN39" s="1313"/>
      <c r="AO39" s="1313"/>
      <c r="AP39" s="1313"/>
      <c r="AQ39" s="1313"/>
      <c r="AR39" s="1313"/>
      <c r="AS39" s="1313"/>
      <c r="AT39" s="1313"/>
      <c r="AU39" s="1313"/>
      <c r="AV39" s="1313"/>
      <c r="AW39" s="1313"/>
      <c r="AX39" s="1313"/>
      <c r="AY39" s="1313"/>
      <c r="AZ39" s="1313"/>
      <c r="BA39" s="1313"/>
      <c r="BB39" s="1313"/>
      <c r="BC39" s="1313"/>
      <c r="BD39" s="1313"/>
      <c r="BE39" s="1313"/>
      <c r="BF39" s="1313"/>
      <c r="BG39" s="1313"/>
      <c r="BH39" s="1313"/>
      <c r="BI39" s="1313"/>
      <c r="BJ39" s="1313"/>
      <c r="BK39" s="1313"/>
      <c r="BL39" s="1313"/>
      <c r="BM39" s="1313"/>
      <c r="BN39" s="1313"/>
      <c r="BO39" s="1313"/>
      <c r="BP39" s="1313"/>
      <c r="BQ39" s="1313"/>
      <c r="BR39" s="1313"/>
      <c r="BS39" s="1313"/>
      <c r="BT39" s="1313"/>
      <c r="BU39" s="1313"/>
      <c r="BV39" s="1313"/>
      <c r="BW39" s="1313"/>
      <c r="BX39" s="1313"/>
      <c r="BY39" s="1313"/>
      <c r="BZ39" s="1313"/>
      <c r="CA39" s="1313"/>
      <c r="CB39" s="1313"/>
      <c r="CC39" s="1313"/>
      <c r="CD39" s="1313"/>
      <c r="CE39" s="1313"/>
      <c r="CF39" s="1313"/>
      <c r="CG39" s="1313"/>
      <c r="CH39" s="1313"/>
      <c r="CI39" s="1313"/>
      <c r="CJ39" s="1313"/>
      <c r="CK39" s="1313"/>
      <c r="CL39" s="1313"/>
      <c r="CM39" s="1313"/>
      <c r="CN39" s="1313"/>
      <c r="CO39" s="1313"/>
      <c r="CP39" s="1313"/>
      <c r="CQ39" s="1313"/>
      <c r="CR39" s="1313"/>
      <c r="CS39" s="1313"/>
      <c r="CT39" s="1313"/>
      <c r="CU39" s="1313"/>
      <c r="CV39" s="1313"/>
      <c r="CW39" s="1313"/>
      <c r="CX39" s="1313"/>
      <c r="CY39" s="1313"/>
      <c r="CZ39" s="1313"/>
      <c r="DA39" s="1313"/>
      <c r="DB39" s="1313"/>
      <c r="DC39" s="1313"/>
      <c r="DD39" s="1313"/>
      <c r="DE39" s="1313"/>
      <c r="DF39" s="1313"/>
      <c r="DG39" s="1313"/>
      <c r="DH39" s="1313"/>
      <c r="DI39" s="1313"/>
      <c r="DJ39" s="1313"/>
      <c r="DK39" s="1313"/>
      <c r="DL39" s="1313"/>
      <c r="DM39" s="1313"/>
      <c r="DN39" s="1313"/>
      <c r="DO39" s="1313"/>
      <c r="DP39" s="1313"/>
      <c r="DQ39" s="1313"/>
      <c r="DR39" s="1313"/>
      <c r="DS39" s="1313"/>
      <c r="DT39" s="1313"/>
      <c r="DU39" s="1313"/>
      <c r="DV39" s="1313"/>
      <c r="DW39" s="1313"/>
      <c r="DX39" s="1313"/>
      <c r="DY39" s="1313"/>
      <c r="DZ39" s="1313"/>
      <c r="EA39" s="1313"/>
      <c r="EB39" s="1313"/>
      <c r="EC39" s="1313"/>
      <c r="ED39" s="1313"/>
      <c r="EE39" s="1313"/>
      <c r="EF39" s="1313"/>
      <c r="EG39" s="1313"/>
      <c r="EH39" s="1313"/>
      <c r="EI39" s="1313"/>
      <c r="EJ39" s="1313"/>
      <c r="EK39" s="1313"/>
      <c r="EL39" s="1313"/>
      <c r="EM39" s="1313"/>
      <c r="EN39" s="1313"/>
      <c r="EO39" s="1313"/>
      <c r="EP39" s="1313"/>
      <c r="EQ39" s="1313"/>
      <c r="ER39" s="1313"/>
      <c r="ES39" s="1313"/>
      <c r="ET39" s="1313"/>
      <c r="EU39" s="1313"/>
      <c r="EV39" s="1313"/>
      <c r="EW39" s="1313"/>
      <c r="EX39" s="1313"/>
      <c r="EY39" s="1313"/>
      <c r="EZ39" s="1313"/>
      <c r="FA39" s="1313"/>
      <c r="FB39" s="1313"/>
      <c r="FC39" s="1313"/>
      <c r="FD39" s="1313"/>
      <c r="FE39" s="1313"/>
      <c r="FF39" s="1313"/>
      <c r="FG39" s="1313"/>
      <c r="FH39" s="1313"/>
      <c r="FI39" s="1313"/>
      <c r="FJ39" s="1313"/>
      <c r="FK39" s="1313"/>
      <c r="FL39" s="1313"/>
      <c r="FM39" s="1313"/>
      <c r="FN39" s="1313"/>
      <c r="FO39" s="1313"/>
      <c r="FP39" s="1313"/>
      <c r="FQ39" s="1313"/>
      <c r="FR39" s="1313"/>
      <c r="FS39" s="1313"/>
      <c r="FT39" s="1313"/>
      <c r="FU39" s="1313"/>
      <c r="FV39" s="1313"/>
      <c r="FW39" s="1313"/>
      <c r="FX39" s="1313"/>
      <c r="FY39" s="1313"/>
      <c r="FZ39" s="1313"/>
      <c r="GA39" s="1313"/>
      <c r="GB39" s="1313"/>
      <c r="GC39" s="1313"/>
      <c r="GD39" s="1313"/>
      <c r="GE39" s="1313"/>
      <c r="GF39" s="1313"/>
      <c r="GG39" s="1313"/>
      <c r="GH39" s="1313"/>
      <c r="GI39" s="1313"/>
      <c r="GJ39" s="1313"/>
      <c r="GK39" s="1313"/>
      <c r="GL39" s="1313"/>
      <c r="GM39" s="1313"/>
      <c r="GN39" s="1313"/>
      <c r="GO39" s="1313"/>
      <c r="GP39" s="1313"/>
      <c r="GQ39" s="1313"/>
      <c r="GR39" s="1313"/>
      <c r="GS39" s="1313"/>
      <c r="GT39" s="1313"/>
      <c r="GU39" s="1313"/>
      <c r="GV39" s="1313"/>
      <c r="GW39" s="1313"/>
      <c r="GX39" s="1313"/>
      <c r="GY39" s="1313"/>
      <c r="GZ39" s="1313"/>
      <c r="HA39" s="1313"/>
      <c r="HB39" s="1313"/>
      <c r="HC39" s="1313"/>
      <c r="HD39" s="1313"/>
      <c r="HE39" s="1313"/>
      <c r="HF39" s="1313"/>
      <c r="HG39" s="1313"/>
      <c r="HH39" s="1313"/>
      <c r="HI39" s="1313"/>
      <c r="HJ39" s="1313"/>
      <c r="HK39" s="1313"/>
      <c r="HL39" s="1313"/>
      <c r="HM39" s="1313"/>
      <c r="HN39" s="1313"/>
      <c r="HO39" s="1313"/>
      <c r="HP39" s="1313"/>
      <c r="HQ39" s="1313"/>
      <c r="HR39" s="1313"/>
      <c r="HS39" s="1313"/>
      <c r="HT39" s="1313"/>
      <c r="HU39" s="1313"/>
      <c r="HV39" s="1313"/>
      <c r="HW39" s="1313"/>
      <c r="HX39" s="1313"/>
      <c r="HY39" s="1313"/>
      <c r="HZ39" s="1313"/>
      <c r="IA39" s="1313"/>
      <c r="IB39" s="1313"/>
      <c r="IC39" s="1313"/>
      <c r="ID39" s="1313"/>
      <c r="IE39" s="1313"/>
      <c r="IF39" s="1313"/>
      <c r="IG39" s="1313"/>
      <c r="IH39" s="1313"/>
      <c r="II39" s="1313"/>
      <c r="IJ39" s="1313"/>
      <c r="IK39" s="1313"/>
      <c r="IL39" s="1313"/>
      <c r="IM39" s="1313"/>
      <c r="IN39" s="1313"/>
      <c r="IO39" s="1313"/>
      <c r="IP39" s="1313"/>
      <c r="IQ39" s="1313"/>
      <c r="IR39" s="1313"/>
      <c r="IS39" s="1313"/>
      <c r="IT39" s="1313"/>
      <c r="IU39" s="1313"/>
      <c r="IV39" s="1313"/>
    </row>
    <row r="40" spans="1:256">
      <c r="A40" s="1332" t="s">
        <v>2011</v>
      </c>
      <c r="B40" s="1333" t="s">
        <v>2125</v>
      </c>
      <c r="C40" s="1334"/>
      <c r="D40" s="1335">
        <f>SUM(D41:D49)</f>
        <v>223000</v>
      </c>
      <c r="E40" s="1335"/>
      <c r="F40" s="1335">
        <f>SUM(F41:F49)</f>
        <v>119935.08879803962</v>
      </c>
      <c r="G40" s="1335">
        <f>SUM(G41:G49)</f>
        <v>103064.91120196036</v>
      </c>
      <c r="H40" s="1371"/>
      <c r="I40" s="1335">
        <f>SUM(I41:I49)</f>
        <v>103064.91120196036</v>
      </c>
      <c r="J40" s="1335"/>
      <c r="K40" s="1335"/>
      <c r="L40" s="1512">
        <f>SUM(L41:L49)</f>
        <v>10306.491120196037</v>
      </c>
      <c r="M40" s="1513">
        <f>SUM(M41:M49)</f>
        <v>46202.964480784147</v>
      </c>
      <c r="N40" s="1512">
        <f>SUM(N41:N49)</f>
        <v>46555.455600980189</v>
      </c>
      <c r="O40" s="1337"/>
    </row>
    <row r="41" spans="1:256" ht="25.5">
      <c r="A41" s="494">
        <v>1</v>
      </c>
      <c r="B41" s="336" t="s">
        <v>2126</v>
      </c>
      <c r="C41" s="1340" t="s">
        <v>2073</v>
      </c>
      <c r="D41" s="1346">
        <v>24500</v>
      </c>
      <c r="E41" s="1342">
        <v>0.45236968490101909</v>
      </c>
      <c r="F41" s="1343">
        <f t="shared" ref="F41:F49" si="18">D41*E41</f>
        <v>11083.057280074967</v>
      </c>
      <c r="G41" s="1343">
        <f t="shared" ref="G41:G49" si="19">D41-F41</f>
        <v>13416.942719925033</v>
      </c>
      <c r="H41" s="1344"/>
      <c r="I41" s="1343">
        <f t="shared" ref="I41:I49" si="20">G41-G41*H41</f>
        <v>13416.942719925033</v>
      </c>
      <c r="J41" s="1344">
        <v>0.1</v>
      </c>
      <c r="K41" s="1342">
        <v>0.4</v>
      </c>
      <c r="L41" s="1514">
        <f>I41*J41</f>
        <v>1341.6942719925034</v>
      </c>
      <c r="M41" s="1517">
        <f>I41*K41</f>
        <v>5366.7770879700138</v>
      </c>
      <c r="N41" s="1516">
        <f>I41-L41-M41</f>
        <v>6708.4713599625165</v>
      </c>
      <c r="O41" s="1372"/>
    </row>
    <row r="42" spans="1:256" ht="25.5">
      <c r="A42" s="494">
        <v>2</v>
      </c>
      <c r="B42" s="336" t="s">
        <v>2127</v>
      </c>
      <c r="C42" s="1340" t="s">
        <v>2073</v>
      </c>
      <c r="D42" s="1346">
        <v>8400</v>
      </c>
      <c r="E42" s="1342">
        <v>0.11963740458015268</v>
      </c>
      <c r="F42" s="1343">
        <f t="shared" si="18"/>
        <v>1004.9541984732825</v>
      </c>
      <c r="G42" s="1343">
        <f t="shared" si="19"/>
        <v>7395.0458015267177</v>
      </c>
      <c r="H42" s="1344"/>
      <c r="I42" s="1343">
        <f t="shared" si="20"/>
        <v>7395.0458015267177</v>
      </c>
      <c r="J42" s="1344">
        <v>0.1</v>
      </c>
      <c r="K42" s="1342">
        <v>0.4</v>
      </c>
      <c r="L42" s="1514">
        <f t="shared" ref="L42:L49" si="21">I42*J42</f>
        <v>739.50458015267179</v>
      </c>
      <c r="M42" s="1517">
        <f t="shared" ref="M42:M49" si="22">I42*K42</f>
        <v>2958.0183206106872</v>
      </c>
      <c r="N42" s="1516">
        <f t="shared" ref="N42:N49" si="23">I42-L42-M42</f>
        <v>3697.5229007633584</v>
      </c>
      <c r="O42" s="1372"/>
    </row>
    <row r="43" spans="1:256">
      <c r="A43" s="494">
        <v>3</v>
      </c>
      <c r="B43" s="336" t="s">
        <v>2128</v>
      </c>
      <c r="C43" s="1340" t="s">
        <v>2073</v>
      </c>
      <c r="D43" s="1346">
        <v>28000</v>
      </c>
      <c r="E43" s="1342">
        <v>0.33168133283897794</v>
      </c>
      <c r="F43" s="1343">
        <f t="shared" si="18"/>
        <v>9287.0773194913818</v>
      </c>
      <c r="G43" s="1343">
        <f t="shared" si="19"/>
        <v>18712.922680508618</v>
      </c>
      <c r="H43" s="1344"/>
      <c r="I43" s="1343">
        <f t="shared" si="20"/>
        <v>18712.922680508618</v>
      </c>
      <c r="J43" s="1344">
        <v>0.1</v>
      </c>
      <c r="K43" s="1342">
        <v>0.4</v>
      </c>
      <c r="L43" s="1514">
        <f t="shared" si="21"/>
        <v>1871.2922680508618</v>
      </c>
      <c r="M43" s="1517">
        <f t="shared" si="22"/>
        <v>7485.1690722034473</v>
      </c>
      <c r="N43" s="1516">
        <f t="shared" si="23"/>
        <v>9356.4613402543109</v>
      </c>
      <c r="O43" s="1372"/>
    </row>
    <row r="44" spans="1:256" ht="25.5">
      <c r="A44" s="494">
        <v>4</v>
      </c>
      <c r="B44" s="336" t="s">
        <v>2129</v>
      </c>
      <c r="C44" s="1340" t="s">
        <v>2073</v>
      </c>
      <c r="D44" s="1346">
        <v>55300</v>
      </c>
      <c r="E44" s="1342">
        <v>0.43037974683544306</v>
      </c>
      <c r="F44" s="1343">
        <f t="shared" si="18"/>
        <v>23800</v>
      </c>
      <c r="G44" s="1343">
        <f t="shared" si="19"/>
        <v>31500</v>
      </c>
      <c r="H44" s="1344"/>
      <c r="I44" s="1343">
        <f t="shared" si="20"/>
        <v>31500</v>
      </c>
      <c r="J44" s="1344">
        <v>0.1</v>
      </c>
      <c r="K44" s="1342">
        <v>0.4</v>
      </c>
      <c r="L44" s="1514">
        <f t="shared" si="21"/>
        <v>3150</v>
      </c>
      <c r="M44" s="1517">
        <f t="shared" si="22"/>
        <v>12600</v>
      </c>
      <c r="N44" s="1516">
        <f t="shared" si="23"/>
        <v>15750</v>
      </c>
      <c r="O44" s="1372"/>
    </row>
    <row r="45" spans="1:256" ht="25.5">
      <c r="A45" s="494">
        <v>5</v>
      </c>
      <c r="B45" s="336" t="s">
        <v>2130</v>
      </c>
      <c r="C45" s="1340" t="s">
        <v>2073</v>
      </c>
      <c r="D45" s="1346">
        <v>32200</v>
      </c>
      <c r="E45" s="1342">
        <v>0.7</v>
      </c>
      <c r="F45" s="1343">
        <f t="shared" si="18"/>
        <v>22540</v>
      </c>
      <c r="G45" s="1343">
        <f t="shared" si="19"/>
        <v>9660</v>
      </c>
      <c r="H45" s="1344"/>
      <c r="I45" s="1343">
        <f t="shared" si="20"/>
        <v>9660</v>
      </c>
      <c r="J45" s="1344">
        <v>0.1</v>
      </c>
      <c r="K45" s="1342">
        <v>0.4</v>
      </c>
      <c r="L45" s="1514">
        <f t="shared" si="21"/>
        <v>966</v>
      </c>
      <c r="M45" s="1517">
        <f t="shared" si="22"/>
        <v>3864</v>
      </c>
      <c r="N45" s="1516">
        <f t="shared" si="23"/>
        <v>4830</v>
      </c>
      <c r="O45" s="1372"/>
    </row>
    <row r="46" spans="1:256" ht="25.5">
      <c r="A46" s="494">
        <v>6</v>
      </c>
      <c r="B46" s="336" t="s">
        <v>2131</v>
      </c>
      <c r="C46" s="1340" t="s">
        <v>2073</v>
      </c>
      <c r="D46" s="1346">
        <v>28000</v>
      </c>
      <c r="E46" s="1342">
        <v>0.7</v>
      </c>
      <c r="F46" s="1343">
        <f t="shared" si="18"/>
        <v>19600</v>
      </c>
      <c r="G46" s="1343">
        <f t="shared" si="19"/>
        <v>8400</v>
      </c>
      <c r="H46" s="1344"/>
      <c r="I46" s="1343">
        <f t="shared" si="20"/>
        <v>8400</v>
      </c>
      <c r="J46" s="1344">
        <v>0.1</v>
      </c>
      <c r="K46" s="1342">
        <v>0.7</v>
      </c>
      <c r="L46" s="1514">
        <f t="shared" si="21"/>
        <v>840</v>
      </c>
      <c r="M46" s="1517">
        <f t="shared" si="22"/>
        <v>5880</v>
      </c>
      <c r="N46" s="1516">
        <f t="shared" si="23"/>
        <v>1680</v>
      </c>
      <c r="O46" s="1372"/>
    </row>
    <row r="47" spans="1:256" ht="38.25">
      <c r="A47" s="494">
        <v>7</v>
      </c>
      <c r="B47" s="336" t="s">
        <v>2132</v>
      </c>
      <c r="C47" s="1340" t="s">
        <v>2073</v>
      </c>
      <c r="D47" s="1346">
        <v>6000</v>
      </c>
      <c r="E47" s="1342">
        <v>0.7</v>
      </c>
      <c r="F47" s="1343">
        <f t="shared" si="18"/>
        <v>4200</v>
      </c>
      <c r="G47" s="1343">
        <f t="shared" si="19"/>
        <v>1800</v>
      </c>
      <c r="H47" s="1344"/>
      <c r="I47" s="1343">
        <f t="shared" si="20"/>
        <v>1800</v>
      </c>
      <c r="J47" s="1344">
        <v>0.1</v>
      </c>
      <c r="K47" s="1342">
        <v>0.4</v>
      </c>
      <c r="L47" s="1514">
        <f t="shared" si="21"/>
        <v>180</v>
      </c>
      <c r="M47" s="1517">
        <f t="shared" si="22"/>
        <v>720</v>
      </c>
      <c r="N47" s="1516">
        <f t="shared" si="23"/>
        <v>900</v>
      </c>
      <c r="O47" s="1372"/>
    </row>
    <row r="48" spans="1:256" ht="38.25">
      <c r="A48" s="494">
        <v>8</v>
      </c>
      <c r="B48" s="336" t="s">
        <v>2133</v>
      </c>
      <c r="C48" s="1340" t="s">
        <v>2073</v>
      </c>
      <c r="D48" s="1346">
        <v>13300</v>
      </c>
      <c r="E48" s="1342">
        <v>0.7</v>
      </c>
      <c r="F48" s="1343">
        <f t="shared" si="18"/>
        <v>9310</v>
      </c>
      <c r="G48" s="1343">
        <f t="shared" si="19"/>
        <v>3990</v>
      </c>
      <c r="H48" s="1344"/>
      <c r="I48" s="1343">
        <f t="shared" si="20"/>
        <v>3990</v>
      </c>
      <c r="J48" s="1344">
        <v>0.1</v>
      </c>
      <c r="K48" s="1342">
        <v>0.4</v>
      </c>
      <c r="L48" s="1514">
        <f t="shared" si="21"/>
        <v>399</v>
      </c>
      <c r="M48" s="1517">
        <f t="shared" si="22"/>
        <v>1596</v>
      </c>
      <c r="N48" s="1516">
        <f t="shared" si="23"/>
        <v>1995</v>
      </c>
      <c r="O48" s="1372"/>
    </row>
    <row r="49" spans="1:256" ht="25.5">
      <c r="A49" s="494">
        <v>9</v>
      </c>
      <c r="B49" s="336" t="s">
        <v>2134</v>
      </c>
      <c r="C49" s="1340" t="s">
        <v>2073</v>
      </c>
      <c r="D49" s="1346">
        <v>27300</v>
      </c>
      <c r="E49" s="1342">
        <v>0.7</v>
      </c>
      <c r="F49" s="1343">
        <f t="shared" si="18"/>
        <v>19110</v>
      </c>
      <c r="G49" s="1343">
        <f t="shared" si="19"/>
        <v>8190</v>
      </c>
      <c r="H49" s="1344"/>
      <c r="I49" s="1343">
        <f t="shared" si="20"/>
        <v>8190</v>
      </c>
      <c r="J49" s="1344">
        <v>0.1</v>
      </c>
      <c r="K49" s="1342">
        <v>0.7</v>
      </c>
      <c r="L49" s="1514">
        <f t="shared" si="21"/>
        <v>819</v>
      </c>
      <c r="M49" s="1517">
        <f t="shared" si="22"/>
        <v>5733</v>
      </c>
      <c r="N49" s="1516">
        <f t="shared" si="23"/>
        <v>1638</v>
      </c>
      <c r="O49" s="1372"/>
    </row>
    <row r="50" spans="1:256">
      <c r="A50" s="1332" t="s">
        <v>2011</v>
      </c>
      <c r="B50" s="1333" t="s">
        <v>2135</v>
      </c>
      <c r="C50" s="1334"/>
      <c r="D50" s="1335">
        <f>SUM(D51:D61)</f>
        <v>140000</v>
      </c>
      <c r="E50" s="1335"/>
      <c r="F50" s="1335">
        <f>SUM(F51:F61)</f>
        <v>0</v>
      </c>
      <c r="G50" s="1335">
        <f>SUM(G51:G61)</f>
        <v>140000</v>
      </c>
      <c r="H50" s="1371"/>
      <c r="I50" s="1335">
        <f>SUM(I51:I61)</f>
        <v>140000</v>
      </c>
      <c r="J50" s="1335"/>
      <c r="K50" s="1335"/>
      <c r="L50" s="1512">
        <f>SUM(L51:L61)</f>
        <v>14000</v>
      </c>
      <c r="M50" s="1513">
        <f>SUM(M51:M61)</f>
        <v>74600</v>
      </c>
      <c r="N50" s="1512">
        <f>SUM(N51:N61)</f>
        <v>51400</v>
      </c>
      <c r="O50" s="1337"/>
    </row>
    <row r="51" spans="1:256" ht="25.5">
      <c r="A51" s="494">
        <v>1</v>
      </c>
      <c r="B51" s="1373" t="s">
        <v>2136</v>
      </c>
      <c r="C51" s="1340" t="s">
        <v>2073</v>
      </c>
      <c r="D51" s="1346">
        <v>12000</v>
      </c>
      <c r="E51" s="1342"/>
      <c r="F51" s="1343">
        <f>D51*E51</f>
        <v>0</v>
      </c>
      <c r="G51" s="1343">
        <f>D51-F51</f>
        <v>12000</v>
      </c>
      <c r="H51" s="1344"/>
      <c r="I51" s="1343">
        <f>G51-G51*H51</f>
        <v>12000</v>
      </c>
      <c r="J51" s="1344">
        <v>0.1</v>
      </c>
      <c r="K51" s="1342">
        <v>0.4</v>
      </c>
      <c r="L51" s="1514">
        <f>I51*J51</f>
        <v>1200</v>
      </c>
      <c r="M51" s="1517">
        <f t="shared" ref="M51:M61" si="24">I51*K51</f>
        <v>4800</v>
      </c>
      <c r="N51" s="1516">
        <f>I51-L51-M51</f>
        <v>6000</v>
      </c>
      <c r="O51" s="1372"/>
    </row>
    <row r="52" spans="1:256" ht="25.5">
      <c r="A52" s="494">
        <v>2</v>
      </c>
      <c r="B52" s="1373" t="s">
        <v>2137</v>
      </c>
      <c r="C52" s="1340" t="s">
        <v>2073</v>
      </c>
      <c r="D52" s="1346">
        <v>20000</v>
      </c>
      <c r="E52" s="1342"/>
      <c r="F52" s="1343">
        <f>D52*E52</f>
        <v>0</v>
      </c>
      <c r="G52" s="1343">
        <f>D52-F52</f>
        <v>20000</v>
      </c>
      <c r="H52" s="1344"/>
      <c r="I52" s="1343">
        <f>G52-G52*H52</f>
        <v>20000</v>
      </c>
      <c r="J52" s="1344">
        <v>0.1</v>
      </c>
      <c r="K52" s="1342">
        <v>0.4</v>
      </c>
      <c r="L52" s="1514">
        <f>I52*J52</f>
        <v>2000</v>
      </c>
      <c r="M52" s="1517">
        <f t="shared" si="24"/>
        <v>8000</v>
      </c>
      <c r="N52" s="1516">
        <f>I52-L52-M52</f>
        <v>10000</v>
      </c>
      <c r="O52" s="1372" t="s">
        <v>2138</v>
      </c>
    </row>
    <row r="53" spans="1:256" ht="25.5">
      <c r="A53" s="494">
        <v>3</v>
      </c>
      <c r="B53" s="1374" t="s">
        <v>2139</v>
      </c>
      <c r="C53" s="1340" t="s">
        <v>2073</v>
      </c>
      <c r="D53" s="1346">
        <v>5000</v>
      </c>
      <c r="E53" s="1342"/>
      <c r="F53" s="1343">
        <f>D53*E53</f>
        <v>0</v>
      </c>
      <c r="G53" s="1343">
        <f>D53-F53</f>
        <v>5000</v>
      </c>
      <c r="H53" s="1344"/>
      <c r="I53" s="1343">
        <f>G53-G53*H53</f>
        <v>5000</v>
      </c>
      <c r="J53" s="1344">
        <v>0.1</v>
      </c>
      <c r="K53" s="1342">
        <v>0.7</v>
      </c>
      <c r="L53" s="1514">
        <f>I53*J53</f>
        <v>500</v>
      </c>
      <c r="M53" s="1517">
        <f t="shared" si="24"/>
        <v>3500</v>
      </c>
      <c r="N53" s="1516">
        <f>I53-L53-M53</f>
        <v>1000</v>
      </c>
      <c r="O53" s="1372"/>
    </row>
    <row r="54" spans="1:256" ht="25.5">
      <c r="A54" s="494">
        <v>4</v>
      </c>
      <c r="B54" s="1374" t="s">
        <v>2140</v>
      </c>
      <c r="C54" s="1340" t="s">
        <v>2073</v>
      </c>
      <c r="D54" s="1346">
        <v>21000</v>
      </c>
      <c r="E54" s="1342"/>
      <c r="F54" s="1343">
        <f>D54*E54</f>
        <v>0</v>
      </c>
      <c r="G54" s="1343">
        <f>D54-F54</f>
        <v>21000</v>
      </c>
      <c r="H54" s="1344"/>
      <c r="I54" s="1343">
        <f>G54-G54*H54</f>
        <v>21000</v>
      </c>
      <c r="J54" s="1344">
        <v>0.1</v>
      </c>
      <c r="K54" s="1342">
        <v>0.7</v>
      </c>
      <c r="L54" s="1514">
        <f>I54*J54</f>
        <v>2100</v>
      </c>
      <c r="M54" s="1517">
        <f t="shared" si="24"/>
        <v>14699.999999999998</v>
      </c>
      <c r="N54" s="1516">
        <f>I54-L54-M54</f>
        <v>4200.0000000000018</v>
      </c>
      <c r="O54" s="1372" t="s">
        <v>2141</v>
      </c>
    </row>
    <row r="55" spans="1:256" ht="25.5">
      <c r="A55" s="494">
        <v>5</v>
      </c>
      <c r="B55" s="1373" t="s">
        <v>2142</v>
      </c>
      <c r="C55" s="1340" t="s">
        <v>2073</v>
      </c>
      <c r="D55" s="1346">
        <v>12000</v>
      </c>
      <c r="E55" s="1342"/>
      <c r="F55" s="1343">
        <f>D55*E55</f>
        <v>0</v>
      </c>
      <c r="G55" s="1343">
        <f>D55-F55</f>
        <v>12000</v>
      </c>
      <c r="H55" s="1344"/>
      <c r="I55" s="1343">
        <f>G55-G55*H55</f>
        <v>12000</v>
      </c>
      <c r="J55" s="1344">
        <v>0.1</v>
      </c>
      <c r="K55" s="1342">
        <v>0.7</v>
      </c>
      <c r="L55" s="1514">
        <f>I55*J55</f>
        <v>1200</v>
      </c>
      <c r="M55" s="1517">
        <f t="shared" si="24"/>
        <v>8400</v>
      </c>
      <c r="N55" s="1516">
        <f>I55-L55-M55</f>
        <v>2400</v>
      </c>
      <c r="O55" s="1372"/>
    </row>
    <row r="56" spans="1:256" ht="25.5">
      <c r="A56" s="494">
        <v>6</v>
      </c>
      <c r="B56" s="1373" t="s">
        <v>2143</v>
      </c>
      <c r="C56" s="1340" t="s">
        <v>2073</v>
      </c>
      <c r="D56" s="1346">
        <v>7000</v>
      </c>
      <c r="E56" s="1342"/>
      <c r="F56" s="1343"/>
      <c r="G56" s="1343">
        <f t="shared" ref="G56:G61" si="25">D56-F56</f>
        <v>7000</v>
      </c>
      <c r="H56" s="1344"/>
      <c r="I56" s="1343">
        <f t="shared" ref="I56:I61" si="26">G56-G56*H56</f>
        <v>7000</v>
      </c>
      <c r="J56" s="1344">
        <v>0.1</v>
      </c>
      <c r="K56" s="1342">
        <v>0.7</v>
      </c>
      <c r="L56" s="1514">
        <f t="shared" ref="L56:L61" si="27">I56*J56</f>
        <v>700</v>
      </c>
      <c r="M56" s="1517">
        <f t="shared" si="24"/>
        <v>4900</v>
      </c>
      <c r="N56" s="1516">
        <f t="shared" ref="N56:N61" si="28">I56-L56-M56</f>
        <v>1400</v>
      </c>
      <c r="O56" s="1372"/>
    </row>
    <row r="57" spans="1:256" ht="25.5">
      <c r="A57" s="494">
        <v>7</v>
      </c>
      <c r="B57" s="1373" t="s">
        <v>2144</v>
      </c>
      <c r="C57" s="1340" t="s">
        <v>2073</v>
      </c>
      <c r="D57" s="1346">
        <v>7000</v>
      </c>
      <c r="E57" s="1342"/>
      <c r="F57" s="1343"/>
      <c r="G57" s="1343">
        <f t="shared" si="25"/>
        <v>7000</v>
      </c>
      <c r="H57" s="1344"/>
      <c r="I57" s="1343">
        <f t="shared" si="26"/>
        <v>7000</v>
      </c>
      <c r="J57" s="1344">
        <v>0.1</v>
      </c>
      <c r="K57" s="1342">
        <v>0.7</v>
      </c>
      <c r="L57" s="1514">
        <f t="shared" si="27"/>
        <v>700</v>
      </c>
      <c r="M57" s="1517">
        <f t="shared" si="24"/>
        <v>4900</v>
      </c>
      <c r="N57" s="1516">
        <f t="shared" si="28"/>
        <v>1400</v>
      </c>
      <c r="O57" s="1372"/>
    </row>
    <row r="58" spans="1:256">
      <c r="A58" s="494">
        <v>8</v>
      </c>
      <c r="B58" s="1373" t="s">
        <v>2145</v>
      </c>
      <c r="C58" s="1340" t="s">
        <v>2073</v>
      </c>
      <c r="D58" s="1346">
        <v>10000</v>
      </c>
      <c r="E58" s="1342"/>
      <c r="F58" s="1343"/>
      <c r="G58" s="1343">
        <f t="shared" si="25"/>
        <v>10000</v>
      </c>
      <c r="H58" s="1344"/>
      <c r="I58" s="1343">
        <f t="shared" si="26"/>
        <v>10000</v>
      </c>
      <c r="J58" s="1344">
        <v>0.1</v>
      </c>
      <c r="K58" s="1342">
        <v>0.7</v>
      </c>
      <c r="L58" s="1514">
        <f t="shared" si="27"/>
        <v>1000</v>
      </c>
      <c r="M58" s="1517">
        <f t="shared" si="24"/>
        <v>7000</v>
      </c>
      <c r="N58" s="1516">
        <f t="shared" si="28"/>
        <v>2000</v>
      </c>
      <c r="O58" s="1372"/>
    </row>
    <row r="59" spans="1:256">
      <c r="A59" s="494">
        <v>9</v>
      </c>
      <c r="B59" s="1373" t="s">
        <v>2146</v>
      </c>
      <c r="C59" s="1340" t="s">
        <v>2073</v>
      </c>
      <c r="D59" s="1346">
        <v>16000</v>
      </c>
      <c r="E59" s="1342"/>
      <c r="F59" s="1343"/>
      <c r="G59" s="1343">
        <f t="shared" si="25"/>
        <v>16000</v>
      </c>
      <c r="H59" s="1344"/>
      <c r="I59" s="1343">
        <f t="shared" si="26"/>
        <v>16000</v>
      </c>
      <c r="J59" s="1344">
        <v>0.1</v>
      </c>
      <c r="K59" s="1342">
        <v>0.4</v>
      </c>
      <c r="L59" s="1514">
        <f t="shared" si="27"/>
        <v>1600</v>
      </c>
      <c r="M59" s="1517">
        <f t="shared" si="24"/>
        <v>6400</v>
      </c>
      <c r="N59" s="1516">
        <f t="shared" si="28"/>
        <v>8000</v>
      </c>
      <c r="O59" s="1372"/>
    </row>
    <row r="60" spans="1:256" ht="25.5">
      <c r="A60" s="494">
        <v>10</v>
      </c>
      <c r="B60" s="1374" t="s">
        <v>2147</v>
      </c>
      <c r="C60" s="1340" t="s">
        <v>2073</v>
      </c>
      <c r="D60" s="1346">
        <v>20000</v>
      </c>
      <c r="E60" s="1342"/>
      <c r="F60" s="1343"/>
      <c r="G60" s="1343">
        <f t="shared" si="25"/>
        <v>20000</v>
      </c>
      <c r="H60" s="1344"/>
      <c r="I60" s="1343">
        <f t="shared" si="26"/>
        <v>20000</v>
      </c>
      <c r="J60" s="1344">
        <v>0.1</v>
      </c>
      <c r="K60" s="1342">
        <v>0.4</v>
      </c>
      <c r="L60" s="1514">
        <f t="shared" si="27"/>
        <v>2000</v>
      </c>
      <c r="M60" s="1517">
        <f t="shared" si="24"/>
        <v>8000</v>
      </c>
      <c r="N60" s="1516">
        <f t="shared" si="28"/>
        <v>10000</v>
      </c>
      <c r="O60" s="1372"/>
    </row>
    <row r="61" spans="1:256">
      <c r="A61" s="494">
        <v>11</v>
      </c>
      <c r="B61" s="1373" t="s">
        <v>2148</v>
      </c>
      <c r="C61" s="1340" t="s">
        <v>2073</v>
      </c>
      <c r="D61" s="1346">
        <v>10000</v>
      </c>
      <c r="E61" s="1342"/>
      <c r="F61" s="1343"/>
      <c r="G61" s="1343">
        <f t="shared" si="25"/>
        <v>10000</v>
      </c>
      <c r="H61" s="1344"/>
      <c r="I61" s="1343">
        <f t="shared" si="26"/>
        <v>10000</v>
      </c>
      <c r="J61" s="1344">
        <v>0.1</v>
      </c>
      <c r="K61" s="1342">
        <v>0.4</v>
      </c>
      <c r="L61" s="1514">
        <f t="shared" si="27"/>
        <v>1000</v>
      </c>
      <c r="M61" s="1517">
        <f t="shared" si="24"/>
        <v>4000</v>
      </c>
      <c r="N61" s="1516">
        <f t="shared" si="28"/>
        <v>5000</v>
      </c>
      <c r="O61" s="1372"/>
    </row>
    <row r="62" spans="1:256">
      <c r="A62" s="1332" t="s">
        <v>2011</v>
      </c>
      <c r="B62" s="1333" t="s">
        <v>2149</v>
      </c>
      <c r="C62" s="1334"/>
      <c r="D62" s="1335">
        <f>D63+D78</f>
        <v>250000</v>
      </c>
      <c r="E62" s="1335">
        <f t="shared" ref="E62:N62" si="29">E63+E78</f>
        <v>5.9780568222286439</v>
      </c>
      <c r="F62" s="1335">
        <f t="shared" si="29"/>
        <v>121805.21768381915</v>
      </c>
      <c r="G62" s="1335">
        <f t="shared" si="29"/>
        <v>128194.78231618086</v>
      </c>
      <c r="H62" s="1335">
        <f t="shared" si="29"/>
        <v>0</v>
      </c>
      <c r="I62" s="1335">
        <f t="shared" si="29"/>
        <v>128194.78231618086</v>
      </c>
      <c r="J62" s="1335">
        <f t="shared" si="29"/>
        <v>1.4000000000000001</v>
      </c>
      <c r="K62" s="1335">
        <f t="shared" si="29"/>
        <v>9.7999999999999989</v>
      </c>
      <c r="L62" s="1512">
        <f t="shared" si="29"/>
        <v>12819.478231618088</v>
      </c>
      <c r="M62" s="1513">
        <f t="shared" si="29"/>
        <v>84092.122269213913</v>
      </c>
      <c r="N62" s="1512">
        <f t="shared" si="29"/>
        <v>31283.181815348849</v>
      </c>
      <c r="O62" s="1337"/>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313"/>
      <c r="DF62" s="1313"/>
      <c r="DG62" s="1313"/>
      <c r="DH62" s="1313"/>
      <c r="DI62" s="1313"/>
      <c r="DJ62" s="1313"/>
      <c r="DK62" s="1313"/>
      <c r="DL62" s="1313"/>
      <c r="DM62" s="1313"/>
      <c r="DN62" s="1313"/>
      <c r="DO62" s="1313"/>
      <c r="DP62" s="1313"/>
      <c r="DQ62" s="1313"/>
      <c r="DR62" s="1313"/>
      <c r="DS62" s="1313"/>
      <c r="DT62" s="1313"/>
      <c r="DU62" s="1313"/>
      <c r="DV62" s="1313"/>
      <c r="DW62" s="1313"/>
      <c r="DX62" s="1313"/>
      <c r="DY62" s="1313"/>
      <c r="DZ62" s="1313"/>
      <c r="EA62" s="1313"/>
      <c r="EB62" s="1313"/>
      <c r="EC62" s="1313"/>
      <c r="ED62" s="1313"/>
      <c r="EE62" s="1313"/>
      <c r="EF62" s="1313"/>
      <c r="EG62" s="1313"/>
      <c r="EH62" s="1313"/>
      <c r="EI62" s="1313"/>
      <c r="EJ62" s="1313"/>
      <c r="EK62" s="1313"/>
      <c r="EL62" s="1313"/>
      <c r="EM62" s="1313"/>
      <c r="EN62" s="1313"/>
      <c r="EO62" s="1313"/>
      <c r="EP62" s="1313"/>
      <c r="EQ62" s="1313"/>
      <c r="ER62" s="1313"/>
      <c r="ES62" s="1313"/>
      <c r="ET62" s="1313"/>
      <c r="EU62" s="1313"/>
      <c r="EV62" s="1313"/>
      <c r="EW62" s="1313"/>
      <c r="EX62" s="1313"/>
      <c r="EY62" s="1313"/>
      <c r="EZ62" s="1313"/>
      <c r="FA62" s="1313"/>
      <c r="FB62" s="1313"/>
      <c r="FC62" s="1313"/>
      <c r="FD62" s="1313"/>
      <c r="FE62" s="1313"/>
      <c r="FF62" s="1313"/>
      <c r="FG62" s="1313"/>
      <c r="FH62" s="1313"/>
      <c r="FI62" s="1313"/>
      <c r="FJ62" s="1313"/>
      <c r="FK62" s="1313"/>
      <c r="FL62" s="1313"/>
      <c r="FM62" s="1313"/>
      <c r="FN62" s="1313"/>
      <c r="FO62" s="1313"/>
      <c r="FP62" s="1313"/>
      <c r="FQ62" s="1313"/>
      <c r="FR62" s="1313"/>
      <c r="FS62" s="1313"/>
      <c r="FT62" s="1313"/>
      <c r="FU62" s="1313"/>
      <c r="FV62" s="1313"/>
      <c r="FW62" s="1313"/>
      <c r="FX62" s="1313"/>
      <c r="FY62" s="1313"/>
      <c r="FZ62" s="1313"/>
      <c r="GA62" s="1313"/>
      <c r="GB62" s="1313"/>
      <c r="GC62" s="1313"/>
      <c r="GD62" s="1313"/>
      <c r="GE62" s="1313"/>
      <c r="GF62" s="1313"/>
      <c r="GG62" s="1313"/>
      <c r="GH62" s="1313"/>
      <c r="GI62" s="1313"/>
      <c r="GJ62" s="1313"/>
      <c r="GK62" s="1313"/>
      <c r="GL62" s="1313"/>
      <c r="GM62" s="1313"/>
      <c r="GN62" s="1313"/>
      <c r="GO62" s="1313"/>
      <c r="GP62" s="1313"/>
      <c r="GQ62" s="1313"/>
      <c r="GR62" s="1313"/>
      <c r="GS62" s="1313"/>
      <c r="GT62" s="1313"/>
      <c r="GU62" s="1313"/>
      <c r="GV62" s="1313"/>
      <c r="GW62" s="1313"/>
      <c r="GX62" s="1313"/>
      <c r="GY62" s="1313"/>
      <c r="GZ62" s="1313"/>
      <c r="HA62" s="1313"/>
      <c r="HB62" s="1313"/>
      <c r="HC62" s="1313"/>
      <c r="HD62" s="1313"/>
      <c r="HE62" s="1313"/>
      <c r="HF62" s="1313"/>
      <c r="HG62" s="1313"/>
      <c r="HH62" s="1313"/>
      <c r="HI62" s="1313"/>
      <c r="HJ62" s="1313"/>
      <c r="HK62" s="1313"/>
      <c r="HL62" s="1313"/>
      <c r="HM62" s="1313"/>
      <c r="HN62" s="1313"/>
      <c r="HO62" s="1313"/>
      <c r="HP62" s="1313"/>
      <c r="HQ62" s="1313"/>
      <c r="HR62" s="1313"/>
      <c r="HS62" s="1313"/>
      <c r="HT62" s="1313"/>
      <c r="HU62" s="1313"/>
      <c r="HV62" s="1313"/>
      <c r="HW62" s="1313"/>
      <c r="HX62" s="1313"/>
      <c r="HY62" s="1313"/>
      <c r="HZ62" s="1313"/>
      <c r="IA62" s="1313"/>
      <c r="IB62" s="1313"/>
      <c r="IC62" s="1313"/>
      <c r="ID62" s="1313"/>
      <c r="IE62" s="1313"/>
      <c r="IF62" s="1313"/>
      <c r="IG62" s="1313"/>
      <c r="IH62" s="1313"/>
      <c r="II62" s="1313"/>
      <c r="IJ62" s="1313"/>
      <c r="IK62" s="1313"/>
      <c r="IL62" s="1313"/>
      <c r="IM62" s="1313"/>
      <c r="IN62" s="1313"/>
      <c r="IO62" s="1313"/>
      <c r="IP62" s="1313"/>
      <c r="IQ62" s="1313"/>
      <c r="IR62" s="1313"/>
      <c r="IS62" s="1313"/>
      <c r="IT62" s="1313"/>
      <c r="IU62" s="1313"/>
      <c r="IV62" s="1313"/>
    </row>
    <row r="63" spans="1:256" ht="31.5">
      <c r="A63" s="1269" t="s">
        <v>33</v>
      </c>
      <c r="B63" s="1375" t="s">
        <v>2150</v>
      </c>
      <c r="C63" s="1376"/>
      <c r="D63" s="1377">
        <f>SUM(D64:D77)</f>
        <v>250000</v>
      </c>
      <c r="E63" s="1378">
        <f t="shared" ref="E63:N63" si="30">SUM(E64:E77)</f>
        <v>5.9780568222286439</v>
      </c>
      <c r="F63" s="1378">
        <f t="shared" si="30"/>
        <v>121805.21768381915</v>
      </c>
      <c r="G63" s="1378">
        <f t="shared" si="30"/>
        <v>128194.78231618086</v>
      </c>
      <c r="H63" s="1378">
        <f t="shared" si="30"/>
        <v>0</v>
      </c>
      <c r="I63" s="1378">
        <f t="shared" si="30"/>
        <v>128194.78231618086</v>
      </c>
      <c r="J63" s="1378">
        <f t="shared" si="30"/>
        <v>1.4000000000000001</v>
      </c>
      <c r="K63" s="1378">
        <f t="shared" si="30"/>
        <v>9.7999999999999989</v>
      </c>
      <c r="L63" s="1520">
        <f t="shared" si="30"/>
        <v>12819.478231618088</v>
      </c>
      <c r="M63" s="1521">
        <f t="shared" si="30"/>
        <v>84092.122269213913</v>
      </c>
      <c r="N63" s="1520">
        <f t="shared" si="30"/>
        <v>31283.181815348849</v>
      </c>
      <c r="O63" s="1269"/>
      <c r="P63" s="1313"/>
      <c r="Q63" s="1313"/>
      <c r="R63" s="1313"/>
      <c r="S63" s="1313"/>
      <c r="T63" s="1313"/>
      <c r="U63" s="1313"/>
      <c r="V63" s="1313"/>
      <c r="W63" s="1313"/>
      <c r="X63" s="1313"/>
      <c r="Y63" s="1313"/>
      <c r="Z63" s="1313"/>
      <c r="AA63" s="1313"/>
      <c r="AB63" s="1313"/>
      <c r="AC63" s="1313"/>
      <c r="AD63" s="1313"/>
      <c r="AE63" s="1313"/>
      <c r="AF63" s="1313"/>
      <c r="AG63" s="1313"/>
      <c r="AH63" s="1313"/>
      <c r="AI63" s="1313"/>
      <c r="AJ63" s="1313"/>
      <c r="AK63" s="1313"/>
      <c r="AL63" s="1313"/>
      <c r="AM63" s="1313"/>
      <c r="AN63" s="1313"/>
      <c r="AO63" s="1313"/>
      <c r="AP63" s="1313"/>
      <c r="AQ63" s="1313"/>
      <c r="AR63" s="1313"/>
      <c r="AS63" s="1313"/>
      <c r="AT63" s="1313"/>
      <c r="AU63" s="1313"/>
      <c r="AV63" s="1313"/>
      <c r="AW63" s="1313"/>
      <c r="AX63" s="1313"/>
      <c r="AY63" s="1313"/>
      <c r="AZ63" s="1313"/>
      <c r="BA63" s="1313"/>
      <c r="BB63" s="1313"/>
      <c r="BC63" s="1313"/>
      <c r="BD63" s="1313"/>
      <c r="BE63" s="1313"/>
      <c r="BF63" s="1313"/>
      <c r="BG63" s="1313"/>
      <c r="BH63" s="1313"/>
      <c r="BI63" s="1313"/>
      <c r="BJ63" s="1313"/>
      <c r="BK63" s="1313"/>
      <c r="BL63" s="1313"/>
      <c r="BM63" s="1313"/>
      <c r="BN63" s="1313"/>
      <c r="BO63" s="1313"/>
      <c r="BP63" s="1313"/>
      <c r="BQ63" s="1313"/>
      <c r="BR63" s="1313"/>
      <c r="BS63" s="1313"/>
      <c r="BT63" s="1313"/>
      <c r="BU63" s="1313"/>
      <c r="BV63" s="1313"/>
      <c r="BW63" s="1313"/>
      <c r="BX63" s="1313"/>
      <c r="BY63" s="1313"/>
      <c r="BZ63" s="1313"/>
      <c r="CA63" s="1313"/>
      <c r="CB63" s="1313"/>
      <c r="CC63" s="1313"/>
      <c r="CD63" s="1313"/>
      <c r="CE63" s="1313"/>
      <c r="CF63" s="1313"/>
      <c r="CG63" s="1313"/>
      <c r="CH63" s="1313"/>
      <c r="CI63" s="1313"/>
      <c r="CJ63" s="1313"/>
      <c r="CK63" s="1313"/>
      <c r="CL63" s="1313"/>
      <c r="CM63" s="1313"/>
      <c r="CN63" s="1313"/>
      <c r="CO63" s="1313"/>
      <c r="CP63" s="1313"/>
      <c r="CQ63" s="1313"/>
      <c r="CR63" s="1313"/>
      <c r="CS63" s="1313"/>
      <c r="CT63" s="1313"/>
      <c r="CU63" s="1313"/>
      <c r="CV63" s="1313"/>
      <c r="CW63" s="1313"/>
      <c r="CX63" s="1313"/>
      <c r="CY63" s="1313"/>
      <c r="CZ63" s="1313"/>
      <c r="DA63" s="1313"/>
      <c r="DB63" s="1313"/>
      <c r="DC63" s="1313"/>
      <c r="DD63" s="1313"/>
      <c r="DE63" s="1313"/>
      <c r="DF63" s="1313"/>
      <c r="DG63" s="1313"/>
      <c r="DH63" s="1313"/>
      <c r="DI63" s="1313"/>
      <c r="DJ63" s="1313"/>
      <c r="DK63" s="1313"/>
      <c r="DL63" s="1313"/>
      <c r="DM63" s="1313"/>
      <c r="DN63" s="1313"/>
      <c r="DO63" s="1313"/>
      <c r="DP63" s="1313"/>
      <c r="DQ63" s="1313"/>
      <c r="DR63" s="1313"/>
      <c r="DS63" s="1313"/>
      <c r="DT63" s="1313"/>
      <c r="DU63" s="1313"/>
      <c r="DV63" s="1313"/>
      <c r="DW63" s="1313"/>
      <c r="DX63" s="1313"/>
      <c r="DY63" s="1313"/>
      <c r="DZ63" s="1313"/>
      <c r="EA63" s="1313"/>
      <c r="EB63" s="1313"/>
      <c r="EC63" s="1313"/>
      <c r="ED63" s="1313"/>
      <c r="EE63" s="1313"/>
      <c r="EF63" s="1313"/>
      <c r="EG63" s="1313"/>
      <c r="EH63" s="1313"/>
      <c r="EI63" s="1313"/>
      <c r="EJ63" s="1313"/>
      <c r="EK63" s="1313"/>
      <c r="EL63" s="1313"/>
      <c r="EM63" s="1313"/>
      <c r="EN63" s="1313"/>
      <c r="EO63" s="1313"/>
      <c r="EP63" s="1313"/>
      <c r="EQ63" s="1313"/>
      <c r="ER63" s="1313"/>
      <c r="ES63" s="1313"/>
      <c r="ET63" s="1313"/>
      <c r="EU63" s="1313"/>
      <c r="EV63" s="1313"/>
      <c r="EW63" s="1313"/>
      <c r="EX63" s="1313"/>
      <c r="EY63" s="1313"/>
      <c r="EZ63" s="1313"/>
      <c r="FA63" s="1313"/>
      <c r="FB63" s="1313"/>
      <c r="FC63" s="1313"/>
      <c r="FD63" s="1313"/>
      <c r="FE63" s="1313"/>
      <c r="FF63" s="1313"/>
      <c r="FG63" s="1313"/>
      <c r="FH63" s="1313"/>
      <c r="FI63" s="1313"/>
      <c r="FJ63" s="1313"/>
      <c r="FK63" s="1313"/>
      <c r="FL63" s="1313"/>
      <c r="FM63" s="1313"/>
      <c r="FN63" s="1313"/>
      <c r="FO63" s="1313"/>
      <c r="FP63" s="1313"/>
      <c r="FQ63" s="1313"/>
      <c r="FR63" s="1313"/>
      <c r="FS63" s="1313"/>
      <c r="FT63" s="1313"/>
      <c r="FU63" s="1313"/>
      <c r="FV63" s="1313"/>
      <c r="FW63" s="1313"/>
      <c r="FX63" s="1313"/>
      <c r="FY63" s="1313"/>
      <c r="FZ63" s="1313"/>
      <c r="GA63" s="1313"/>
      <c r="GB63" s="1313"/>
      <c r="GC63" s="1313"/>
      <c r="GD63" s="1313"/>
      <c r="GE63" s="1313"/>
      <c r="GF63" s="1313"/>
      <c r="GG63" s="1313"/>
      <c r="GH63" s="1313"/>
      <c r="GI63" s="1313"/>
      <c r="GJ63" s="1313"/>
      <c r="GK63" s="1313"/>
      <c r="GL63" s="1313"/>
      <c r="GM63" s="1313"/>
      <c r="GN63" s="1313"/>
      <c r="GO63" s="1313"/>
      <c r="GP63" s="1313"/>
      <c r="GQ63" s="1313"/>
      <c r="GR63" s="1313"/>
      <c r="GS63" s="1313"/>
      <c r="GT63" s="1313"/>
      <c r="GU63" s="1313"/>
      <c r="GV63" s="1313"/>
      <c r="GW63" s="1313"/>
      <c r="GX63" s="1313"/>
      <c r="GY63" s="1313"/>
      <c r="GZ63" s="1313"/>
      <c r="HA63" s="1313"/>
      <c r="HB63" s="1313"/>
      <c r="HC63" s="1313"/>
      <c r="HD63" s="1313"/>
      <c r="HE63" s="1313"/>
      <c r="HF63" s="1313"/>
      <c r="HG63" s="1313"/>
      <c r="HH63" s="1313"/>
      <c r="HI63" s="1313"/>
      <c r="HJ63" s="1313"/>
      <c r="HK63" s="1313"/>
      <c r="HL63" s="1313"/>
      <c r="HM63" s="1313"/>
      <c r="HN63" s="1313"/>
      <c r="HO63" s="1313"/>
      <c r="HP63" s="1313"/>
      <c r="HQ63" s="1313"/>
      <c r="HR63" s="1313"/>
      <c r="HS63" s="1313"/>
      <c r="HT63" s="1313"/>
      <c r="HU63" s="1313"/>
      <c r="HV63" s="1313"/>
      <c r="HW63" s="1313"/>
      <c r="HX63" s="1313"/>
      <c r="HY63" s="1313"/>
      <c r="HZ63" s="1313"/>
      <c r="IA63" s="1313"/>
      <c r="IB63" s="1313"/>
      <c r="IC63" s="1313"/>
      <c r="ID63" s="1313"/>
      <c r="IE63" s="1313"/>
      <c r="IF63" s="1313"/>
      <c r="IG63" s="1313"/>
      <c r="IH63" s="1313"/>
      <c r="II63" s="1313"/>
      <c r="IJ63" s="1313"/>
      <c r="IK63" s="1313"/>
      <c r="IL63" s="1313"/>
      <c r="IM63" s="1313"/>
      <c r="IN63" s="1313"/>
      <c r="IO63" s="1313"/>
      <c r="IP63" s="1313"/>
      <c r="IQ63" s="1313"/>
      <c r="IR63" s="1313"/>
      <c r="IS63" s="1313"/>
      <c r="IT63" s="1313"/>
      <c r="IU63" s="1313"/>
      <c r="IV63" s="1313"/>
    </row>
    <row r="64" spans="1:256" ht="47.25">
      <c r="A64" s="1379">
        <v>1</v>
      </c>
      <c r="B64" s="1210" t="s">
        <v>2151</v>
      </c>
      <c r="C64" s="1340" t="s">
        <v>2080</v>
      </c>
      <c r="D64" s="1341">
        <v>90000</v>
      </c>
      <c r="E64" s="1380">
        <v>0.36619718309859156</v>
      </c>
      <c r="F64" s="1381">
        <f>D64*E64</f>
        <v>32957.74647887324</v>
      </c>
      <c r="G64" s="1381">
        <f>D64-F64</f>
        <v>57042.25352112676</v>
      </c>
      <c r="H64" s="1371"/>
      <c r="I64" s="1381">
        <f>G64</f>
        <v>57042.25352112676</v>
      </c>
      <c r="J64" s="1344">
        <v>0.1</v>
      </c>
      <c r="K64" s="1382">
        <v>0.6</v>
      </c>
      <c r="L64" s="1522">
        <f>J64*I64</f>
        <v>5704.2253521126768</v>
      </c>
      <c r="M64" s="1517">
        <f>I64*K64</f>
        <v>34225.352112676053</v>
      </c>
      <c r="N64" s="1522">
        <f>I64-L64-M64</f>
        <v>17112.67605633803</v>
      </c>
      <c r="O64" s="1379"/>
      <c r="P64" s="1313"/>
      <c r="Q64" s="1313"/>
      <c r="R64" s="1313"/>
      <c r="S64" s="1313"/>
      <c r="T64" s="1313"/>
      <c r="U64" s="1313"/>
      <c r="V64" s="1313"/>
      <c r="W64" s="1313"/>
      <c r="X64" s="1313"/>
      <c r="Y64" s="1313"/>
      <c r="Z64" s="1313"/>
      <c r="AA64" s="1313"/>
      <c r="AB64" s="1313"/>
      <c r="AC64" s="1313"/>
      <c r="AD64" s="1313"/>
      <c r="AE64" s="1313"/>
      <c r="AF64" s="1313"/>
      <c r="AG64" s="1313"/>
      <c r="AH64" s="1313"/>
      <c r="AI64" s="1313"/>
      <c r="AJ64" s="1313"/>
      <c r="AK64" s="1313"/>
      <c r="AL64" s="1313"/>
      <c r="AM64" s="1313"/>
      <c r="AN64" s="1313"/>
      <c r="AO64" s="1313"/>
      <c r="AP64" s="1313"/>
      <c r="AQ64" s="1313"/>
      <c r="AR64" s="1313"/>
      <c r="AS64" s="1313"/>
      <c r="AT64" s="1313"/>
      <c r="AU64" s="1313"/>
      <c r="AV64" s="1313"/>
      <c r="AW64" s="1313"/>
      <c r="AX64" s="1313"/>
      <c r="AY64" s="1313"/>
      <c r="AZ64" s="1313"/>
      <c r="BA64" s="1313"/>
      <c r="BB64" s="1313"/>
      <c r="BC64" s="1313"/>
      <c r="BD64" s="1313"/>
      <c r="BE64" s="1313"/>
      <c r="BF64" s="1313"/>
      <c r="BG64" s="1313"/>
      <c r="BH64" s="1313"/>
      <c r="BI64" s="1313"/>
      <c r="BJ64" s="1313"/>
      <c r="BK64" s="1313"/>
      <c r="BL64" s="1313"/>
      <c r="BM64" s="1313"/>
      <c r="BN64" s="1313"/>
      <c r="BO64" s="1313"/>
      <c r="BP64" s="1313"/>
      <c r="BQ64" s="1313"/>
      <c r="BR64" s="1313"/>
      <c r="BS64" s="1313"/>
      <c r="BT64" s="1313"/>
      <c r="BU64" s="1313"/>
      <c r="BV64" s="1313"/>
      <c r="BW64" s="1313"/>
      <c r="BX64" s="1313"/>
      <c r="BY64" s="1313"/>
      <c r="BZ64" s="1313"/>
      <c r="CA64" s="1313"/>
      <c r="CB64" s="1313"/>
      <c r="CC64" s="1313"/>
      <c r="CD64" s="1313"/>
      <c r="CE64" s="1313"/>
      <c r="CF64" s="1313"/>
      <c r="CG64" s="1313"/>
      <c r="CH64" s="1313"/>
      <c r="CI64" s="1313"/>
      <c r="CJ64" s="1313"/>
      <c r="CK64" s="1313"/>
      <c r="CL64" s="1313"/>
      <c r="CM64" s="1313"/>
      <c r="CN64" s="1313"/>
      <c r="CO64" s="1313"/>
      <c r="CP64" s="1313"/>
      <c r="CQ64" s="1313"/>
      <c r="CR64" s="1313"/>
      <c r="CS64" s="1313"/>
      <c r="CT64" s="1313"/>
      <c r="CU64" s="1313"/>
      <c r="CV64" s="1313"/>
      <c r="CW64" s="1313"/>
      <c r="CX64" s="1313"/>
      <c r="CY64" s="1313"/>
      <c r="CZ64" s="1313"/>
      <c r="DA64" s="1313"/>
      <c r="DB64" s="1313"/>
      <c r="DC64" s="1313"/>
      <c r="DD64" s="1313"/>
      <c r="DE64" s="1313"/>
      <c r="DF64" s="1313"/>
      <c r="DG64" s="1313"/>
      <c r="DH64" s="1313"/>
      <c r="DI64" s="1313"/>
      <c r="DJ64" s="1313"/>
      <c r="DK64" s="1313"/>
      <c r="DL64" s="1313"/>
      <c r="DM64" s="1313"/>
      <c r="DN64" s="1313"/>
      <c r="DO64" s="1313"/>
      <c r="DP64" s="1313"/>
      <c r="DQ64" s="1313"/>
      <c r="DR64" s="1313"/>
      <c r="DS64" s="1313"/>
      <c r="DT64" s="1313"/>
      <c r="DU64" s="1313"/>
      <c r="DV64" s="1313"/>
      <c r="DW64" s="1313"/>
      <c r="DX64" s="1313"/>
      <c r="DY64" s="1313"/>
      <c r="DZ64" s="1313"/>
      <c r="EA64" s="1313"/>
      <c r="EB64" s="1313"/>
      <c r="EC64" s="1313"/>
      <c r="ED64" s="1313"/>
      <c r="EE64" s="1313"/>
      <c r="EF64" s="1313"/>
      <c r="EG64" s="1313"/>
      <c r="EH64" s="1313"/>
      <c r="EI64" s="1313"/>
      <c r="EJ64" s="1313"/>
      <c r="EK64" s="1313"/>
      <c r="EL64" s="1313"/>
      <c r="EM64" s="1313"/>
      <c r="EN64" s="1313"/>
      <c r="EO64" s="1313"/>
      <c r="EP64" s="1313"/>
      <c r="EQ64" s="1313"/>
      <c r="ER64" s="1313"/>
      <c r="ES64" s="1313"/>
      <c r="ET64" s="1313"/>
      <c r="EU64" s="1313"/>
      <c r="EV64" s="1313"/>
      <c r="EW64" s="1313"/>
      <c r="EX64" s="1313"/>
      <c r="EY64" s="1313"/>
      <c r="EZ64" s="1313"/>
      <c r="FA64" s="1313"/>
      <c r="FB64" s="1313"/>
      <c r="FC64" s="1313"/>
      <c r="FD64" s="1313"/>
      <c r="FE64" s="1313"/>
      <c r="FF64" s="1313"/>
      <c r="FG64" s="1313"/>
      <c r="FH64" s="1313"/>
      <c r="FI64" s="1313"/>
      <c r="FJ64" s="1313"/>
      <c r="FK64" s="1313"/>
      <c r="FL64" s="1313"/>
      <c r="FM64" s="1313"/>
      <c r="FN64" s="1313"/>
      <c r="FO64" s="1313"/>
      <c r="FP64" s="1313"/>
      <c r="FQ64" s="1313"/>
      <c r="FR64" s="1313"/>
      <c r="FS64" s="1313"/>
      <c r="FT64" s="1313"/>
      <c r="FU64" s="1313"/>
      <c r="FV64" s="1313"/>
      <c r="FW64" s="1313"/>
      <c r="FX64" s="1313"/>
      <c r="FY64" s="1313"/>
      <c r="FZ64" s="1313"/>
      <c r="GA64" s="1313"/>
      <c r="GB64" s="1313"/>
      <c r="GC64" s="1313"/>
      <c r="GD64" s="1313"/>
      <c r="GE64" s="1313"/>
      <c r="GF64" s="1313"/>
      <c r="GG64" s="1313"/>
      <c r="GH64" s="1313"/>
      <c r="GI64" s="1313"/>
      <c r="GJ64" s="1313"/>
      <c r="GK64" s="1313"/>
      <c r="GL64" s="1313"/>
      <c r="GM64" s="1313"/>
      <c r="GN64" s="1313"/>
      <c r="GO64" s="1313"/>
      <c r="GP64" s="1313"/>
      <c r="GQ64" s="1313"/>
      <c r="GR64" s="1313"/>
      <c r="GS64" s="1313"/>
      <c r="GT64" s="1313"/>
      <c r="GU64" s="1313"/>
      <c r="GV64" s="1313"/>
      <c r="GW64" s="1313"/>
      <c r="GX64" s="1313"/>
      <c r="GY64" s="1313"/>
      <c r="GZ64" s="1313"/>
      <c r="HA64" s="1313"/>
      <c r="HB64" s="1313"/>
      <c r="HC64" s="1313"/>
      <c r="HD64" s="1313"/>
      <c r="HE64" s="1313"/>
      <c r="HF64" s="1313"/>
      <c r="HG64" s="1313"/>
      <c r="HH64" s="1313"/>
      <c r="HI64" s="1313"/>
      <c r="HJ64" s="1313"/>
      <c r="HK64" s="1313"/>
      <c r="HL64" s="1313"/>
      <c r="HM64" s="1313"/>
      <c r="HN64" s="1313"/>
      <c r="HO64" s="1313"/>
      <c r="HP64" s="1313"/>
      <c r="HQ64" s="1313"/>
      <c r="HR64" s="1313"/>
      <c r="HS64" s="1313"/>
      <c r="HT64" s="1313"/>
      <c r="HU64" s="1313"/>
      <c r="HV64" s="1313"/>
      <c r="HW64" s="1313"/>
      <c r="HX64" s="1313"/>
      <c r="HY64" s="1313"/>
      <c r="HZ64" s="1313"/>
      <c r="IA64" s="1313"/>
      <c r="IB64" s="1313"/>
      <c r="IC64" s="1313"/>
      <c r="ID64" s="1313"/>
      <c r="IE64" s="1313"/>
      <c r="IF64" s="1313"/>
      <c r="IG64" s="1313"/>
      <c r="IH64" s="1313"/>
      <c r="II64" s="1313"/>
      <c r="IJ64" s="1313"/>
      <c r="IK64" s="1313"/>
      <c r="IL64" s="1313"/>
      <c r="IM64" s="1313"/>
      <c r="IN64" s="1313"/>
      <c r="IO64" s="1313"/>
      <c r="IP64" s="1313"/>
      <c r="IQ64" s="1313"/>
      <c r="IR64" s="1313"/>
      <c r="IS64" s="1313"/>
      <c r="IT64" s="1313"/>
      <c r="IU64" s="1313"/>
      <c r="IV64" s="1313"/>
    </row>
    <row r="65" spans="1:256" ht="31.5">
      <c r="A65" s="1383">
        <v>2</v>
      </c>
      <c r="B65" s="1384" t="s">
        <v>2152</v>
      </c>
      <c r="C65" s="1340" t="s">
        <v>2080</v>
      </c>
      <c r="D65" s="1341">
        <v>2000</v>
      </c>
      <c r="E65" s="1380">
        <v>0.375</v>
      </c>
      <c r="F65" s="1381">
        <f t="shared" ref="F65:F77" si="31">D65*E65</f>
        <v>750</v>
      </c>
      <c r="G65" s="1381">
        <f t="shared" ref="G65:G77" si="32">D65-F65</f>
        <v>1250</v>
      </c>
      <c r="H65" s="1371"/>
      <c r="I65" s="1381">
        <f t="shared" ref="I65:I77" si="33">G65</f>
        <v>1250</v>
      </c>
      <c r="J65" s="1344">
        <v>0.1</v>
      </c>
      <c r="K65" s="1382">
        <v>0.7</v>
      </c>
      <c r="L65" s="1522">
        <f t="shared" ref="L65:L77" si="34">J65*I65</f>
        <v>125</v>
      </c>
      <c r="M65" s="1517">
        <f t="shared" ref="M65:M77" si="35">I65*K65</f>
        <v>875</v>
      </c>
      <c r="N65" s="1522">
        <f t="shared" ref="N65:N77" si="36">I65-L65-M65</f>
        <v>250</v>
      </c>
      <c r="O65" s="1385"/>
      <c r="P65" s="1313"/>
      <c r="Q65" s="1313"/>
      <c r="R65" s="1313"/>
      <c r="S65" s="1313"/>
      <c r="T65" s="1313"/>
      <c r="U65" s="1313"/>
      <c r="V65" s="1313"/>
      <c r="W65" s="1313"/>
      <c r="X65" s="1313"/>
      <c r="Y65" s="1313"/>
      <c r="Z65" s="1313"/>
      <c r="AA65" s="1313"/>
      <c r="AB65" s="1313"/>
      <c r="AC65" s="1313"/>
      <c r="AD65" s="1313"/>
      <c r="AE65" s="1313"/>
      <c r="AF65" s="1313"/>
      <c r="AG65" s="1313"/>
      <c r="AH65" s="1313"/>
      <c r="AI65" s="1313"/>
      <c r="AJ65" s="1313"/>
      <c r="AK65" s="1313"/>
      <c r="AL65" s="1313"/>
      <c r="AM65" s="1313"/>
      <c r="AN65" s="1313"/>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3"/>
      <c r="DD65" s="1313"/>
      <c r="DE65" s="1313"/>
      <c r="DF65" s="1313"/>
      <c r="DG65" s="1313"/>
      <c r="DH65" s="1313"/>
      <c r="DI65" s="1313"/>
      <c r="DJ65" s="1313"/>
      <c r="DK65" s="1313"/>
      <c r="DL65" s="1313"/>
      <c r="DM65" s="1313"/>
      <c r="DN65" s="1313"/>
      <c r="DO65" s="1313"/>
      <c r="DP65" s="1313"/>
      <c r="DQ65" s="1313"/>
      <c r="DR65" s="1313"/>
      <c r="DS65" s="1313"/>
      <c r="DT65" s="1313"/>
      <c r="DU65" s="1313"/>
      <c r="DV65" s="1313"/>
      <c r="DW65" s="1313"/>
      <c r="DX65" s="1313"/>
      <c r="DY65" s="1313"/>
      <c r="DZ65" s="1313"/>
      <c r="EA65" s="1313"/>
      <c r="EB65" s="1313"/>
      <c r="EC65" s="1313"/>
      <c r="ED65" s="1313"/>
      <c r="EE65" s="1313"/>
      <c r="EF65" s="1313"/>
      <c r="EG65" s="1313"/>
      <c r="EH65" s="1313"/>
      <c r="EI65" s="1313"/>
      <c r="EJ65" s="1313"/>
      <c r="EK65" s="1313"/>
      <c r="EL65" s="1313"/>
      <c r="EM65" s="1313"/>
      <c r="EN65" s="1313"/>
      <c r="EO65" s="1313"/>
      <c r="EP65" s="1313"/>
      <c r="EQ65" s="1313"/>
      <c r="ER65" s="1313"/>
      <c r="ES65" s="1313"/>
      <c r="ET65" s="1313"/>
      <c r="EU65" s="1313"/>
      <c r="EV65" s="1313"/>
      <c r="EW65" s="1313"/>
      <c r="EX65" s="1313"/>
      <c r="EY65" s="1313"/>
      <c r="EZ65" s="1313"/>
      <c r="FA65" s="1313"/>
      <c r="FB65" s="1313"/>
      <c r="FC65" s="1313"/>
      <c r="FD65" s="1313"/>
      <c r="FE65" s="1313"/>
      <c r="FF65" s="1313"/>
      <c r="FG65" s="1313"/>
      <c r="FH65" s="1313"/>
      <c r="FI65" s="1313"/>
      <c r="FJ65" s="1313"/>
      <c r="FK65" s="1313"/>
      <c r="FL65" s="1313"/>
      <c r="FM65" s="1313"/>
      <c r="FN65" s="1313"/>
      <c r="FO65" s="1313"/>
      <c r="FP65" s="1313"/>
      <c r="FQ65" s="1313"/>
      <c r="FR65" s="1313"/>
      <c r="FS65" s="1313"/>
      <c r="FT65" s="1313"/>
      <c r="FU65" s="1313"/>
      <c r="FV65" s="1313"/>
      <c r="FW65" s="1313"/>
      <c r="FX65" s="1313"/>
      <c r="FY65" s="1313"/>
      <c r="FZ65" s="1313"/>
      <c r="GA65" s="1313"/>
      <c r="GB65" s="1313"/>
      <c r="GC65" s="1313"/>
      <c r="GD65" s="1313"/>
      <c r="GE65" s="1313"/>
      <c r="GF65" s="1313"/>
      <c r="GG65" s="1313"/>
      <c r="GH65" s="1313"/>
      <c r="GI65" s="1313"/>
      <c r="GJ65" s="1313"/>
      <c r="GK65" s="1313"/>
      <c r="GL65" s="1313"/>
      <c r="GM65" s="1313"/>
      <c r="GN65" s="1313"/>
      <c r="GO65" s="1313"/>
      <c r="GP65" s="1313"/>
      <c r="GQ65" s="1313"/>
      <c r="GR65" s="1313"/>
      <c r="GS65" s="1313"/>
      <c r="GT65" s="1313"/>
      <c r="GU65" s="1313"/>
      <c r="GV65" s="1313"/>
      <c r="GW65" s="1313"/>
      <c r="GX65" s="1313"/>
      <c r="GY65" s="1313"/>
      <c r="GZ65" s="1313"/>
      <c r="HA65" s="1313"/>
      <c r="HB65" s="1313"/>
      <c r="HC65" s="1313"/>
      <c r="HD65" s="1313"/>
      <c r="HE65" s="1313"/>
      <c r="HF65" s="1313"/>
      <c r="HG65" s="1313"/>
      <c r="HH65" s="1313"/>
      <c r="HI65" s="1313"/>
      <c r="HJ65" s="1313"/>
      <c r="HK65" s="1313"/>
      <c r="HL65" s="1313"/>
      <c r="HM65" s="1313"/>
      <c r="HN65" s="1313"/>
      <c r="HO65" s="1313"/>
      <c r="HP65" s="1313"/>
      <c r="HQ65" s="1313"/>
      <c r="HR65" s="1313"/>
      <c r="HS65" s="1313"/>
      <c r="HT65" s="1313"/>
      <c r="HU65" s="1313"/>
      <c r="HV65" s="1313"/>
      <c r="HW65" s="1313"/>
      <c r="HX65" s="1313"/>
      <c r="HY65" s="1313"/>
      <c r="HZ65" s="1313"/>
      <c r="IA65" s="1313"/>
      <c r="IB65" s="1313"/>
      <c r="IC65" s="1313"/>
      <c r="ID65" s="1313"/>
      <c r="IE65" s="1313"/>
      <c r="IF65" s="1313"/>
      <c r="IG65" s="1313"/>
      <c r="IH65" s="1313"/>
      <c r="II65" s="1313"/>
      <c r="IJ65" s="1313"/>
      <c r="IK65" s="1313"/>
      <c r="IL65" s="1313"/>
      <c r="IM65" s="1313"/>
      <c r="IN65" s="1313"/>
      <c r="IO65" s="1313"/>
      <c r="IP65" s="1313"/>
      <c r="IQ65" s="1313"/>
      <c r="IR65" s="1313"/>
      <c r="IS65" s="1313"/>
      <c r="IT65" s="1313"/>
      <c r="IU65" s="1313"/>
      <c r="IV65" s="1313"/>
    </row>
    <row r="66" spans="1:256" ht="47.25">
      <c r="A66" s="1379">
        <v>3</v>
      </c>
      <c r="B66" s="1384" t="s">
        <v>2153</v>
      </c>
      <c r="C66" s="1340" t="s">
        <v>2080</v>
      </c>
      <c r="D66" s="1341">
        <v>60000</v>
      </c>
      <c r="E66" s="1380">
        <v>0.80441916293957461</v>
      </c>
      <c r="F66" s="1381">
        <f t="shared" si="31"/>
        <v>48265.149776374477</v>
      </c>
      <c r="G66" s="1381">
        <f t="shared" si="32"/>
        <v>11734.850223625523</v>
      </c>
      <c r="H66" s="1371"/>
      <c r="I66" s="1381">
        <f t="shared" si="33"/>
        <v>11734.850223625523</v>
      </c>
      <c r="J66" s="1344">
        <v>0.1</v>
      </c>
      <c r="K66" s="1382">
        <v>0.7</v>
      </c>
      <c r="L66" s="1522">
        <f t="shared" si="34"/>
        <v>1173.4850223625524</v>
      </c>
      <c r="M66" s="1517">
        <f t="shared" si="35"/>
        <v>8214.3951565378648</v>
      </c>
      <c r="N66" s="1522">
        <f t="shared" si="36"/>
        <v>2346.9700447251053</v>
      </c>
      <c r="O66" s="1385"/>
      <c r="P66" s="1313"/>
      <c r="Q66" s="1313"/>
      <c r="R66" s="1313"/>
      <c r="S66" s="1313"/>
      <c r="T66" s="1313"/>
      <c r="U66" s="1313"/>
      <c r="V66" s="1313"/>
      <c r="W66" s="1313"/>
      <c r="X66" s="1313"/>
      <c r="Y66" s="1313"/>
      <c r="Z66" s="1313"/>
      <c r="AA66" s="1313"/>
      <c r="AB66" s="1313"/>
      <c r="AC66" s="1313"/>
      <c r="AD66" s="1313"/>
      <c r="AE66" s="1313"/>
      <c r="AF66" s="1313"/>
      <c r="AG66" s="1313"/>
      <c r="AH66" s="1313"/>
      <c r="AI66" s="1313"/>
      <c r="AJ66" s="1313"/>
      <c r="AK66" s="1313"/>
      <c r="AL66" s="1313"/>
      <c r="AM66" s="1313"/>
      <c r="AN66" s="1313"/>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3"/>
      <c r="DD66" s="1313"/>
      <c r="DE66" s="1313"/>
      <c r="DF66" s="1313"/>
      <c r="DG66" s="1313"/>
      <c r="DH66" s="1313"/>
      <c r="DI66" s="1313"/>
      <c r="DJ66" s="1313"/>
      <c r="DK66" s="1313"/>
      <c r="DL66" s="1313"/>
      <c r="DM66" s="1313"/>
      <c r="DN66" s="1313"/>
      <c r="DO66" s="1313"/>
      <c r="DP66" s="1313"/>
      <c r="DQ66" s="1313"/>
      <c r="DR66" s="1313"/>
      <c r="DS66" s="1313"/>
      <c r="DT66" s="1313"/>
      <c r="DU66" s="1313"/>
      <c r="DV66" s="1313"/>
      <c r="DW66" s="1313"/>
      <c r="DX66" s="1313"/>
      <c r="DY66" s="1313"/>
      <c r="DZ66" s="1313"/>
      <c r="EA66" s="1313"/>
      <c r="EB66" s="1313"/>
      <c r="EC66" s="1313"/>
      <c r="ED66" s="1313"/>
      <c r="EE66" s="1313"/>
      <c r="EF66" s="1313"/>
      <c r="EG66" s="1313"/>
      <c r="EH66" s="1313"/>
      <c r="EI66" s="1313"/>
      <c r="EJ66" s="1313"/>
      <c r="EK66" s="1313"/>
      <c r="EL66" s="1313"/>
      <c r="EM66" s="1313"/>
      <c r="EN66" s="1313"/>
      <c r="EO66" s="1313"/>
      <c r="EP66" s="1313"/>
      <c r="EQ66" s="1313"/>
      <c r="ER66" s="1313"/>
      <c r="ES66" s="1313"/>
      <c r="ET66" s="1313"/>
      <c r="EU66" s="1313"/>
      <c r="EV66" s="1313"/>
      <c r="EW66" s="1313"/>
      <c r="EX66" s="1313"/>
      <c r="EY66" s="1313"/>
      <c r="EZ66" s="1313"/>
      <c r="FA66" s="1313"/>
      <c r="FB66" s="1313"/>
      <c r="FC66" s="1313"/>
      <c r="FD66" s="1313"/>
      <c r="FE66" s="1313"/>
      <c r="FF66" s="1313"/>
      <c r="FG66" s="1313"/>
      <c r="FH66" s="1313"/>
      <c r="FI66" s="1313"/>
      <c r="FJ66" s="1313"/>
      <c r="FK66" s="1313"/>
      <c r="FL66" s="1313"/>
      <c r="FM66" s="1313"/>
      <c r="FN66" s="1313"/>
      <c r="FO66" s="1313"/>
      <c r="FP66" s="1313"/>
      <c r="FQ66" s="1313"/>
      <c r="FR66" s="1313"/>
      <c r="FS66" s="1313"/>
      <c r="FT66" s="1313"/>
      <c r="FU66" s="1313"/>
      <c r="FV66" s="1313"/>
      <c r="FW66" s="1313"/>
      <c r="FX66" s="1313"/>
      <c r="FY66" s="1313"/>
      <c r="FZ66" s="1313"/>
      <c r="GA66" s="1313"/>
      <c r="GB66" s="1313"/>
      <c r="GC66" s="1313"/>
      <c r="GD66" s="1313"/>
      <c r="GE66" s="1313"/>
      <c r="GF66" s="1313"/>
      <c r="GG66" s="1313"/>
      <c r="GH66" s="1313"/>
      <c r="GI66" s="1313"/>
      <c r="GJ66" s="1313"/>
      <c r="GK66" s="1313"/>
      <c r="GL66" s="1313"/>
      <c r="GM66" s="1313"/>
      <c r="GN66" s="1313"/>
      <c r="GO66" s="1313"/>
      <c r="GP66" s="1313"/>
      <c r="GQ66" s="1313"/>
      <c r="GR66" s="1313"/>
      <c r="GS66" s="1313"/>
      <c r="GT66" s="1313"/>
      <c r="GU66" s="1313"/>
      <c r="GV66" s="1313"/>
      <c r="GW66" s="1313"/>
      <c r="GX66" s="1313"/>
      <c r="GY66" s="1313"/>
      <c r="GZ66" s="1313"/>
      <c r="HA66" s="1313"/>
      <c r="HB66" s="1313"/>
      <c r="HC66" s="1313"/>
      <c r="HD66" s="1313"/>
      <c r="HE66" s="1313"/>
      <c r="HF66" s="1313"/>
      <c r="HG66" s="1313"/>
      <c r="HH66" s="1313"/>
      <c r="HI66" s="1313"/>
      <c r="HJ66" s="1313"/>
      <c r="HK66" s="1313"/>
      <c r="HL66" s="1313"/>
      <c r="HM66" s="1313"/>
      <c r="HN66" s="1313"/>
      <c r="HO66" s="1313"/>
      <c r="HP66" s="1313"/>
      <c r="HQ66" s="1313"/>
      <c r="HR66" s="1313"/>
      <c r="HS66" s="1313"/>
      <c r="HT66" s="1313"/>
      <c r="HU66" s="1313"/>
      <c r="HV66" s="1313"/>
      <c r="HW66" s="1313"/>
      <c r="HX66" s="1313"/>
      <c r="HY66" s="1313"/>
      <c r="HZ66" s="1313"/>
      <c r="IA66" s="1313"/>
      <c r="IB66" s="1313"/>
      <c r="IC66" s="1313"/>
      <c r="ID66" s="1313"/>
      <c r="IE66" s="1313"/>
      <c r="IF66" s="1313"/>
      <c r="IG66" s="1313"/>
      <c r="IH66" s="1313"/>
      <c r="II66" s="1313"/>
      <c r="IJ66" s="1313"/>
      <c r="IK66" s="1313"/>
      <c r="IL66" s="1313"/>
      <c r="IM66" s="1313"/>
      <c r="IN66" s="1313"/>
      <c r="IO66" s="1313"/>
      <c r="IP66" s="1313"/>
      <c r="IQ66" s="1313"/>
      <c r="IR66" s="1313"/>
      <c r="IS66" s="1313"/>
      <c r="IT66" s="1313"/>
      <c r="IU66" s="1313"/>
      <c r="IV66" s="1313"/>
    </row>
    <row r="67" spans="1:256" ht="31.5">
      <c r="A67" s="1383">
        <v>4</v>
      </c>
      <c r="B67" s="1386" t="s">
        <v>2154</v>
      </c>
      <c r="C67" s="1340" t="s">
        <v>2080</v>
      </c>
      <c r="D67" s="1387">
        <v>10000</v>
      </c>
      <c r="E67" s="1380">
        <v>0.33333333333333331</v>
      </c>
      <c r="F67" s="1381">
        <f t="shared" si="31"/>
        <v>3333.333333333333</v>
      </c>
      <c r="G67" s="1381">
        <f t="shared" si="32"/>
        <v>6666.666666666667</v>
      </c>
      <c r="H67" s="1371"/>
      <c r="I67" s="1381">
        <f t="shared" si="33"/>
        <v>6666.666666666667</v>
      </c>
      <c r="J67" s="1344">
        <v>0.1</v>
      </c>
      <c r="K67" s="1382">
        <v>0.7</v>
      </c>
      <c r="L67" s="1522">
        <f t="shared" si="34"/>
        <v>666.66666666666674</v>
      </c>
      <c r="M67" s="1517">
        <f t="shared" si="35"/>
        <v>4666.666666666667</v>
      </c>
      <c r="N67" s="1522">
        <f t="shared" si="36"/>
        <v>1333.333333333333</v>
      </c>
      <c r="O67" s="1388"/>
      <c r="P67" s="1313"/>
      <c r="Q67" s="1313"/>
      <c r="R67" s="1313"/>
      <c r="S67" s="1313"/>
      <c r="T67" s="1313"/>
      <c r="U67" s="1313"/>
      <c r="V67" s="1313"/>
      <c r="W67" s="1313"/>
      <c r="X67" s="1313"/>
      <c r="Y67" s="1313"/>
      <c r="Z67" s="1313"/>
      <c r="AA67" s="1313"/>
      <c r="AB67" s="1313"/>
      <c r="AC67" s="1313"/>
      <c r="AD67" s="1313"/>
      <c r="AE67" s="1313"/>
      <c r="AF67" s="1313"/>
      <c r="AG67" s="1313"/>
      <c r="AH67" s="1313"/>
      <c r="AI67" s="1313"/>
      <c r="AJ67" s="1313"/>
      <c r="AK67" s="1313"/>
      <c r="AL67" s="1313"/>
      <c r="AM67" s="1313"/>
      <c r="AN67" s="1313"/>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3"/>
      <c r="DD67" s="1313"/>
      <c r="DE67" s="1313"/>
      <c r="DF67" s="1313"/>
      <c r="DG67" s="1313"/>
      <c r="DH67" s="1313"/>
      <c r="DI67" s="1313"/>
      <c r="DJ67" s="1313"/>
      <c r="DK67" s="1313"/>
      <c r="DL67" s="1313"/>
      <c r="DM67" s="1313"/>
      <c r="DN67" s="1313"/>
      <c r="DO67" s="1313"/>
      <c r="DP67" s="1313"/>
      <c r="DQ67" s="1313"/>
      <c r="DR67" s="1313"/>
      <c r="DS67" s="1313"/>
      <c r="DT67" s="1313"/>
      <c r="DU67" s="1313"/>
      <c r="DV67" s="1313"/>
      <c r="DW67" s="1313"/>
      <c r="DX67" s="1313"/>
      <c r="DY67" s="1313"/>
      <c r="DZ67" s="1313"/>
      <c r="EA67" s="1313"/>
      <c r="EB67" s="1313"/>
      <c r="EC67" s="1313"/>
      <c r="ED67" s="1313"/>
      <c r="EE67" s="1313"/>
      <c r="EF67" s="1313"/>
      <c r="EG67" s="1313"/>
      <c r="EH67" s="1313"/>
      <c r="EI67" s="1313"/>
      <c r="EJ67" s="1313"/>
      <c r="EK67" s="1313"/>
      <c r="EL67" s="1313"/>
      <c r="EM67" s="1313"/>
      <c r="EN67" s="1313"/>
      <c r="EO67" s="1313"/>
      <c r="EP67" s="1313"/>
      <c r="EQ67" s="1313"/>
      <c r="ER67" s="1313"/>
      <c r="ES67" s="1313"/>
      <c r="ET67" s="1313"/>
      <c r="EU67" s="1313"/>
      <c r="EV67" s="1313"/>
      <c r="EW67" s="1313"/>
      <c r="EX67" s="1313"/>
      <c r="EY67" s="1313"/>
      <c r="EZ67" s="1313"/>
      <c r="FA67" s="1313"/>
      <c r="FB67" s="1313"/>
      <c r="FC67" s="1313"/>
      <c r="FD67" s="1313"/>
      <c r="FE67" s="1313"/>
      <c r="FF67" s="1313"/>
      <c r="FG67" s="1313"/>
      <c r="FH67" s="1313"/>
      <c r="FI67" s="1313"/>
      <c r="FJ67" s="1313"/>
      <c r="FK67" s="1313"/>
      <c r="FL67" s="1313"/>
      <c r="FM67" s="1313"/>
      <c r="FN67" s="1313"/>
      <c r="FO67" s="1313"/>
      <c r="FP67" s="1313"/>
      <c r="FQ67" s="1313"/>
      <c r="FR67" s="1313"/>
      <c r="FS67" s="1313"/>
      <c r="FT67" s="1313"/>
      <c r="FU67" s="1313"/>
      <c r="FV67" s="1313"/>
      <c r="FW67" s="1313"/>
      <c r="FX67" s="1313"/>
      <c r="FY67" s="1313"/>
      <c r="FZ67" s="1313"/>
      <c r="GA67" s="1313"/>
      <c r="GB67" s="1313"/>
      <c r="GC67" s="1313"/>
      <c r="GD67" s="1313"/>
      <c r="GE67" s="1313"/>
      <c r="GF67" s="1313"/>
      <c r="GG67" s="1313"/>
      <c r="GH67" s="1313"/>
      <c r="GI67" s="1313"/>
      <c r="GJ67" s="1313"/>
      <c r="GK67" s="1313"/>
      <c r="GL67" s="1313"/>
      <c r="GM67" s="1313"/>
      <c r="GN67" s="1313"/>
      <c r="GO67" s="1313"/>
      <c r="GP67" s="1313"/>
      <c r="GQ67" s="1313"/>
      <c r="GR67" s="1313"/>
      <c r="GS67" s="1313"/>
      <c r="GT67" s="1313"/>
      <c r="GU67" s="1313"/>
      <c r="GV67" s="1313"/>
      <c r="GW67" s="1313"/>
      <c r="GX67" s="1313"/>
      <c r="GY67" s="1313"/>
      <c r="GZ67" s="1313"/>
      <c r="HA67" s="1313"/>
      <c r="HB67" s="1313"/>
      <c r="HC67" s="1313"/>
      <c r="HD67" s="1313"/>
      <c r="HE67" s="1313"/>
      <c r="HF67" s="1313"/>
      <c r="HG67" s="1313"/>
      <c r="HH67" s="1313"/>
      <c r="HI67" s="1313"/>
      <c r="HJ67" s="1313"/>
      <c r="HK67" s="1313"/>
      <c r="HL67" s="1313"/>
      <c r="HM67" s="1313"/>
      <c r="HN67" s="1313"/>
      <c r="HO67" s="1313"/>
      <c r="HP67" s="1313"/>
      <c r="HQ67" s="1313"/>
      <c r="HR67" s="1313"/>
      <c r="HS67" s="1313"/>
      <c r="HT67" s="1313"/>
      <c r="HU67" s="1313"/>
      <c r="HV67" s="1313"/>
      <c r="HW67" s="1313"/>
      <c r="HX67" s="1313"/>
      <c r="HY67" s="1313"/>
      <c r="HZ67" s="1313"/>
      <c r="IA67" s="1313"/>
      <c r="IB67" s="1313"/>
      <c r="IC67" s="1313"/>
      <c r="ID67" s="1313"/>
      <c r="IE67" s="1313"/>
      <c r="IF67" s="1313"/>
      <c r="IG67" s="1313"/>
      <c r="IH67" s="1313"/>
      <c r="II67" s="1313"/>
      <c r="IJ67" s="1313"/>
      <c r="IK67" s="1313"/>
      <c r="IL67" s="1313"/>
      <c r="IM67" s="1313"/>
      <c r="IN67" s="1313"/>
      <c r="IO67" s="1313"/>
      <c r="IP67" s="1313"/>
      <c r="IQ67" s="1313"/>
      <c r="IR67" s="1313"/>
      <c r="IS67" s="1313"/>
      <c r="IT67" s="1313"/>
      <c r="IU67" s="1313"/>
      <c r="IV67" s="1313"/>
    </row>
    <row r="68" spans="1:256" ht="15.75">
      <c r="A68" s="1379">
        <v>5</v>
      </c>
      <c r="B68" s="1389" t="s">
        <v>2155</v>
      </c>
      <c r="C68" s="1340" t="s">
        <v>2080</v>
      </c>
      <c r="D68" s="1390">
        <v>2000</v>
      </c>
      <c r="E68" s="1380">
        <v>0.4</v>
      </c>
      <c r="F68" s="1381">
        <f t="shared" si="31"/>
        <v>800</v>
      </c>
      <c r="G68" s="1381">
        <f t="shared" si="32"/>
        <v>1200</v>
      </c>
      <c r="H68" s="1371"/>
      <c r="I68" s="1381">
        <f t="shared" si="33"/>
        <v>1200</v>
      </c>
      <c r="J68" s="1344">
        <v>0.1</v>
      </c>
      <c r="K68" s="1382">
        <v>0.7</v>
      </c>
      <c r="L68" s="1522">
        <f t="shared" si="34"/>
        <v>120</v>
      </c>
      <c r="M68" s="1517">
        <f t="shared" si="35"/>
        <v>840</v>
      </c>
      <c r="N68" s="1522">
        <f t="shared" si="36"/>
        <v>240</v>
      </c>
      <c r="O68" s="1391"/>
      <c r="P68" s="1313"/>
      <c r="Q68" s="1313"/>
      <c r="R68" s="1313"/>
      <c r="S68" s="1313"/>
      <c r="T68" s="1313"/>
      <c r="U68" s="1313"/>
      <c r="V68" s="1313"/>
      <c r="W68" s="1313"/>
      <c r="X68" s="1313"/>
      <c r="Y68" s="1313"/>
      <c r="Z68" s="1313"/>
      <c r="AA68" s="1313"/>
      <c r="AB68" s="1313"/>
      <c r="AC68" s="1313"/>
      <c r="AD68" s="1313"/>
      <c r="AE68" s="1313"/>
      <c r="AF68" s="1313"/>
      <c r="AG68" s="1313"/>
      <c r="AH68" s="1313"/>
      <c r="AI68" s="1313"/>
      <c r="AJ68" s="1313"/>
      <c r="AK68" s="1313"/>
      <c r="AL68" s="1313"/>
      <c r="AM68" s="1313"/>
      <c r="AN68" s="1313"/>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3"/>
      <c r="DD68" s="1313"/>
      <c r="DE68" s="1313"/>
      <c r="DF68" s="1313"/>
      <c r="DG68" s="1313"/>
      <c r="DH68" s="1313"/>
      <c r="DI68" s="1313"/>
      <c r="DJ68" s="1313"/>
      <c r="DK68" s="1313"/>
      <c r="DL68" s="1313"/>
      <c r="DM68" s="1313"/>
      <c r="DN68" s="1313"/>
      <c r="DO68" s="1313"/>
      <c r="DP68" s="1313"/>
      <c r="DQ68" s="1313"/>
      <c r="DR68" s="1313"/>
      <c r="DS68" s="1313"/>
      <c r="DT68" s="1313"/>
      <c r="DU68" s="1313"/>
      <c r="DV68" s="1313"/>
      <c r="DW68" s="1313"/>
      <c r="DX68" s="1313"/>
      <c r="DY68" s="1313"/>
      <c r="DZ68" s="1313"/>
      <c r="EA68" s="1313"/>
      <c r="EB68" s="1313"/>
      <c r="EC68" s="1313"/>
      <c r="ED68" s="1313"/>
      <c r="EE68" s="1313"/>
      <c r="EF68" s="1313"/>
      <c r="EG68" s="1313"/>
      <c r="EH68" s="1313"/>
      <c r="EI68" s="1313"/>
      <c r="EJ68" s="1313"/>
      <c r="EK68" s="1313"/>
      <c r="EL68" s="1313"/>
      <c r="EM68" s="1313"/>
      <c r="EN68" s="1313"/>
      <c r="EO68" s="1313"/>
      <c r="EP68" s="1313"/>
      <c r="EQ68" s="1313"/>
      <c r="ER68" s="1313"/>
      <c r="ES68" s="1313"/>
      <c r="ET68" s="1313"/>
      <c r="EU68" s="1313"/>
      <c r="EV68" s="1313"/>
      <c r="EW68" s="1313"/>
      <c r="EX68" s="1313"/>
      <c r="EY68" s="1313"/>
      <c r="EZ68" s="1313"/>
      <c r="FA68" s="1313"/>
      <c r="FB68" s="1313"/>
      <c r="FC68" s="1313"/>
      <c r="FD68" s="1313"/>
      <c r="FE68" s="1313"/>
      <c r="FF68" s="1313"/>
      <c r="FG68" s="1313"/>
      <c r="FH68" s="1313"/>
      <c r="FI68" s="1313"/>
      <c r="FJ68" s="1313"/>
      <c r="FK68" s="1313"/>
      <c r="FL68" s="1313"/>
      <c r="FM68" s="1313"/>
      <c r="FN68" s="1313"/>
      <c r="FO68" s="1313"/>
      <c r="FP68" s="1313"/>
      <c r="FQ68" s="1313"/>
      <c r="FR68" s="1313"/>
      <c r="FS68" s="1313"/>
      <c r="FT68" s="1313"/>
      <c r="FU68" s="1313"/>
      <c r="FV68" s="1313"/>
      <c r="FW68" s="1313"/>
      <c r="FX68" s="1313"/>
      <c r="FY68" s="1313"/>
      <c r="FZ68" s="1313"/>
      <c r="GA68" s="1313"/>
      <c r="GB68" s="1313"/>
      <c r="GC68" s="1313"/>
      <c r="GD68" s="1313"/>
      <c r="GE68" s="1313"/>
      <c r="GF68" s="1313"/>
      <c r="GG68" s="1313"/>
      <c r="GH68" s="1313"/>
      <c r="GI68" s="1313"/>
      <c r="GJ68" s="1313"/>
      <c r="GK68" s="1313"/>
      <c r="GL68" s="1313"/>
      <c r="GM68" s="1313"/>
      <c r="GN68" s="1313"/>
      <c r="GO68" s="1313"/>
      <c r="GP68" s="1313"/>
      <c r="GQ68" s="1313"/>
      <c r="GR68" s="1313"/>
      <c r="GS68" s="1313"/>
      <c r="GT68" s="1313"/>
      <c r="GU68" s="1313"/>
      <c r="GV68" s="1313"/>
      <c r="GW68" s="1313"/>
      <c r="GX68" s="1313"/>
      <c r="GY68" s="1313"/>
      <c r="GZ68" s="1313"/>
      <c r="HA68" s="1313"/>
      <c r="HB68" s="1313"/>
      <c r="HC68" s="1313"/>
      <c r="HD68" s="1313"/>
      <c r="HE68" s="1313"/>
      <c r="HF68" s="1313"/>
      <c r="HG68" s="1313"/>
      <c r="HH68" s="1313"/>
      <c r="HI68" s="1313"/>
      <c r="HJ68" s="1313"/>
      <c r="HK68" s="1313"/>
      <c r="HL68" s="1313"/>
      <c r="HM68" s="1313"/>
      <c r="HN68" s="1313"/>
      <c r="HO68" s="1313"/>
      <c r="HP68" s="1313"/>
      <c r="HQ68" s="1313"/>
      <c r="HR68" s="1313"/>
      <c r="HS68" s="1313"/>
      <c r="HT68" s="1313"/>
      <c r="HU68" s="1313"/>
      <c r="HV68" s="1313"/>
      <c r="HW68" s="1313"/>
      <c r="HX68" s="1313"/>
      <c r="HY68" s="1313"/>
      <c r="HZ68" s="1313"/>
      <c r="IA68" s="1313"/>
      <c r="IB68" s="1313"/>
      <c r="IC68" s="1313"/>
      <c r="ID68" s="1313"/>
      <c r="IE68" s="1313"/>
      <c r="IF68" s="1313"/>
      <c r="IG68" s="1313"/>
      <c r="IH68" s="1313"/>
      <c r="II68" s="1313"/>
      <c r="IJ68" s="1313"/>
      <c r="IK68" s="1313"/>
      <c r="IL68" s="1313"/>
      <c r="IM68" s="1313"/>
      <c r="IN68" s="1313"/>
      <c r="IO68" s="1313"/>
      <c r="IP68" s="1313"/>
      <c r="IQ68" s="1313"/>
      <c r="IR68" s="1313"/>
      <c r="IS68" s="1313"/>
      <c r="IT68" s="1313"/>
      <c r="IU68" s="1313"/>
      <c r="IV68" s="1313"/>
    </row>
    <row r="69" spans="1:256" ht="31.5">
      <c r="A69" s="1383">
        <v>6</v>
      </c>
      <c r="B69" s="1392" t="s">
        <v>2156</v>
      </c>
      <c r="C69" s="1340" t="s">
        <v>2080</v>
      </c>
      <c r="D69" s="1387">
        <v>30300</v>
      </c>
      <c r="E69" s="1380">
        <v>0.34285714285714286</v>
      </c>
      <c r="F69" s="1381">
        <f t="shared" si="31"/>
        <v>10388.571428571429</v>
      </c>
      <c r="G69" s="1381">
        <f t="shared" si="32"/>
        <v>19911.428571428572</v>
      </c>
      <c r="H69" s="1371"/>
      <c r="I69" s="1381">
        <f t="shared" si="33"/>
        <v>19911.428571428572</v>
      </c>
      <c r="J69" s="1344">
        <v>0.1</v>
      </c>
      <c r="K69" s="1382">
        <v>0.7</v>
      </c>
      <c r="L69" s="1522">
        <f t="shared" si="34"/>
        <v>1991.1428571428573</v>
      </c>
      <c r="M69" s="1517">
        <f t="shared" si="35"/>
        <v>13938</v>
      </c>
      <c r="N69" s="1522">
        <f t="shared" si="36"/>
        <v>3982.2857142857138</v>
      </c>
      <c r="O69" s="1388"/>
      <c r="P69" s="1313"/>
      <c r="Q69" s="1313"/>
      <c r="R69" s="1313"/>
      <c r="S69" s="1313"/>
      <c r="T69" s="1313"/>
      <c r="U69" s="1313"/>
      <c r="V69" s="1313"/>
      <c r="W69" s="1313"/>
      <c r="X69" s="1313"/>
      <c r="Y69" s="1313"/>
      <c r="Z69" s="1313"/>
      <c r="AA69" s="1313"/>
      <c r="AB69" s="1313"/>
      <c r="AC69" s="1313"/>
      <c r="AD69" s="1313"/>
      <c r="AE69" s="1313"/>
      <c r="AF69" s="1313"/>
      <c r="AG69" s="1313"/>
      <c r="AH69" s="1313"/>
      <c r="AI69" s="1313"/>
      <c r="AJ69" s="1313"/>
      <c r="AK69" s="1313"/>
      <c r="AL69" s="1313"/>
      <c r="AM69" s="1313"/>
      <c r="AN69" s="1313"/>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3"/>
      <c r="DD69" s="1313"/>
      <c r="DE69" s="1313"/>
      <c r="DF69" s="1313"/>
      <c r="DG69" s="1313"/>
      <c r="DH69" s="1313"/>
      <c r="DI69" s="1313"/>
      <c r="DJ69" s="1313"/>
      <c r="DK69" s="1313"/>
      <c r="DL69" s="1313"/>
      <c r="DM69" s="1313"/>
      <c r="DN69" s="1313"/>
      <c r="DO69" s="1313"/>
      <c r="DP69" s="1313"/>
      <c r="DQ69" s="1313"/>
      <c r="DR69" s="1313"/>
      <c r="DS69" s="1313"/>
      <c r="DT69" s="1313"/>
      <c r="DU69" s="1313"/>
      <c r="DV69" s="1313"/>
      <c r="DW69" s="1313"/>
      <c r="DX69" s="1313"/>
      <c r="DY69" s="1313"/>
      <c r="DZ69" s="1313"/>
      <c r="EA69" s="1313"/>
      <c r="EB69" s="1313"/>
      <c r="EC69" s="1313"/>
      <c r="ED69" s="1313"/>
      <c r="EE69" s="1313"/>
      <c r="EF69" s="1313"/>
      <c r="EG69" s="1313"/>
      <c r="EH69" s="1313"/>
      <c r="EI69" s="1313"/>
      <c r="EJ69" s="1313"/>
      <c r="EK69" s="1313"/>
      <c r="EL69" s="1313"/>
      <c r="EM69" s="1313"/>
      <c r="EN69" s="1313"/>
      <c r="EO69" s="1313"/>
      <c r="EP69" s="1313"/>
      <c r="EQ69" s="1313"/>
      <c r="ER69" s="1313"/>
      <c r="ES69" s="1313"/>
      <c r="ET69" s="1313"/>
      <c r="EU69" s="1313"/>
      <c r="EV69" s="1313"/>
      <c r="EW69" s="1313"/>
      <c r="EX69" s="1313"/>
      <c r="EY69" s="1313"/>
      <c r="EZ69" s="1313"/>
      <c r="FA69" s="1313"/>
      <c r="FB69" s="1313"/>
      <c r="FC69" s="1313"/>
      <c r="FD69" s="1313"/>
      <c r="FE69" s="1313"/>
      <c r="FF69" s="1313"/>
      <c r="FG69" s="1313"/>
      <c r="FH69" s="1313"/>
      <c r="FI69" s="1313"/>
      <c r="FJ69" s="1313"/>
      <c r="FK69" s="1313"/>
      <c r="FL69" s="1313"/>
      <c r="FM69" s="1313"/>
      <c r="FN69" s="1313"/>
      <c r="FO69" s="1313"/>
      <c r="FP69" s="1313"/>
      <c r="FQ69" s="1313"/>
      <c r="FR69" s="1313"/>
      <c r="FS69" s="1313"/>
      <c r="FT69" s="1313"/>
      <c r="FU69" s="1313"/>
      <c r="FV69" s="1313"/>
      <c r="FW69" s="1313"/>
      <c r="FX69" s="1313"/>
      <c r="FY69" s="1313"/>
      <c r="FZ69" s="1313"/>
      <c r="GA69" s="1313"/>
      <c r="GB69" s="1313"/>
      <c r="GC69" s="1313"/>
      <c r="GD69" s="1313"/>
      <c r="GE69" s="1313"/>
      <c r="GF69" s="1313"/>
      <c r="GG69" s="1313"/>
      <c r="GH69" s="1313"/>
      <c r="GI69" s="1313"/>
      <c r="GJ69" s="1313"/>
      <c r="GK69" s="1313"/>
      <c r="GL69" s="1313"/>
      <c r="GM69" s="1313"/>
      <c r="GN69" s="1313"/>
      <c r="GO69" s="1313"/>
      <c r="GP69" s="1313"/>
      <c r="GQ69" s="1313"/>
      <c r="GR69" s="1313"/>
      <c r="GS69" s="1313"/>
      <c r="GT69" s="1313"/>
      <c r="GU69" s="1313"/>
      <c r="GV69" s="1313"/>
      <c r="GW69" s="1313"/>
      <c r="GX69" s="1313"/>
      <c r="GY69" s="1313"/>
      <c r="GZ69" s="1313"/>
      <c r="HA69" s="1313"/>
      <c r="HB69" s="1313"/>
      <c r="HC69" s="1313"/>
      <c r="HD69" s="1313"/>
      <c r="HE69" s="1313"/>
      <c r="HF69" s="1313"/>
      <c r="HG69" s="1313"/>
      <c r="HH69" s="1313"/>
      <c r="HI69" s="1313"/>
      <c r="HJ69" s="1313"/>
      <c r="HK69" s="1313"/>
      <c r="HL69" s="1313"/>
      <c r="HM69" s="1313"/>
      <c r="HN69" s="1313"/>
      <c r="HO69" s="1313"/>
      <c r="HP69" s="1313"/>
      <c r="HQ69" s="1313"/>
      <c r="HR69" s="1313"/>
      <c r="HS69" s="1313"/>
      <c r="HT69" s="1313"/>
      <c r="HU69" s="1313"/>
      <c r="HV69" s="1313"/>
      <c r="HW69" s="1313"/>
      <c r="HX69" s="1313"/>
      <c r="HY69" s="1313"/>
      <c r="HZ69" s="1313"/>
      <c r="IA69" s="1313"/>
      <c r="IB69" s="1313"/>
      <c r="IC69" s="1313"/>
      <c r="ID69" s="1313"/>
      <c r="IE69" s="1313"/>
      <c r="IF69" s="1313"/>
      <c r="IG69" s="1313"/>
      <c r="IH69" s="1313"/>
      <c r="II69" s="1313"/>
      <c r="IJ69" s="1313"/>
      <c r="IK69" s="1313"/>
      <c r="IL69" s="1313"/>
      <c r="IM69" s="1313"/>
      <c r="IN69" s="1313"/>
      <c r="IO69" s="1313"/>
      <c r="IP69" s="1313"/>
      <c r="IQ69" s="1313"/>
      <c r="IR69" s="1313"/>
      <c r="IS69" s="1313"/>
      <c r="IT69" s="1313"/>
      <c r="IU69" s="1313"/>
      <c r="IV69" s="1313"/>
    </row>
    <row r="70" spans="1:256" ht="31.5">
      <c r="A70" s="1379">
        <v>7</v>
      </c>
      <c r="B70" s="1392" t="s">
        <v>2157</v>
      </c>
      <c r="C70" s="1340" t="s">
        <v>2080</v>
      </c>
      <c r="D70" s="1387">
        <v>10000</v>
      </c>
      <c r="E70" s="1380">
        <v>0.4</v>
      </c>
      <c r="F70" s="1381">
        <f t="shared" si="31"/>
        <v>4000</v>
      </c>
      <c r="G70" s="1381">
        <f t="shared" si="32"/>
        <v>6000</v>
      </c>
      <c r="H70" s="1371"/>
      <c r="I70" s="1381">
        <f t="shared" si="33"/>
        <v>6000</v>
      </c>
      <c r="J70" s="1344">
        <v>0.1</v>
      </c>
      <c r="K70" s="1382">
        <v>0.7</v>
      </c>
      <c r="L70" s="1522">
        <f t="shared" si="34"/>
        <v>600</v>
      </c>
      <c r="M70" s="1517">
        <f t="shared" si="35"/>
        <v>4200</v>
      </c>
      <c r="N70" s="1522">
        <f t="shared" si="36"/>
        <v>1200</v>
      </c>
      <c r="O70" s="1388" t="s">
        <v>2158</v>
      </c>
      <c r="P70" s="1313"/>
      <c r="Q70" s="1313"/>
      <c r="R70" s="1313"/>
      <c r="S70" s="1313"/>
      <c r="T70" s="1313"/>
      <c r="U70" s="1313"/>
      <c r="V70" s="1313"/>
      <c r="W70" s="1313"/>
      <c r="X70" s="1313"/>
      <c r="Y70" s="1313"/>
      <c r="Z70" s="1313"/>
      <c r="AA70" s="1313"/>
      <c r="AB70" s="1313"/>
      <c r="AC70" s="1313"/>
      <c r="AD70" s="1313"/>
      <c r="AE70" s="1313"/>
      <c r="AF70" s="1313"/>
      <c r="AG70" s="1313"/>
      <c r="AH70" s="1313"/>
      <c r="AI70" s="1313"/>
      <c r="AJ70" s="1313"/>
      <c r="AK70" s="1313"/>
      <c r="AL70" s="1313"/>
      <c r="AM70" s="1313"/>
      <c r="AN70" s="1313"/>
      <c r="AO70" s="1313"/>
      <c r="AP70" s="1313"/>
      <c r="AQ70" s="1313"/>
      <c r="AR70" s="1313"/>
      <c r="AS70" s="1313"/>
      <c r="AT70" s="1313"/>
      <c r="AU70" s="1313"/>
      <c r="AV70" s="1313"/>
      <c r="AW70" s="1313"/>
      <c r="AX70" s="1313"/>
      <c r="AY70" s="1313"/>
      <c r="AZ70" s="1313"/>
      <c r="BA70" s="1313"/>
      <c r="BB70" s="1313"/>
      <c r="BC70" s="1313"/>
      <c r="BD70" s="1313"/>
      <c r="BE70" s="1313"/>
      <c r="BF70" s="1313"/>
      <c r="BG70" s="1313"/>
      <c r="BH70" s="1313"/>
      <c r="BI70" s="1313"/>
      <c r="BJ70" s="1313"/>
      <c r="BK70" s="1313"/>
      <c r="BL70" s="1313"/>
      <c r="BM70" s="1313"/>
      <c r="BN70" s="1313"/>
      <c r="BO70" s="1313"/>
      <c r="BP70" s="1313"/>
      <c r="BQ70" s="1313"/>
      <c r="BR70" s="1313"/>
      <c r="BS70" s="1313"/>
      <c r="BT70" s="1313"/>
      <c r="BU70" s="1313"/>
      <c r="BV70" s="1313"/>
      <c r="BW70" s="1313"/>
      <c r="BX70" s="1313"/>
      <c r="BY70" s="1313"/>
      <c r="BZ70" s="1313"/>
      <c r="CA70" s="1313"/>
      <c r="CB70" s="1313"/>
      <c r="CC70" s="1313"/>
      <c r="CD70" s="1313"/>
      <c r="CE70" s="1313"/>
      <c r="CF70" s="1313"/>
      <c r="CG70" s="1313"/>
      <c r="CH70" s="1313"/>
      <c r="CI70" s="1313"/>
      <c r="CJ70" s="1313"/>
      <c r="CK70" s="1313"/>
      <c r="CL70" s="1313"/>
      <c r="CM70" s="1313"/>
      <c r="CN70" s="1313"/>
      <c r="CO70" s="1313"/>
      <c r="CP70" s="1313"/>
      <c r="CQ70" s="1313"/>
      <c r="CR70" s="1313"/>
      <c r="CS70" s="1313"/>
      <c r="CT70" s="1313"/>
      <c r="CU70" s="1313"/>
      <c r="CV70" s="1313"/>
      <c r="CW70" s="1313"/>
      <c r="CX70" s="1313"/>
      <c r="CY70" s="1313"/>
      <c r="CZ70" s="1313"/>
      <c r="DA70" s="1313"/>
      <c r="DB70" s="1313"/>
      <c r="DC70" s="1313"/>
      <c r="DD70" s="1313"/>
      <c r="DE70" s="1313"/>
      <c r="DF70" s="1313"/>
      <c r="DG70" s="1313"/>
      <c r="DH70" s="1313"/>
      <c r="DI70" s="1313"/>
      <c r="DJ70" s="1313"/>
      <c r="DK70" s="1313"/>
      <c r="DL70" s="1313"/>
      <c r="DM70" s="1313"/>
      <c r="DN70" s="1313"/>
      <c r="DO70" s="1313"/>
      <c r="DP70" s="1313"/>
      <c r="DQ70" s="1313"/>
      <c r="DR70" s="1313"/>
      <c r="DS70" s="1313"/>
      <c r="DT70" s="1313"/>
      <c r="DU70" s="1313"/>
      <c r="DV70" s="1313"/>
      <c r="DW70" s="1313"/>
      <c r="DX70" s="1313"/>
      <c r="DY70" s="1313"/>
      <c r="DZ70" s="1313"/>
      <c r="EA70" s="1313"/>
      <c r="EB70" s="1313"/>
      <c r="EC70" s="1313"/>
      <c r="ED70" s="1313"/>
      <c r="EE70" s="1313"/>
      <c r="EF70" s="1313"/>
      <c r="EG70" s="1313"/>
      <c r="EH70" s="1313"/>
      <c r="EI70" s="1313"/>
      <c r="EJ70" s="1313"/>
      <c r="EK70" s="1313"/>
      <c r="EL70" s="1313"/>
      <c r="EM70" s="1313"/>
      <c r="EN70" s="1313"/>
      <c r="EO70" s="1313"/>
      <c r="EP70" s="1313"/>
      <c r="EQ70" s="1313"/>
      <c r="ER70" s="1313"/>
      <c r="ES70" s="1313"/>
      <c r="ET70" s="1313"/>
      <c r="EU70" s="1313"/>
      <c r="EV70" s="1313"/>
      <c r="EW70" s="1313"/>
      <c r="EX70" s="1313"/>
      <c r="EY70" s="1313"/>
      <c r="EZ70" s="1313"/>
      <c r="FA70" s="1313"/>
      <c r="FB70" s="1313"/>
      <c r="FC70" s="1313"/>
      <c r="FD70" s="1313"/>
      <c r="FE70" s="1313"/>
      <c r="FF70" s="1313"/>
      <c r="FG70" s="1313"/>
      <c r="FH70" s="1313"/>
      <c r="FI70" s="1313"/>
      <c r="FJ70" s="1313"/>
      <c r="FK70" s="1313"/>
      <c r="FL70" s="1313"/>
      <c r="FM70" s="1313"/>
      <c r="FN70" s="1313"/>
      <c r="FO70" s="1313"/>
      <c r="FP70" s="1313"/>
      <c r="FQ70" s="1313"/>
      <c r="FR70" s="1313"/>
      <c r="FS70" s="1313"/>
      <c r="FT70" s="1313"/>
      <c r="FU70" s="1313"/>
      <c r="FV70" s="1313"/>
      <c r="FW70" s="1313"/>
      <c r="FX70" s="1313"/>
      <c r="FY70" s="1313"/>
      <c r="FZ70" s="1313"/>
      <c r="GA70" s="1313"/>
      <c r="GB70" s="1313"/>
      <c r="GC70" s="1313"/>
      <c r="GD70" s="1313"/>
      <c r="GE70" s="1313"/>
      <c r="GF70" s="1313"/>
      <c r="GG70" s="1313"/>
      <c r="GH70" s="1313"/>
      <c r="GI70" s="1313"/>
      <c r="GJ70" s="1313"/>
      <c r="GK70" s="1313"/>
      <c r="GL70" s="1313"/>
      <c r="GM70" s="1313"/>
      <c r="GN70" s="1313"/>
      <c r="GO70" s="1313"/>
      <c r="GP70" s="1313"/>
      <c r="GQ70" s="1313"/>
      <c r="GR70" s="1313"/>
      <c r="GS70" s="1313"/>
      <c r="GT70" s="1313"/>
      <c r="GU70" s="1313"/>
      <c r="GV70" s="1313"/>
      <c r="GW70" s="1313"/>
      <c r="GX70" s="1313"/>
      <c r="GY70" s="1313"/>
      <c r="GZ70" s="1313"/>
      <c r="HA70" s="1313"/>
      <c r="HB70" s="1313"/>
      <c r="HC70" s="1313"/>
      <c r="HD70" s="1313"/>
      <c r="HE70" s="1313"/>
      <c r="HF70" s="1313"/>
      <c r="HG70" s="1313"/>
      <c r="HH70" s="1313"/>
      <c r="HI70" s="1313"/>
      <c r="HJ70" s="1313"/>
      <c r="HK70" s="1313"/>
      <c r="HL70" s="1313"/>
      <c r="HM70" s="1313"/>
      <c r="HN70" s="1313"/>
      <c r="HO70" s="1313"/>
      <c r="HP70" s="1313"/>
      <c r="HQ70" s="1313"/>
      <c r="HR70" s="1313"/>
      <c r="HS70" s="1313"/>
      <c r="HT70" s="1313"/>
      <c r="HU70" s="1313"/>
      <c r="HV70" s="1313"/>
      <c r="HW70" s="1313"/>
      <c r="HX70" s="1313"/>
      <c r="HY70" s="1313"/>
      <c r="HZ70" s="1313"/>
      <c r="IA70" s="1313"/>
      <c r="IB70" s="1313"/>
      <c r="IC70" s="1313"/>
      <c r="ID70" s="1313"/>
      <c r="IE70" s="1313"/>
      <c r="IF70" s="1313"/>
      <c r="IG70" s="1313"/>
      <c r="IH70" s="1313"/>
      <c r="II70" s="1313"/>
      <c r="IJ70" s="1313"/>
      <c r="IK70" s="1313"/>
      <c r="IL70" s="1313"/>
      <c r="IM70" s="1313"/>
      <c r="IN70" s="1313"/>
      <c r="IO70" s="1313"/>
      <c r="IP70" s="1313"/>
      <c r="IQ70" s="1313"/>
      <c r="IR70" s="1313"/>
      <c r="IS70" s="1313"/>
      <c r="IT70" s="1313"/>
      <c r="IU70" s="1313"/>
      <c r="IV70" s="1313"/>
    </row>
    <row r="71" spans="1:256" ht="47.25">
      <c r="A71" s="1383">
        <v>8</v>
      </c>
      <c r="B71" s="1392" t="s">
        <v>2159</v>
      </c>
      <c r="C71" s="1340" t="s">
        <v>2080</v>
      </c>
      <c r="D71" s="1387">
        <v>30000</v>
      </c>
      <c r="E71" s="1380">
        <v>0.5</v>
      </c>
      <c r="F71" s="1381">
        <f t="shared" si="31"/>
        <v>15000</v>
      </c>
      <c r="G71" s="1381">
        <f t="shared" si="32"/>
        <v>15000</v>
      </c>
      <c r="H71" s="1371"/>
      <c r="I71" s="1381">
        <f t="shared" si="33"/>
        <v>15000</v>
      </c>
      <c r="J71" s="1344">
        <v>0.1</v>
      </c>
      <c r="K71" s="1382">
        <v>0.7</v>
      </c>
      <c r="L71" s="1522">
        <f t="shared" si="34"/>
        <v>1500</v>
      </c>
      <c r="M71" s="1517">
        <f t="shared" si="35"/>
        <v>10500</v>
      </c>
      <c r="N71" s="1522">
        <f t="shared" si="36"/>
        <v>3000</v>
      </c>
      <c r="O71" s="1388"/>
      <c r="P71" s="1313"/>
      <c r="Q71" s="1313"/>
      <c r="R71" s="1313"/>
      <c r="S71" s="1313"/>
      <c r="T71" s="1313"/>
      <c r="U71" s="1313"/>
      <c r="V71" s="1313"/>
      <c r="W71" s="1313"/>
      <c r="X71" s="1313"/>
      <c r="Y71" s="1313"/>
      <c r="Z71" s="1313"/>
      <c r="AA71" s="1313"/>
      <c r="AB71" s="1313"/>
      <c r="AC71" s="1313"/>
      <c r="AD71" s="1313"/>
      <c r="AE71" s="1313"/>
      <c r="AF71" s="1313"/>
      <c r="AG71" s="1313"/>
      <c r="AH71" s="1313"/>
      <c r="AI71" s="1313"/>
      <c r="AJ71" s="1313"/>
      <c r="AK71" s="1313"/>
      <c r="AL71" s="1313"/>
      <c r="AM71" s="1313"/>
      <c r="AN71" s="1313"/>
      <c r="AO71" s="1313"/>
      <c r="AP71" s="1313"/>
      <c r="AQ71" s="1313"/>
      <c r="AR71" s="1313"/>
      <c r="AS71" s="1313"/>
      <c r="AT71" s="1313"/>
      <c r="AU71" s="1313"/>
      <c r="AV71" s="1313"/>
      <c r="AW71" s="1313"/>
      <c r="AX71" s="1313"/>
      <c r="AY71" s="1313"/>
      <c r="AZ71" s="1313"/>
      <c r="BA71" s="1313"/>
      <c r="BB71" s="1313"/>
      <c r="BC71" s="1313"/>
      <c r="BD71" s="1313"/>
      <c r="BE71" s="1313"/>
      <c r="BF71" s="1313"/>
      <c r="BG71" s="1313"/>
      <c r="BH71" s="1313"/>
      <c r="BI71" s="1313"/>
      <c r="BJ71" s="1313"/>
      <c r="BK71" s="1313"/>
      <c r="BL71" s="1313"/>
      <c r="BM71" s="1313"/>
      <c r="BN71" s="1313"/>
      <c r="BO71" s="1313"/>
      <c r="BP71" s="1313"/>
      <c r="BQ71" s="1313"/>
      <c r="BR71" s="1313"/>
      <c r="BS71" s="1313"/>
      <c r="BT71" s="1313"/>
      <c r="BU71" s="1313"/>
      <c r="BV71" s="1313"/>
      <c r="BW71" s="1313"/>
      <c r="BX71" s="1313"/>
      <c r="BY71" s="1313"/>
      <c r="BZ71" s="1313"/>
      <c r="CA71" s="1313"/>
      <c r="CB71" s="1313"/>
      <c r="CC71" s="1313"/>
      <c r="CD71" s="1313"/>
      <c r="CE71" s="1313"/>
      <c r="CF71" s="1313"/>
      <c r="CG71" s="1313"/>
      <c r="CH71" s="1313"/>
      <c r="CI71" s="1313"/>
      <c r="CJ71" s="1313"/>
      <c r="CK71" s="1313"/>
      <c r="CL71" s="1313"/>
      <c r="CM71" s="1313"/>
      <c r="CN71" s="1313"/>
      <c r="CO71" s="1313"/>
      <c r="CP71" s="1313"/>
      <c r="CQ71" s="1313"/>
      <c r="CR71" s="1313"/>
      <c r="CS71" s="1313"/>
      <c r="CT71" s="1313"/>
      <c r="CU71" s="1313"/>
      <c r="CV71" s="1313"/>
      <c r="CW71" s="1313"/>
      <c r="CX71" s="1313"/>
      <c r="CY71" s="1313"/>
      <c r="CZ71" s="1313"/>
      <c r="DA71" s="1313"/>
      <c r="DB71" s="1313"/>
      <c r="DC71" s="1313"/>
      <c r="DD71" s="1313"/>
      <c r="DE71" s="1313"/>
      <c r="DF71" s="1313"/>
      <c r="DG71" s="1313"/>
      <c r="DH71" s="1313"/>
      <c r="DI71" s="1313"/>
      <c r="DJ71" s="1313"/>
      <c r="DK71" s="1313"/>
      <c r="DL71" s="1313"/>
      <c r="DM71" s="1313"/>
      <c r="DN71" s="1313"/>
      <c r="DO71" s="1313"/>
      <c r="DP71" s="1313"/>
      <c r="DQ71" s="1313"/>
      <c r="DR71" s="1313"/>
      <c r="DS71" s="1313"/>
      <c r="DT71" s="1313"/>
      <c r="DU71" s="1313"/>
      <c r="DV71" s="1313"/>
      <c r="DW71" s="1313"/>
      <c r="DX71" s="1313"/>
      <c r="DY71" s="1313"/>
      <c r="DZ71" s="1313"/>
      <c r="EA71" s="1313"/>
      <c r="EB71" s="1313"/>
      <c r="EC71" s="1313"/>
      <c r="ED71" s="1313"/>
      <c r="EE71" s="1313"/>
      <c r="EF71" s="1313"/>
      <c r="EG71" s="1313"/>
      <c r="EH71" s="1313"/>
      <c r="EI71" s="1313"/>
      <c r="EJ71" s="1313"/>
      <c r="EK71" s="1313"/>
      <c r="EL71" s="1313"/>
      <c r="EM71" s="1313"/>
      <c r="EN71" s="1313"/>
      <c r="EO71" s="1313"/>
      <c r="EP71" s="1313"/>
      <c r="EQ71" s="1313"/>
      <c r="ER71" s="1313"/>
      <c r="ES71" s="1313"/>
      <c r="ET71" s="1313"/>
      <c r="EU71" s="1313"/>
      <c r="EV71" s="1313"/>
      <c r="EW71" s="1313"/>
      <c r="EX71" s="1313"/>
      <c r="EY71" s="1313"/>
      <c r="EZ71" s="1313"/>
      <c r="FA71" s="1313"/>
      <c r="FB71" s="1313"/>
      <c r="FC71" s="1313"/>
      <c r="FD71" s="1313"/>
      <c r="FE71" s="1313"/>
      <c r="FF71" s="1313"/>
      <c r="FG71" s="1313"/>
      <c r="FH71" s="1313"/>
      <c r="FI71" s="1313"/>
      <c r="FJ71" s="1313"/>
      <c r="FK71" s="1313"/>
      <c r="FL71" s="1313"/>
      <c r="FM71" s="1313"/>
      <c r="FN71" s="1313"/>
      <c r="FO71" s="1313"/>
      <c r="FP71" s="1313"/>
      <c r="FQ71" s="1313"/>
      <c r="FR71" s="1313"/>
      <c r="FS71" s="1313"/>
      <c r="FT71" s="1313"/>
      <c r="FU71" s="1313"/>
      <c r="FV71" s="1313"/>
      <c r="FW71" s="1313"/>
      <c r="FX71" s="1313"/>
      <c r="FY71" s="1313"/>
      <c r="FZ71" s="1313"/>
      <c r="GA71" s="1313"/>
      <c r="GB71" s="1313"/>
      <c r="GC71" s="1313"/>
      <c r="GD71" s="1313"/>
      <c r="GE71" s="1313"/>
      <c r="GF71" s="1313"/>
      <c r="GG71" s="1313"/>
      <c r="GH71" s="1313"/>
      <c r="GI71" s="1313"/>
      <c r="GJ71" s="1313"/>
      <c r="GK71" s="1313"/>
      <c r="GL71" s="1313"/>
      <c r="GM71" s="1313"/>
      <c r="GN71" s="1313"/>
      <c r="GO71" s="1313"/>
      <c r="GP71" s="1313"/>
      <c r="GQ71" s="1313"/>
      <c r="GR71" s="1313"/>
      <c r="GS71" s="1313"/>
      <c r="GT71" s="1313"/>
      <c r="GU71" s="1313"/>
      <c r="GV71" s="1313"/>
      <c r="GW71" s="1313"/>
      <c r="GX71" s="1313"/>
      <c r="GY71" s="1313"/>
      <c r="GZ71" s="1313"/>
      <c r="HA71" s="1313"/>
      <c r="HB71" s="1313"/>
      <c r="HC71" s="1313"/>
      <c r="HD71" s="1313"/>
      <c r="HE71" s="1313"/>
      <c r="HF71" s="1313"/>
      <c r="HG71" s="1313"/>
      <c r="HH71" s="1313"/>
      <c r="HI71" s="1313"/>
      <c r="HJ71" s="1313"/>
      <c r="HK71" s="1313"/>
      <c r="HL71" s="1313"/>
      <c r="HM71" s="1313"/>
      <c r="HN71" s="1313"/>
      <c r="HO71" s="1313"/>
      <c r="HP71" s="1313"/>
      <c r="HQ71" s="1313"/>
      <c r="HR71" s="1313"/>
      <c r="HS71" s="1313"/>
      <c r="HT71" s="1313"/>
      <c r="HU71" s="1313"/>
      <c r="HV71" s="1313"/>
      <c r="HW71" s="1313"/>
      <c r="HX71" s="1313"/>
      <c r="HY71" s="1313"/>
      <c r="HZ71" s="1313"/>
      <c r="IA71" s="1313"/>
      <c r="IB71" s="1313"/>
      <c r="IC71" s="1313"/>
      <c r="ID71" s="1313"/>
      <c r="IE71" s="1313"/>
      <c r="IF71" s="1313"/>
      <c r="IG71" s="1313"/>
      <c r="IH71" s="1313"/>
      <c r="II71" s="1313"/>
      <c r="IJ71" s="1313"/>
      <c r="IK71" s="1313"/>
      <c r="IL71" s="1313"/>
      <c r="IM71" s="1313"/>
      <c r="IN71" s="1313"/>
      <c r="IO71" s="1313"/>
      <c r="IP71" s="1313"/>
      <c r="IQ71" s="1313"/>
      <c r="IR71" s="1313"/>
      <c r="IS71" s="1313"/>
      <c r="IT71" s="1313"/>
      <c r="IU71" s="1313"/>
      <c r="IV71" s="1313"/>
    </row>
    <row r="72" spans="1:256" ht="15.75">
      <c r="A72" s="1379">
        <v>9</v>
      </c>
      <c r="B72" s="1389" t="s">
        <v>2160</v>
      </c>
      <c r="C72" s="1340" t="s">
        <v>2080</v>
      </c>
      <c r="D72" s="1387">
        <v>5000</v>
      </c>
      <c r="E72" s="1380">
        <v>0.33333333333333331</v>
      </c>
      <c r="F72" s="1381">
        <f t="shared" si="31"/>
        <v>1666.6666666666665</v>
      </c>
      <c r="G72" s="1381">
        <f t="shared" si="32"/>
        <v>3333.3333333333335</v>
      </c>
      <c r="H72" s="1371"/>
      <c r="I72" s="1381">
        <f t="shared" si="33"/>
        <v>3333.3333333333335</v>
      </c>
      <c r="J72" s="1344">
        <v>0.1</v>
      </c>
      <c r="K72" s="1382">
        <v>0.7</v>
      </c>
      <c r="L72" s="1522">
        <f t="shared" si="34"/>
        <v>333.33333333333337</v>
      </c>
      <c r="M72" s="1517">
        <f t="shared" si="35"/>
        <v>2333.3333333333335</v>
      </c>
      <c r="N72" s="1522">
        <f t="shared" si="36"/>
        <v>666.66666666666652</v>
      </c>
      <c r="O72" s="1388" t="s">
        <v>2158</v>
      </c>
      <c r="P72" s="1313"/>
      <c r="Q72" s="1313"/>
      <c r="R72" s="1313"/>
      <c r="S72" s="1313"/>
      <c r="T72" s="1313"/>
      <c r="U72" s="1313"/>
      <c r="V72" s="1313"/>
      <c r="W72" s="1313"/>
      <c r="X72" s="1313"/>
      <c r="Y72" s="1313"/>
      <c r="Z72" s="1313"/>
      <c r="AA72" s="1313"/>
      <c r="AB72" s="1313"/>
      <c r="AC72" s="1313"/>
      <c r="AD72" s="1313"/>
      <c r="AE72" s="1313"/>
      <c r="AF72" s="1313"/>
      <c r="AG72" s="1313"/>
      <c r="AH72" s="1313"/>
      <c r="AI72" s="1313"/>
      <c r="AJ72" s="1313"/>
      <c r="AK72" s="1313"/>
      <c r="AL72" s="1313"/>
      <c r="AM72" s="1313"/>
      <c r="AN72" s="1313"/>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3"/>
      <c r="BP72" s="1313"/>
      <c r="BQ72" s="1313"/>
      <c r="BR72" s="1313"/>
      <c r="BS72" s="1313"/>
      <c r="BT72" s="1313"/>
      <c r="BU72" s="1313"/>
      <c r="BV72" s="1313"/>
      <c r="BW72" s="1313"/>
      <c r="BX72" s="1313"/>
      <c r="BY72" s="1313"/>
      <c r="BZ72" s="1313"/>
      <c r="CA72" s="1313"/>
      <c r="CB72" s="1313"/>
      <c r="CC72" s="1313"/>
      <c r="CD72" s="1313"/>
      <c r="CE72" s="1313"/>
      <c r="CF72" s="1313"/>
      <c r="CG72" s="1313"/>
      <c r="CH72" s="1313"/>
      <c r="CI72" s="1313"/>
      <c r="CJ72" s="1313"/>
      <c r="CK72" s="1313"/>
      <c r="CL72" s="1313"/>
      <c r="CM72" s="1313"/>
      <c r="CN72" s="1313"/>
      <c r="CO72" s="1313"/>
      <c r="CP72" s="1313"/>
      <c r="CQ72" s="1313"/>
      <c r="CR72" s="1313"/>
      <c r="CS72" s="1313"/>
      <c r="CT72" s="1313"/>
      <c r="CU72" s="1313"/>
      <c r="CV72" s="1313"/>
      <c r="CW72" s="1313"/>
      <c r="CX72" s="1313"/>
      <c r="CY72" s="1313"/>
      <c r="CZ72" s="1313"/>
      <c r="DA72" s="1313"/>
      <c r="DB72" s="1313"/>
      <c r="DC72" s="1313"/>
      <c r="DD72" s="1313"/>
      <c r="DE72" s="1313"/>
      <c r="DF72" s="1313"/>
      <c r="DG72" s="1313"/>
      <c r="DH72" s="1313"/>
      <c r="DI72" s="1313"/>
      <c r="DJ72" s="1313"/>
      <c r="DK72" s="1313"/>
      <c r="DL72" s="1313"/>
      <c r="DM72" s="1313"/>
      <c r="DN72" s="1313"/>
      <c r="DO72" s="1313"/>
      <c r="DP72" s="1313"/>
      <c r="DQ72" s="1313"/>
      <c r="DR72" s="1313"/>
      <c r="DS72" s="1313"/>
      <c r="DT72" s="1313"/>
      <c r="DU72" s="1313"/>
      <c r="DV72" s="1313"/>
      <c r="DW72" s="1313"/>
      <c r="DX72" s="1313"/>
      <c r="DY72" s="1313"/>
      <c r="DZ72" s="1313"/>
      <c r="EA72" s="1313"/>
      <c r="EB72" s="1313"/>
      <c r="EC72" s="1313"/>
      <c r="ED72" s="1313"/>
      <c r="EE72" s="1313"/>
      <c r="EF72" s="1313"/>
      <c r="EG72" s="1313"/>
      <c r="EH72" s="1313"/>
      <c r="EI72" s="1313"/>
      <c r="EJ72" s="1313"/>
      <c r="EK72" s="1313"/>
      <c r="EL72" s="1313"/>
      <c r="EM72" s="1313"/>
      <c r="EN72" s="1313"/>
      <c r="EO72" s="1313"/>
      <c r="EP72" s="1313"/>
      <c r="EQ72" s="1313"/>
      <c r="ER72" s="1313"/>
      <c r="ES72" s="1313"/>
      <c r="ET72" s="1313"/>
      <c r="EU72" s="1313"/>
      <c r="EV72" s="1313"/>
      <c r="EW72" s="1313"/>
      <c r="EX72" s="1313"/>
      <c r="EY72" s="1313"/>
      <c r="EZ72" s="1313"/>
      <c r="FA72" s="1313"/>
      <c r="FB72" s="1313"/>
      <c r="FC72" s="1313"/>
      <c r="FD72" s="1313"/>
      <c r="FE72" s="1313"/>
      <c r="FF72" s="1313"/>
      <c r="FG72" s="1313"/>
      <c r="FH72" s="1313"/>
      <c r="FI72" s="1313"/>
      <c r="FJ72" s="1313"/>
      <c r="FK72" s="1313"/>
      <c r="FL72" s="1313"/>
      <c r="FM72" s="1313"/>
      <c r="FN72" s="1313"/>
      <c r="FO72" s="1313"/>
      <c r="FP72" s="1313"/>
      <c r="FQ72" s="1313"/>
      <c r="FR72" s="1313"/>
      <c r="FS72" s="1313"/>
      <c r="FT72" s="1313"/>
      <c r="FU72" s="1313"/>
      <c r="FV72" s="1313"/>
      <c r="FW72" s="1313"/>
      <c r="FX72" s="1313"/>
      <c r="FY72" s="1313"/>
      <c r="FZ72" s="1313"/>
      <c r="GA72" s="1313"/>
      <c r="GB72" s="1313"/>
      <c r="GC72" s="1313"/>
      <c r="GD72" s="1313"/>
      <c r="GE72" s="1313"/>
      <c r="GF72" s="1313"/>
      <c r="GG72" s="1313"/>
      <c r="GH72" s="1313"/>
      <c r="GI72" s="1313"/>
      <c r="GJ72" s="1313"/>
      <c r="GK72" s="1313"/>
      <c r="GL72" s="1313"/>
      <c r="GM72" s="1313"/>
      <c r="GN72" s="1313"/>
      <c r="GO72" s="1313"/>
      <c r="GP72" s="1313"/>
      <c r="GQ72" s="1313"/>
      <c r="GR72" s="1313"/>
      <c r="GS72" s="1313"/>
      <c r="GT72" s="1313"/>
      <c r="GU72" s="1313"/>
      <c r="GV72" s="1313"/>
      <c r="GW72" s="1313"/>
      <c r="GX72" s="1313"/>
      <c r="GY72" s="1313"/>
      <c r="GZ72" s="1313"/>
      <c r="HA72" s="1313"/>
      <c r="HB72" s="1313"/>
      <c r="HC72" s="1313"/>
      <c r="HD72" s="1313"/>
      <c r="HE72" s="1313"/>
      <c r="HF72" s="1313"/>
      <c r="HG72" s="1313"/>
      <c r="HH72" s="1313"/>
      <c r="HI72" s="1313"/>
      <c r="HJ72" s="1313"/>
      <c r="HK72" s="1313"/>
      <c r="HL72" s="1313"/>
      <c r="HM72" s="1313"/>
      <c r="HN72" s="1313"/>
      <c r="HO72" s="1313"/>
      <c r="HP72" s="1313"/>
      <c r="HQ72" s="1313"/>
      <c r="HR72" s="1313"/>
      <c r="HS72" s="1313"/>
      <c r="HT72" s="1313"/>
      <c r="HU72" s="1313"/>
      <c r="HV72" s="1313"/>
      <c r="HW72" s="1313"/>
      <c r="HX72" s="1313"/>
      <c r="HY72" s="1313"/>
      <c r="HZ72" s="1313"/>
      <c r="IA72" s="1313"/>
      <c r="IB72" s="1313"/>
      <c r="IC72" s="1313"/>
      <c r="ID72" s="1313"/>
      <c r="IE72" s="1313"/>
      <c r="IF72" s="1313"/>
      <c r="IG72" s="1313"/>
      <c r="IH72" s="1313"/>
      <c r="II72" s="1313"/>
      <c r="IJ72" s="1313"/>
      <c r="IK72" s="1313"/>
      <c r="IL72" s="1313"/>
      <c r="IM72" s="1313"/>
      <c r="IN72" s="1313"/>
      <c r="IO72" s="1313"/>
      <c r="IP72" s="1313"/>
      <c r="IQ72" s="1313"/>
      <c r="IR72" s="1313"/>
      <c r="IS72" s="1313"/>
      <c r="IT72" s="1313"/>
      <c r="IU72" s="1313"/>
      <c r="IV72" s="1313"/>
    </row>
    <row r="73" spans="1:256" ht="31.5">
      <c r="A73" s="1383">
        <v>10</v>
      </c>
      <c r="B73" s="1392" t="s">
        <v>2161</v>
      </c>
      <c r="C73" s="1340" t="s">
        <v>2080</v>
      </c>
      <c r="D73" s="1387">
        <v>3200</v>
      </c>
      <c r="E73" s="1380">
        <v>0.46875</v>
      </c>
      <c r="F73" s="1381">
        <f t="shared" si="31"/>
        <v>1500</v>
      </c>
      <c r="G73" s="1381">
        <f t="shared" si="32"/>
        <v>1700</v>
      </c>
      <c r="H73" s="1371"/>
      <c r="I73" s="1381">
        <f t="shared" si="33"/>
        <v>1700</v>
      </c>
      <c r="J73" s="1344">
        <v>0.1</v>
      </c>
      <c r="K73" s="1382">
        <v>0.7</v>
      </c>
      <c r="L73" s="1522">
        <f t="shared" si="34"/>
        <v>170</v>
      </c>
      <c r="M73" s="1517">
        <f t="shared" si="35"/>
        <v>1190</v>
      </c>
      <c r="N73" s="1522">
        <f t="shared" si="36"/>
        <v>340</v>
      </c>
      <c r="O73" s="1388" t="s">
        <v>2162</v>
      </c>
      <c r="P73" s="1313"/>
      <c r="Q73" s="1313"/>
      <c r="R73" s="1313"/>
      <c r="S73" s="1313"/>
      <c r="T73" s="1313"/>
      <c r="U73" s="1313"/>
      <c r="V73" s="1313"/>
      <c r="W73" s="1313"/>
      <c r="X73" s="1313"/>
      <c r="Y73" s="1313"/>
      <c r="Z73" s="1313"/>
      <c r="AA73" s="1313"/>
      <c r="AB73" s="1313"/>
      <c r="AC73" s="1313"/>
      <c r="AD73" s="1313"/>
      <c r="AE73" s="1313"/>
      <c r="AF73" s="1313"/>
      <c r="AG73" s="1313"/>
      <c r="AH73" s="1313"/>
      <c r="AI73" s="1313"/>
      <c r="AJ73" s="1313"/>
      <c r="AK73" s="1313"/>
      <c r="AL73" s="1313"/>
      <c r="AM73" s="1313"/>
      <c r="AN73" s="1313"/>
      <c r="AO73" s="1313"/>
      <c r="AP73" s="1313"/>
      <c r="AQ73" s="1313"/>
      <c r="AR73" s="1313"/>
      <c r="AS73" s="1313"/>
      <c r="AT73" s="1313"/>
      <c r="AU73" s="1313"/>
      <c r="AV73" s="1313"/>
      <c r="AW73" s="1313"/>
      <c r="AX73" s="1313"/>
      <c r="AY73" s="1313"/>
      <c r="AZ73" s="1313"/>
      <c r="BA73" s="1313"/>
      <c r="BB73" s="1313"/>
      <c r="BC73" s="1313"/>
      <c r="BD73" s="1313"/>
      <c r="BE73" s="1313"/>
      <c r="BF73" s="1313"/>
      <c r="BG73" s="1313"/>
      <c r="BH73" s="1313"/>
      <c r="BI73" s="1313"/>
      <c r="BJ73" s="1313"/>
      <c r="BK73" s="1313"/>
      <c r="BL73" s="1313"/>
      <c r="BM73" s="1313"/>
      <c r="BN73" s="1313"/>
      <c r="BO73" s="1313"/>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c r="DD73" s="1313"/>
      <c r="DE73" s="1313"/>
      <c r="DF73" s="1313"/>
      <c r="DG73" s="1313"/>
      <c r="DH73" s="1313"/>
      <c r="DI73" s="1313"/>
      <c r="DJ73" s="1313"/>
      <c r="DK73" s="1313"/>
      <c r="DL73" s="1313"/>
      <c r="DM73" s="1313"/>
      <c r="DN73" s="1313"/>
      <c r="DO73" s="1313"/>
      <c r="DP73" s="1313"/>
      <c r="DQ73" s="1313"/>
      <c r="DR73" s="1313"/>
      <c r="DS73" s="1313"/>
      <c r="DT73" s="1313"/>
      <c r="DU73" s="1313"/>
      <c r="DV73" s="1313"/>
      <c r="DW73" s="1313"/>
      <c r="DX73" s="1313"/>
      <c r="DY73" s="1313"/>
      <c r="DZ73" s="1313"/>
      <c r="EA73" s="1313"/>
      <c r="EB73" s="1313"/>
      <c r="EC73" s="1313"/>
      <c r="ED73" s="1313"/>
      <c r="EE73" s="1313"/>
      <c r="EF73" s="1313"/>
      <c r="EG73" s="1313"/>
      <c r="EH73" s="1313"/>
      <c r="EI73" s="1313"/>
      <c r="EJ73" s="1313"/>
      <c r="EK73" s="1313"/>
      <c r="EL73" s="1313"/>
      <c r="EM73" s="1313"/>
      <c r="EN73" s="1313"/>
      <c r="EO73" s="1313"/>
      <c r="EP73" s="1313"/>
      <c r="EQ73" s="1313"/>
      <c r="ER73" s="1313"/>
      <c r="ES73" s="1313"/>
      <c r="ET73" s="1313"/>
      <c r="EU73" s="1313"/>
      <c r="EV73" s="1313"/>
      <c r="EW73" s="1313"/>
      <c r="EX73" s="1313"/>
      <c r="EY73" s="1313"/>
      <c r="EZ73" s="1313"/>
      <c r="FA73" s="1313"/>
      <c r="FB73" s="1313"/>
      <c r="FC73" s="1313"/>
      <c r="FD73" s="1313"/>
      <c r="FE73" s="1313"/>
      <c r="FF73" s="1313"/>
      <c r="FG73" s="1313"/>
      <c r="FH73" s="1313"/>
      <c r="FI73" s="1313"/>
      <c r="FJ73" s="1313"/>
      <c r="FK73" s="1313"/>
      <c r="FL73" s="1313"/>
      <c r="FM73" s="1313"/>
      <c r="FN73" s="1313"/>
      <c r="FO73" s="1313"/>
      <c r="FP73" s="1313"/>
      <c r="FQ73" s="1313"/>
      <c r="FR73" s="1313"/>
      <c r="FS73" s="1313"/>
      <c r="FT73" s="1313"/>
      <c r="FU73" s="1313"/>
      <c r="FV73" s="1313"/>
      <c r="FW73" s="1313"/>
      <c r="FX73" s="1313"/>
      <c r="FY73" s="1313"/>
      <c r="FZ73" s="1313"/>
      <c r="GA73" s="1313"/>
      <c r="GB73" s="1313"/>
      <c r="GC73" s="1313"/>
      <c r="GD73" s="1313"/>
      <c r="GE73" s="1313"/>
      <c r="GF73" s="1313"/>
      <c r="GG73" s="1313"/>
      <c r="GH73" s="1313"/>
      <c r="GI73" s="1313"/>
      <c r="GJ73" s="1313"/>
      <c r="GK73" s="1313"/>
      <c r="GL73" s="1313"/>
      <c r="GM73" s="1313"/>
      <c r="GN73" s="1313"/>
      <c r="GO73" s="1313"/>
      <c r="GP73" s="1313"/>
      <c r="GQ73" s="1313"/>
      <c r="GR73" s="1313"/>
      <c r="GS73" s="1313"/>
      <c r="GT73" s="1313"/>
      <c r="GU73" s="1313"/>
      <c r="GV73" s="1313"/>
      <c r="GW73" s="1313"/>
      <c r="GX73" s="1313"/>
      <c r="GY73" s="1313"/>
      <c r="GZ73" s="1313"/>
      <c r="HA73" s="1313"/>
      <c r="HB73" s="1313"/>
      <c r="HC73" s="1313"/>
      <c r="HD73" s="1313"/>
      <c r="HE73" s="1313"/>
      <c r="HF73" s="1313"/>
      <c r="HG73" s="1313"/>
      <c r="HH73" s="1313"/>
      <c r="HI73" s="1313"/>
      <c r="HJ73" s="1313"/>
      <c r="HK73" s="1313"/>
      <c r="HL73" s="1313"/>
      <c r="HM73" s="1313"/>
      <c r="HN73" s="1313"/>
      <c r="HO73" s="1313"/>
      <c r="HP73" s="1313"/>
      <c r="HQ73" s="1313"/>
      <c r="HR73" s="1313"/>
      <c r="HS73" s="1313"/>
      <c r="HT73" s="1313"/>
      <c r="HU73" s="1313"/>
      <c r="HV73" s="1313"/>
      <c r="HW73" s="1313"/>
      <c r="HX73" s="1313"/>
      <c r="HY73" s="1313"/>
      <c r="HZ73" s="1313"/>
      <c r="IA73" s="1313"/>
      <c r="IB73" s="1313"/>
      <c r="IC73" s="1313"/>
      <c r="ID73" s="1313"/>
      <c r="IE73" s="1313"/>
      <c r="IF73" s="1313"/>
      <c r="IG73" s="1313"/>
      <c r="IH73" s="1313"/>
      <c r="II73" s="1313"/>
      <c r="IJ73" s="1313"/>
      <c r="IK73" s="1313"/>
      <c r="IL73" s="1313"/>
      <c r="IM73" s="1313"/>
      <c r="IN73" s="1313"/>
      <c r="IO73" s="1313"/>
      <c r="IP73" s="1313"/>
      <c r="IQ73" s="1313"/>
      <c r="IR73" s="1313"/>
      <c r="IS73" s="1313"/>
      <c r="IT73" s="1313"/>
      <c r="IU73" s="1313"/>
      <c r="IV73" s="1313"/>
    </row>
    <row r="74" spans="1:256" ht="31.5">
      <c r="A74" s="1379">
        <v>11</v>
      </c>
      <c r="B74" s="1392" t="s">
        <v>2163</v>
      </c>
      <c r="C74" s="1340" t="s">
        <v>2080</v>
      </c>
      <c r="D74" s="1387">
        <v>3000</v>
      </c>
      <c r="E74" s="1380">
        <v>0.41666666666666669</v>
      </c>
      <c r="F74" s="1381">
        <f t="shared" si="31"/>
        <v>1250</v>
      </c>
      <c r="G74" s="1381">
        <f t="shared" si="32"/>
        <v>1750</v>
      </c>
      <c r="H74" s="1371"/>
      <c r="I74" s="1381">
        <f t="shared" si="33"/>
        <v>1750</v>
      </c>
      <c r="J74" s="1344">
        <v>0.1</v>
      </c>
      <c r="K74" s="1382">
        <v>0.7</v>
      </c>
      <c r="L74" s="1522">
        <f t="shared" si="34"/>
        <v>175</v>
      </c>
      <c r="M74" s="1517">
        <f t="shared" si="35"/>
        <v>1225</v>
      </c>
      <c r="N74" s="1522">
        <f t="shared" si="36"/>
        <v>350</v>
      </c>
      <c r="O74" s="1388"/>
      <c r="P74" s="1313"/>
      <c r="Q74" s="1313"/>
      <c r="R74" s="1313"/>
      <c r="S74" s="1313"/>
      <c r="T74" s="1313"/>
      <c r="U74" s="1313"/>
      <c r="V74" s="1313"/>
      <c r="W74" s="1313"/>
      <c r="X74" s="1313"/>
      <c r="Y74" s="1313"/>
      <c r="Z74" s="1313"/>
      <c r="AA74" s="1313"/>
      <c r="AB74" s="1313"/>
      <c r="AC74" s="1313"/>
      <c r="AD74" s="1313"/>
      <c r="AE74" s="1313"/>
      <c r="AF74" s="1313"/>
      <c r="AG74" s="1313"/>
      <c r="AH74" s="1313"/>
      <c r="AI74" s="1313"/>
      <c r="AJ74" s="1313"/>
      <c r="AK74" s="1313"/>
      <c r="AL74" s="1313"/>
      <c r="AM74" s="1313"/>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c r="DD74" s="1313"/>
      <c r="DE74" s="1313"/>
      <c r="DF74" s="1313"/>
      <c r="DG74" s="1313"/>
      <c r="DH74" s="1313"/>
      <c r="DI74" s="1313"/>
      <c r="DJ74" s="1313"/>
      <c r="DK74" s="1313"/>
      <c r="DL74" s="1313"/>
      <c r="DM74" s="1313"/>
      <c r="DN74" s="1313"/>
      <c r="DO74" s="1313"/>
      <c r="DP74" s="1313"/>
      <c r="DQ74" s="1313"/>
      <c r="DR74" s="1313"/>
      <c r="DS74" s="1313"/>
      <c r="DT74" s="1313"/>
      <c r="DU74" s="1313"/>
      <c r="DV74" s="1313"/>
      <c r="DW74" s="1313"/>
      <c r="DX74" s="1313"/>
      <c r="DY74" s="1313"/>
      <c r="DZ74" s="1313"/>
      <c r="EA74" s="1313"/>
      <c r="EB74" s="1313"/>
      <c r="EC74" s="1313"/>
      <c r="ED74" s="1313"/>
      <c r="EE74" s="1313"/>
      <c r="EF74" s="1313"/>
      <c r="EG74" s="1313"/>
      <c r="EH74" s="1313"/>
      <c r="EI74" s="1313"/>
      <c r="EJ74" s="1313"/>
      <c r="EK74" s="1313"/>
      <c r="EL74" s="1313"/>
      <c r="EM74" s="1313"/>
      <c r="EN74" s="1313"/>
      <c r="EO74" s="1313"/>
      <c r="EP74" s="1313"/>
      <c r="EQ74" s="1313"/>
      <c r="ER74" s="1313"/>
      <c r="ES74" s="1313"/>
      <c r="ET74" s="1313"/>
      <c r="EU74" s="1313"/>
      <c r="EV74" s="1313"/>
      <c r="EW74" s="1313"/>
      <c r="EX74" s="1313"/>
      <c r="EY74" s="1313"/>
      <c r="EZ74" s="1313"/>
      <c r="FA74" s="1313"/>
      <c r="FB74" s="1313"/>
      <c r="FC74" s="1313"/>
      <c r="FD74" s="1313"/>
      <c r="FE74" s="1313"/>
      <c r="FF74" s="1313"/>
      <c r="FG74" s="1313"/>
      <c r="FH74" s="1313"/>
      <c r="FI74" s="1313"/>
      <c r="FJ74" s="1313"/>
      <c r="FK74" s="1313"/>
      <c r="FL74" s="1313"/>
      <c r="FM74" s="1313"/>
      <c r="FN74" s="1313"/>
      <c r="FO74" s="1313"/>
      <c r="FP74" s="1313"/>
      <c r="FQ74" s="1313"/>
      <c r="FR74" s="1313"/>
      <c r="FS74" s="1313"/>
      <c r="FT74" s="1313"/>
      <c r="FU74" s="1313"/>
      <c r="FV74" s="1313"/>
      <c r="FW74" s="1313"/>
      <c r="FX74" s="1313"/>
      <c r="FY74" s="1313"/>
      <c r="FZ74" s="1313"/>
      <c r="GA74" s="1313"/>
      <c r="GB74" s="1313"/>
      <c r="GC74" s="1313"/>
      <c r="GD74" s="1313"/>
      <c r="GE74" s="1313"/>
      <c r="GF74" s="1313"/>
      <c r="GG74" s="1313"/>
      <c r="GH74" s="1313"/>
      <c r="GI74" s="1313"/>
      <c r="GJ74" s="1313"/>
      <c r="GK74" s="1313"/>
      <c r="GL74" s="1313"/>
      <c r="GM74" s="1313"/>
      <c r="GN74" s="1313"/>
      <c r="GO74" s="1313"/>
      <c r="GP74" s="1313"/>
      <c r="GQ74" s="1313"/>
      <c r="GR74" s="1313"/>
      <c r="GS74" s="1313"/>
      <c r="GT74" s="1313"/>
      <c r="GU74" s="1313"/>
      <c r="GV74" s="1313"/>
      <c r="GW74" s="1313"/>
      <c r="GX74" s="1313"/>
      <c r="GY74" s="1313"/>
      <c r="GZ74" s="1313"/>
      <c r="HA74" s="1313"/>
      <c r="HB74" s="1313"/>
      <c r="HC74" s="1313"/>
      <c r="HD74" s="1313"/>
      <c r="HE74" s="1313"/>
      <c r="HF74" s="1313"/>
      <c r="HG74" s="1313"/>
      <c r="HH74" s="1313"/>
      <c r="HI74" s="1313"/>
      <c r="HJ74" s="1313"/>
      <c r="HK74" s="1313"/>
      <c r="HL74" s="1313"/>
      <c r="HM74" s="1313"/>
      <c r="HN74" s="1313"/>
      <c r="HO74" s="1313"/>
      <c r="HP74" s="1313"/>
      <c r="HQ74" s="1313"/>
      <c r="HR74" s="1313"/>
      <c r="HS74" s="1313"/>
      <c r="HT74" s="1313"/>
      <c r="HU74" s="1313"/>
      <c r="HV74" s="1313"/>
      <c r="HW74" s="1313"/>
      <c r="HX74" s="1313"/>
      <c r="HY74" s="1313"/>
      <c r="HZ74" s="1313"/>
      <c r="IA74" s="1313"/>
      <c r="IB74" s="1313"/>
      <c r="IC74" s="1313"/>
      <c r="ID74" s="1313"/>
      <c r="IE74" s="1313"/>
      <c r="IF74" s="1313"/>
      <c r="IG74" s="1313"/>
      <c r="IH74" s="1313"/>
      <c r="II74" s="1313"/>
      <c r="IJ74" s="1313"/>
      <c r="IK74" s="1313"/>
      <c r="IL74" s="1313"/>
      <c r="IM74" s="1313"/>
      <c r="IN74" s="1313"/>
      <c r="IO74" s="1313"/>
      <c r="IP74" s="1313"/>
      <c r="IQ74" s="1313"/>
      <c r="IR74" s="1313"/>
      <c r="IS74" s="1313"/>
      <c r="IT74" s="1313"/>
      <c r="IU74" s="1313"/>
      <c r="IV74" s="1313"/>
    </row>
    <row r="75" spans="1:256" ht="15.75">
      <c r="A75" s="1383">
        <v>12</v>
      </c>
      <c r="B75" s="1389" t="s">
        <v>2164</v>
      </c>
      <c r="C75" s="1340" t="s">
        <v>2080</v>
      </c>
      <c r="D75" s="1387">
        <v>1000</v>
      </c>
      <c r="E75" s="1380">
        <v>0.4</v>
      </c>
      <c r="F75" s="1381">
        <f t="shared" si="31"/>
        <v>400</v>
      </c>
      <c r="G75" s="1381">
        <f t="shared" si="32"/>
        <v>600</v>
      </c>
      <c r="H75" s="1371"/>
      <c r="I75" s="1381">
        <f t="shared" si="33"/>
        <v>600</v>
      </c>
      <c r="J75" s="1344">
        <v>0.1</v>
      </c>
      <c r="K75" s="1382">
        <v>0.8</v>
      </c>
      <c r="L75" s="1522">
        <f t="shared" si="34"/>
        <v>60</v>
      </c>
      <c r="M75" s="1517">
        <f t="shared" si="35"/>
        <v>480</v>
      </c>
      <c r="N75" s="1522">
        <f t="shared" si="36"/>
        <v>60</v>
      </c>
      <c r="O75" s="1388" t="s">
        <v>2165</v>
      </c>
      <c r="P75" s="1313"/>
      <c r="Q75" s="1313"/>
      <c r="R75" s="1313"/>
      <c r="S75" s="1313"/>
      <c r="T75" s="1313"/>
      <c r="U75" s="1313"/>
      <c r="V75" s="1313"/>
      <c r="W75" s="1313"/>
      <c r="X75" s="1313"/>
      <c r="Y75" s="1313"/>
      <c r="Z75" s="1313"/>
      <c r="AA75" s="1313"/>
      <c r="AB75" s="1313"/>
      <c r="AC75" s="1313"/>
      <c r="AD75" s="1313"/>
      <c r="AE75" s="1313"/>
      <c r="AF75" s="1313"/>
      <c r="AG75" s="1313"/>
      <c r="AH75" s="1313"/>
      <c r="AI75" s="1313"/>
      <c r="AJ75" s="1313"/>
      <c r="AK75" s="1313"/>
      <c r="AL75" s="1313"/>
      <c r="AM75" s="1313"/>
      <c r="AN75" s="1313"/>
      <c r="AO75" s="1313"/>
      <c r="AP75" s="1313"/>
      <c r="AQ75" s="1313"/>
      <c r="AR75" s="1313"/>
      <c r="AS75" s="1313"/>
      <c r="AT75" s="1313"/>
      <c r="AU75" s="1313"/>
      <c r="AV75" s="1313"/>
      <c r="AW75" s="1313"/>
      <c r="AX75" s="1313"/>
      <c r="AY75" s="1313"/>
      <c r="AZ75" s="1313"/>
      <c r="BA75" s="1313"/>
      <c r="BB75" s="1313"/>
      <c r="BC75" s="1313"/>
      <c r="BD75" s="1313"/>
      <c r="BE75" s="1313"/>
      <c r="BF75" s="1313"/>
      <c r="BG75" s="1313"/>
      <c r="BH75" s="1313"/>
      <c r="BI75" s="1313"/>
      <c r="BJ75" s="1313"/>
      <c r="BK75" s="1313"/>
      <c r="BL75" s="1313"/>
      <c r="BM75" s="1313"/>
      <c r="BN75" s="1313"/>
      <c r="BO75" s="1313"/>
      <c r="BP75" s="1313"/>
      <c r="BQ75" s="1313"/>
      <c r="BR75" s="1313"/>
      <c r="BS75" s="1313"/>
      <c r="BT75" s="1313"/>
      <c r="BU75" s="1313"/>
      <c r="BV75" s="1313"/>
      <c r="BW75" s="1313"/>
      <c r="BX75" s="1313"/>
      <c r="BY75" s="1313"/>
      <c r="BZ75" s="1313"/>
      <c r="CA75" s="1313"/>
      <c r="CB75" s="1313"/>
      <c r="CC75" s="1313"/>
      <c r="CD75" s="1313"/>
      <c r="CE75" s="1313"/>
      <c r="CF75" s="1313"/>
      <c r="CG75" s="1313"/>
      <c r="CH75" s="1313"/>
      <c r="CI75" s="1313"/>
      <c r="CJ75" s="1313"/>
      <c r="CK75" s="1313"/>
      <c r="CL75" s="1313"/>
      <c r="CM75" s="1313"/>
      <c r="CN75" s="1313"/>
      <c r="CO75" s="1313"/>
      <c r="CP75" s="1313"/>
      <c r="CQ75" s="1313"/>
      <c r="CR75" s="1313"/>
      <c r="CS75" s="1313"/>
      <c r="CT75" s="1313"/>
      <c r="CU75" s="1313"/>
      <c r="CV75" s="1313"/>
      <c r="CW75" s="1313"/>
      <c r="CX75" s="1313"/>
      <c r="CY75" s="1313"/>
      <c r="CZ75" s="1313"/>
      <c r="DA75" s="1313"/>
      <c r="DB75" s="1313"/>
      <c r="DC75" s="1313"/>
      <c r="DD75" s="1313"/>
      <c r="DE75" s="1313"/>
      <c r="DF75" s="1313"/>
      <c r="DG75" s="1313"/>
      <c r="DH75" s="1313"/>
      <c r="DI75" s="1313"/>
      <c r="DJ75" s="1313"/>
      <c r="DK75" s="1313"/>
      <c r="DL75" s="1313"/>
      <c r="DM75" s="1313"/>
      <c r="DN75" s="1313"/>
      <c r="DO75" s="1313"/>
      <c r="DP75" s="1313"/>
      <c r="DQ75" s="1313"/>
      <c r="DR75" s="1313"/>
      <c r="DS75" s="1313"/>
      <c r="DT75" s="1313"/>
      <c r="DU75" s="1313"/>
      <c r="DV75" s="1313"/>
      <c r="DW75" s="1313"/>
      <c r="DX75" s="1313"/>
      <c r="DY75" s="1313"/>
      <c r="DZ75" s="1313"/>
      <c r="EA75" s="1313"/>
      <c r="EB75" s="1313"/>
      <c r="EC75" s="1313"/>
      <c r="ED75" s="1313"/>
      <c r="EE75" s="1313"/>
      <c r="EF75" s="1313"/>
      <c r="EG75" s="1313"/>
      <c r="EH75" s="1313"/>
      <c r="EI75" s="1313"/>
      <c r="EJ75" s="1313"/>
      <c r="EK75" s="1313"/>
      <c r="EL75" s="1313"/>
      <c r="EM75" s="1313"/>
      <c r="EN75" s="1313"/>
      <c r="EO75" s="1313"/>
      <c r="EP75" s="1313"/>
      <c r="EQ75" s="1313"/>
      <c r="ER75" s="1313"/>
      <c r="ES75" s="1313"/>
      <c r="ET75" s="1313"/>
      <c r="EU75" s="1313"/>
      <c r="EV75" s="1313"/>
      <c r="EW75" s="1313"/>
      <c r="EX75" s="1313"/>
      <c r="EY75" s="1313"/>
      <c r="EZ75" s="1313"/>
      <c r="FA75" s="1313"/>
      <c r="FB75" s="1313"/>
      <c r="FC75" s="1313"/>
      <c r="FD75" s="1313"/>
      <c r="FE75" s="1313"/>
      <c r="FF75" s="1313"/>
      <c r="FG75" s="1313"/>
      <c r="FH75" s="1313"/>
      <c r="FI75" s="1313"/>
      <c r="FJ75" s="1313"/>
      <c r="FK75" s="1313"/>
      <c r="FL75" s="1313"/>
      <c r="FM75" s="1313"/>
      <c r="FN75" s="1313"/>
      <c r="FO75" s="1313"/>
      <c r="FP75" s="1313"/>
      <c r="FQ75" s="1313"/>
      <c r="FR75" s="1313"/>
      <c r="FS75" s="1313"/>
      <c r="FT75" s="1313"/>
      <c r="FU75" s="1313"/>
      <c r="FV75" s="1313"/>
      <c r="FW75" s="1313"/>
      <c r="FX75" s="1313"/>
      <c r="FY75" s="1313"/>
      <c r="FZ75" s="1313"/>
      <c r="GA75" s="1313"/>
      <c r="GB75" s="1313"/>
      <c r="GC75" s="1313"/>
      <c r="GD75" s="1313"/>
      <c r="GE75" s="1313"/>
      <c r="GF75" s="1313"/>
      <c r="GG75" s="1313"/>
      <c r="GH75" s="1313"/>
      <c r="GI75" s="1313"/>
      <c r="GJ75" s="1313"/>
      <c r="GK75" s="1313"/>
      <c r="GL75" s="1313"/>
      <c r="GM75" s="1313"/>
      <c r="GN75" s="1313"/>
      <c r="GO75" s="1313"/>
      <c r="GP75" s="1313"/>
      <c r="GQ75" s="1313"/>
      <c r="GR75" s="1313"/>
      <c r="GS75" s="1313"/>
      <c r="GT75" s="1313"/>
      <c r="GU75" s="1313"/>
      <c r="GV75" s="1313"/>
      <c r="GW75" s="1313"/>
      <c r="GX75" s="1313"/>
      <c r="GY75" s="1313"/>
      <c r="GZ75" s="1313"/>
      <c r="HA75" s="1313"/>
      <c r="HB75" s="1313"/>
      <c r="HC75" s="1313"/>
      <c r="HD75" s="1313"/>
      <c r="HE75" s="1313"/>
      <c r="HF75" s="1313"/>
      <c r="HG75" s="1313"/>
      <c r="HH75" s="1313"/>
      <c r="HI75" s="1313"/>
      <c r="HJ75" s="1313"/>
      <c r="HK75" s="1313"/>
      <c r="HL75" s="1313"/>
      <c r="HM75" s="1313"/>
      <c r="HN75" s="1313"/>
      <c r="HO75" s="1313"/>
      <c r="HP75" s="1313"/>
      <c r="HQ75" s="1313"/>
      <c r="HR75" s="1313"/>
      <c r="HS75" s="1313"/>
      <c r="HT75" s="1313"/>
      <c r="HU75" s="1313"/>
      <c r="HV75" s="1313"/>
      <c r="HW75" s="1313"/>
      <c r="HX75" s="1313"/>
      <c r="HY75" s="1313"/>
      <c r="HZ75" s="1313"/>
      <c r="IA75" s="1313"/>
      <c r="IB75" s="1313"/>
      <c r="IC75" s="1313"/>
      <c r="ID75" s="1313"/>
      <c r="IE75" s="1313"/>
      <c r="IF75" s="1313"/>
      <c r="IG75" s="1313"/>
      <c r="IH75" s="1313"/>
      <c r="II75" s="1313"/>
      <c r="IJ75" s="1313"/>
      <c r="IK75" s="1313"/>
      <c r="IL75" s="1313"/>
      <c r="IM75" s="1313"/>
      <c r="IN75" s="1313"/>
      <c r="IO75" s="1313"/>
      <c r="IP75" s="1313"/>
      <c r="IQ75" s="1313"/>
      <c r="IR75" s="1313"/>
      <c r="IS75" s="1313"/>
      <c r="IT75" s="1313"/>
      <c r="IU75" s="1313"/>
      <c r="IV75" s="1313"/>
    </row>
    <row r="76" spans="1:256" ht="15.75">
      <c r="A76" s="1379">
        <v>13</v>
      </c>
      <c r="B76" s="1389" t="s">
        <v>2166</v>
      </c>
      <c r="C76" s="1340" t="s">
        <v>2080</v>
      </c>
      <c r="D76" s="1387">
        <v>1000</v>
      </c>
      <c r="E76" s="1380">
        <v>0.4</v>
      </c>
      <c r="F76" s="1381">
        <f t="shared" si="31"/>
        <v>400</v>
      </c>
      <c r="G76" s="1381">
        <f t="shared" si="32"/>
        <v>600</v>
      </c>
      <c r="H76" s="1371"/>
      <c r="I76" s="1381">
        <f t="shared" si="33"/>
        <v>600</v>
      </c>
      <c r="J76" s="1344">
        <v>0.1</v>
      </c>
      <c r="K76" s="1382">
        <v>0.7</v>
      </c>
      <c r="L76" s="1522">
        <f t="shared" si="34"/>
        <v>60</v>
      </c>
      <c r="M76" s="1517">
        <f t="shared" si="35"/>
        <v>420</v>
      </c>
      <c r="N76" s="1522">
        <f t="shared" si="36"/>
        <v>120</v>
      </c>
      <c r="O76" s="1388" t="s">
        <v>2162</v>
      </c>
      <c r="P76" s="1313"/>
      <c r="Q76" s="1313"/>
      <c r="R76" s="1313"/>
      <c r="S76" s="1313"/>
      <c r="T76" s="1313"/>
      <c r="U76" s="1313"/>
      <c r="V76" s="1313"/>
      <c r="W76" s="1313"/>
      <c r="X76" s="1313"/>
      <c r="Y76" s="1313"/>
      <c r="Z76" s="1313"/>
      <c r="AA76" s="1313"/>
      <c r="AB76" s="1313"/>
      <c r="AC76" s="1313"/>
      <c r="AD76" s="1313"/>
      <c r="AE76" s="1313"/>
      <c r="AF76" s="1313"/>
      <c r="AG76" s="1313"/>
      <c r="AH76" s="1313"/>
      <c r="AI76" s="1313"/>
      <c r="AJ76" s="1313"/>
      <c r="AK76" s="1313"/>
      <c r="AL76" s="1313"/>
      <c r="AM76" s="1313"/>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c r="DD76" s="1313"/>
      <c r="DE76" s="1313"/>
      <c r="DF76" s="1313"/>
      <c r="DG76" s="1313"/>
      <c r="DH76" s="1313"/>
      <c r="DI76" s="1313"/>
      <c r="DJ76" s="1313"/>
      <c r="DK76" s="1313"/>
      <c r="DL76" s="1313"/>
      <c r="DM76" s="1313"/>
      <c r="DN76" s="1313"/>
      <c r="DO76" s="1313"/>
      <c r="DP76" s="1313"/>
      <c r="DQ76" s="1313"/>
      <c r="DR76" s="1313"/>
      <c r="DS76" s="1313"/>
      <c r="DT76" s="1313"/>
      <c r="DU76" s="1313"/>
      <c r="DV76" s="1313"/>
      <c r="DW76" s="1313"/>
      <c r="DX76" s="1313"/>
      <c r="DY76" s="1313"/>
      <c r="DZ76" s="1313"/>
      <c r="EA76" s="1313"/>
      <c r="EB76" s="1313"/>
      <c r="EC76" s="1313"/>
      <c r="ED76" s="1313"/>
      <c r="EE76" s="1313"/>
      <c r="EF76" s="1313"/>
      <c r="EG76" s="1313"/>
      <c r="EH76" s="1313"/>
      <c r="EI76" s="1313"/>
      <c r="EJ76" s="1313"/>
      <c r="EK76" s="1313"/>
      <c r="EL76" s="1313"/>
      <c r="EM76" s="1313"/>
      <c r="EN76" s="1313"/>
      <c r="EO76" s="1313"/>
      <c r="EP76" s="1313"/>
      <c r="EQ76" s="1313"/>
      <c r="ER76" s="1313"/>
      <c r="ES76" s="1313"/>
      <c r="ET76" s="1313"/>
      <c r="EU76" s="1313"/>
      <c r="EV76" s="1313"/>
      <c r="EW76" s="1313"/>
      <c r="EX76" s="1313"/>
      <c r="EY76" s="1313"/>
      <c r="EZ76" s="1313"/>
      <c r="FA76" s="1313"/>
      <c r="FB76" s="1313"/>
      <c r="FC76" s="1313"/>
      <c r="FD76" s="1313"/>
      <c r="FE76" s="1313"/>
      <c r="FF76" s="1313"/>
      <c r="FG76" s="1313"/>
      <c r="FH76" s="1313"/>
      <c r="FI76" s="1313"/>
      <c r="FJ76" s="1313"/>
      <c r="FK76" s="1313"/>
      <c r="FL76" s="1313"/>
      <c r="FM76" s="1313"/>
      <c r="FN76" s="1313"/>
      <c r="FO76" s="1313"/>
      <c r="FP76" s="1313"/>
      <c r="FQ76" s="1313"/>
      <c r="FR76" s="1313"/>
      <c r="FS76" s="1313"/>
      <c r="FT76" s="1313"/>
      <c r="FU76" s="1313"/>
      <c r="FV76" s="1313"/>
      <c r="FW76" s="1313"/>
      <c r="FX76" s="1313"/>
      <c r="FY76" s="1313"/>
      <c r="FZ76" s="1313"/>
      <c r="GA76" s="1313"/>
      <c r="GB76" s="1313"/>
      <c r="GC76" s="1313"/>
      <c r="GD76" s="1313"/>
      <c r="GE76" s="1313"/>
      <c r="GF76" s="1313"/>
      <c r="GG76" s="1313"/>
      <c r="GH76" s="1313"/>
      <c r="GI76" s="1313"/>
      <c r="GJ76" s="1313"/>
      <c r="GK76" s="1313"/>
      <c r="GL76" s="1313"/>
      <c r="GM76" s="1313"/>
      <c r="GN76" s="1313"/>
      <c r="GO76" s="1313"/>
      <c r="GP76" s="1313"/>
      <c r="GQ76" s="1313"/>
      <c r="GR76" s="1313"/>
      <c r="GS76" s="1313"/>
      <c r="GT76" s="1313"/>
      <c r="GU76" s="1313"/>
      <c r="GV76" s="1313"/>
      <c r="GW76" s="1313"/>
      <c r="GX76" s="1313"/>
      <c r="GY76" s="1313"/>
      <c r="GZ76" s="1313"/>
      <c r="HA76" s="1313"/>
      <c r="HB76" s="1313"/>
      <c r="HC76" s="1313"/>
      <c r="HD76" s="1313"/>
      <c r="HE76" s="1313"/>
      <c r="HF76" s="1313"/>
      <c r="HG76" s="1313"/>
      <c r="HH76" s="1313"/>
      <c r="HI76" s="1313"/>
      <c r="HJ76" s="1313"/>
      <c r="HK76" s="1313"/>
      <c r="HL76" s="1313"/>
      <c r="HM76" s="1313"/>
      <c r="HN76" s="1313"/>
      <c r="HO76" s="1313"/>
      <c r="HP76" s="1313"/>
      <c r="HQ76" s="1313"/>
      <c r="HR76" s="1313"/>
      <c r="HS76" s="1313"/>
      <c r="HT76" s="1313"/>
      <c r="HU76" s="1313"/>
      <c r="HV76" s="1313"/>
      <c r="HW76" s="1313"/>
      <c r="HX76" s="1313"/>
      <c r="HY76" s="1313"/>
      <c r="HZ76" s="1313"/>
      <c r="IA76" s="1313"/>
      <c r="IB76" s="1313"/>
      <c r="IC76" s="1313"/>
      <c r="ID76" s="1313"/>
      <c r="IE76" s="1313"/>
      <c r="IF76" s="1313"/>
      <c r="IG76" s="1313"/>
      <c r="IH76" s="1313"/>
      <c r="II76" s="1313"/>
      <c r="IJ76" s="1313"/>
      <c r="IK76" s="1313"/>
      <c r="IL76" s="1313"/>
      <c r="IM76" s="1313"/>
      <c r="IN76" s="1313"/>
      <c r="IO76" s="1313"/>
      <c r="IP76" s="1313"/>
      <c r="IQ76" s="1313"/>
      <c r="IR76" s="1313"/>
      <c r="IS76" s="1313"/>
      <c r="IT76" s="1313"/>
      <c r="IU76" s="1313"/>
      <c r="IV76" s="1313"/>
    </row>
    <row r="77" spans="1:256" ht="15.75">
      <c r="A77" s="1383">
        <v>14</v>
      </c>
      <c r="B77" s="1389" t="s">
        <v>2167</v>
      </c>
      <c r="C77" s="1340" t="s">
        <v>2080</v>
      </c>
      <c r="D77" s="1387">
        <v>2500</v>
      </c>
      <c r="E77" s="1380">
        <v>0.4375</v>
      </c>
      <c r="F77" s="1381">
        <f t="shared" si="31"/>
        <v>1093.75</v>
      </c>
      <c r="G77" s="1381">
        <f t="shared" si="32"/>
        <v>1406.25</v>
      </c>
      <c r="H77" s="1371"/>
      <c r="I77" s="1381">
        <f t="shared" si="33"/>
        <v>1406.25</v>
      </c>
      <c r="J77" s="1344">
        <v>0.1</v>
      </c>
      <c r="K77" s="1382">
        <v>0.7</v>
      </c>
      <c r="L77" s="1522">
        <f t="shared" si="34"/>
        <v>140.625</v>
      </c>
      <c r="M77" s="1517">
        <f t="shared" si="35"/>
        <v>984.37499999999989</v>
      </c>
      <c r="N77" s="1522">
        <f t="shared" si="36"/>
        <v>281.25000000000011</v>
      </c>
      <c r="O77" s="1388"/>
      <c r="P77" s="1313"/>
      <c r="Q77" s="1313"/>
      <c r="R77" s="1313"/>
      <c r="S77" s="1313"/>
      <c r="T77" s="1313"/>
      <c r="U77" s="1313"/>
      <c r="V77" s="1313"/>
      <c r="W77" s="1313"/>
      <c r="X77" s="1313"/>
      <c r="Y77" s="1313"/>
      <c r="Z77" s="1313"/>
      <c r="AA77" s="1313"/>
      <c r="AB77" s="1313"/>
      <c r="AC77" s="1313"/>
      <c r="AD77" s="1313"/>
      <c r="AE77" s="1313"/>
      <c r="AF77" s="1313"/>
      <c r="AG77" s="1313"/>
      <c r="AH77" s="1313"/>
      <c r="AI77" s="1313"/>
      <c r="AJ77" s="1313"/>
      <c r="AK77" s="1313"/>
      <c r="AL77" s="1313"/>
      <c r="AM77" s="1313"/>
      <c r="AN77" s="1313"/>
      <c r="AO77" s="1313"/>
      <c r="AP77" s="1313"/>
      <c r="AQ77" s="1313"/>
      <c r="AR77" s="1313"/>
      <c r="AS77" s="1313"/>
      <c r="AT77" s="1313"/>
      <c r="AU77" s="1313"/>
      <c r="AV77" s="1313"/>
      <c r="AW77" s="1313"/>
      <c r="AX77" s="1313"/>
      <c r="AY77" s="1313"/>
      <c r="AZ77" s="1313"/>
      <c r="BA77" s="1313"/>
      <c r="BB77" s="1313"/>
      <c r="BC77" s="1313"/>
      <c r="BD77" s="1313"/>
      <c r="BE77" s="1313"/>
      <c r="BF77" s="1313"/>
      <c r="BG77" s="1313"/>
      <c r="BH77" s="1313"/>
      <c r="BI77" s="1313"/>
      <c r="BJ77" s="1313"/>
      <c r="BK77" s="1313"/>
      <c r="BL77" s="1313"/>
      <c r="BM77" s="1313"/>
      <c r="BN77" s="1313"/>
      <c r="BO77" s="1313"/>
      <c r="BP77" s="1313"/>
      <c r="BQ77" s="1313"/>
      <c r="BR77" s="1313"/>
      <c r="BS77" s="1313"/>
      <c r="BT77" s="1313"/>
      <c r="BU77" s="1313"/>
      <c r="BV77" s="1313"/>
      <c r="BW77" s="1313"/>
      <c r="BX77" s="1313"/>
      <c r="BY77" s="1313"/>
      <c r="BZ77" s="1313"/>
      <c r="CA77" s="1313"/>
      <c r="CB77" s="1313"/>
      <c r="CC77" s="1313"/>
      <c r="CD77" s="1313"/>
      <c r="CE77" s="1313"/>
      <c r="CF77" s="1313"/>
      <c r="CG77" s="1313"/>
      <c r="CH77" s="1313"/>
      <c r="CI77" s="1313"/>
      <c r="CJ77" s="1313"/>
      <c r="CK77" s="1313"/>
      <c r="CL77" s="1313"/>
      <c r="CM77" s="1313"/>
      <c r="CN77" s="1313"/>
      <c r="CO77" s="1313"/>
      <c r="CP77" s="1313"/>
      <c r="CQ77" s="1313"/>
      <c r="CR77" s="1313"/>
      <c r="CS77" s="1313"/>
      <c r="CT77" s="1313"/>
      <c r="CU77" s="1313"/>
      <c r="CV77" s="1313"/>
      <c r="CW77" s="1313"/>
      <c r="CX77" s="1313"/>
      <c r="CY77" s="1313"/>
      <c r="CZ77" s="1313"/>
      <c r="DA77" s="1313"/>
      <c r="DB77" s="1313"/>
      <c r="DC77" s="1313"/>
      <c r="DD77" s="1313"/>
      <c r="DE77" s="1313"/>
      <c r="DF77" s="1313"/>
      <c r="DG77" s="1313"/>
      <c r="DH77" s="1313"/>
      <c r="DI77" s="1313"/>
      <c r="DJ77" s="1313"/>
      <c r="DK77" s="1313"/>
      <c r="DL77" s="1313"/>
      <c r="DM77" s="1313"/>
      <c r="DN77" s="1313"/>
      <c r="DO77" s="1313"/>
      <c r="DP77" s="1313"/>
      <c r="DQ77" s="1313"/>
      <c r="DR77" s="1313"/>
      <c r="DS77" s="1313"/>
      <c r="DT77" s="1313"/>
      <c r="DU77" s="1313"/>
      <c r="DV77" s="1313"/>
      <c r="DW77" s="1313"/>
      <c r="DX77" s="1313"/>
      <c r="DY77" s="1313"/>
      <c r="DZ77" s="1313"/>
      <c r="EA77" s="1313"/>
      <c r="EB77" s="1313"/>
      <c r="EC77" s="1313"/>
      <c r="ED77" s="1313"/>
      <c r="EE77" s="1313"/>
      <c r="EF77" s="1313"/>
      <c r="EG77" s="1313"/>
      <c r="EH77" s="1313"/>
      <c r="EI77" s="1313"/>
      <c r="EJ77" s="1313"/>
      <c r="EK77" s="1313"/>
      <c r="EL77" s="1313"/>
      <c r="EM77" s="1313"/>
      <c r="EN77" s="1313"/>
      <c r="EO77" s="1313"/>
      <c r="EP77" s="1313"/>
      <c r="EQ77" s="1313"/>
      <c r="ER77" s="1313"/>
      <c r="ES77" s="1313"/>
      <c r="ET77" s="1313"/>
      <c r="EU77" s="1313"/>
      <c r="EV77" s="1313"/>
      <c r="EW77" s="1313"/>
      <c r="EX77" s="1313"/>
      <c r="EY77" s="1313"/>
      <c r="EZ77" s="1313"/>
      <c r="FA77" s="1313"/>
      <c r="FB77" s="1313"/>
      <c r="FC77" s="1313"/>
      <c r="FD77" s="1313"/>
      <c r="FE77" s="1313"/>
      <c r="FF77" s="1313"/>
      <c r="FG77" s="1313"/>
      <c r="FH77" s="1313"/>
      <c r="FI77" s="1313"/>
      <c r="FJ77" s="1313"/>
      <c r="FK77" s="1313"/>
      <c r="FL77" s="1313"/>
      <c r="FM77" s="1313"/>
      <c r="FN77" s="1313"/>
      <c r="FO77" s="1313"/>
      <c r="FP77" s="1313"/>
      <c r="FQ77" s="1313"/>
      <c r="FR77" s="1313"/>
      <c r="FS77" s="1313"/>
      <c r="FT77" s="1313"/>
      <c r="FU77" s="1313"/>
      <c r="FV77" s="1313"/>
      <c r="FW77" s="1313"/>
      <c r="FX77" s="1313"/>
      <c r="FY77" s="1313"/>
      <c r="FZ77" s="1313"/>
      <c r="GA77" s="1313"/>
      <c r="GB77" s="1313"/>
      <c r="GC77" s="1313"/>
      <c r="GD77" s="1313"/>
      <c r="GE77" s="1313"/>
      <c r="GF77" s="1313"/>
      <c r="GG77" s="1313"/>
      <c r="GH77" s="1313"/>
      <c r="GI77" s="1313"/>
      <c r="GJ77" s="1313"/>
      <c r="GK77" s="1313"/>
      <c r="GL77" s="1313"/>
      <c r="GM77" s="1313"/>
      <c r="GN77" s="1313"/>
      <c r="GO77" s="1313"/>
      <c r="GP77" s="1313"/>
      <c r="GQ77" s="1313"/>
      <c r="GR77" s="1313"/>
      <c r="GS77" s="1313"/>
      <c r="GT77" s="1313"/>
      <c r="GU77" s="1313"/>
      <c r="GV77" s="1313"/>
      <c r="GW77" s="1313"/>
      <c r="GX77" s="1313"/>
      <c r="GY77" s="1313"/>
      <c r="GZ77" s="1313"/>
      <c r="HA77" s="1313"/>
      <c r="HB77" s="1313"/>
      <c r="HC77" s="1313"/>
      <c r="HD77" s="1313"/>
      <c r="HE77" s="1313"/>
      <c r="HF77" s="1313"/>
      <c r="HG77" s="1313"/>
      <c r="HH77" s="1313"/>
      <c r="HI77" s="1313"/>
      <c r="HJ77" s="1313"/>
      <c r="HK77" s="1313"/>
      <c r="HL77" s="1313"/>
      <c r="HM77" s="1313"/>
      <c r="HN77" s="1313"/>
      <c r="HO77" s="1313"/>
      <c r="HP77" s="1313"/>
      <c r="HQ77" s="1313"/>
      <c r="HR77" s="1313"/>
      <c r="HS77" s="1313"/>
      <c r="HT77" s="1313"/>
      <c r="HU77" s="1313"/>
      <c r="HV77" s="1313"/>
      <c r="HW77" s="1313"/>
      <c r="HX77" s="1313"/>
      <c r="HY77" s="1313"/>
      <c r="HZ77" s="1313"/>
      <c r="IA77" s="1313"/>
      <c r="IB77" s="1313"/>
      <c r="IC77" s="1313"/>
      <c r="ID77" s="1313"/>
      <c r="IE77" s="1313"/>
      <c r="IF77" s="1313"/>
      <c r="IG77" s="1313"/>
      <c r="IH77" s="1313"/>
      <c r="II77" s="1313"/>
      <c r="IJ77" s="1313"/>
      <c r="IK77" s="1313"/>
      <c r="IL77" s="1313"/>
      <c r="IM77" s="1313"/>
      <c r="IN77" s="1313"/>
      <c r="IO77" s="1313"/>
      <c r="IP77" s="1313"/>
      <c r="IQ77" s="1313"/>
      <c r="IR77" s="1313"/>
      <c r="IS77" s="1313"/>
      <c r="IT77" s="1313"/>
      <c r="IU77" s="1313"/>
      <c r="IV77" s="1313"/>
    </row>
    <row r="78" spans="1:256" ht="31.5">
      <c r="A78" s="1393" t="s">
        <v>49</v>
      </c>
      <c r="B78" s="1394" t="s">
        <v>2168</v>
      </c>
      <c r="C78" s="1340"/>
      <c r="D78" s="1335">
        <v>0</v>
      </c>
      <c r="E78" s="1335">
        <v>0</v>
      </c>
      <c r="F78" s="1335">
        <v>0</v>
      </c>
      <c r="G78" s="1335">
        <v>0</v>
      </c>
      <c r="H78" s="1335">
        <v>0</v>
      </c>
      <c r="I78" s="1335">
        <v>0</v>
      </c>
      <c r="J78" s="1335">
        <v>0</v>
      </c>
      <c r="K78" s="1335">
        <v>0</v>
      </c>
      <c r="L78" s="1512">
        <v>0</v>
      </c>
      <c r="M78" s="1513">
        <v>0</v>
      </c>
      <c r="N78" s="1512">
        <v>0</v>
      </c>
      <c r="O78" s="1395"/>
      <c r="P78" s="1313"/>
      <c r="Q78" s="1313"/>
      <c r="R78" s="1313"/>
      <c r="S78" s="1313"/>
      <c r="T78" s="1313"/>
      <c r="U78" s="1313"/>
      <c r="V78" s="1313"/>
      <c r="W78" s="1313"/>
      <c r="X78" s="1313"/>
      <c r="Y78" s="1313"/>
      <c r="Z78" s="1313"/>
      <c r="AA78" s="1313"/>
      <c r="AB78" s="1313"/>
      <c r="AC78" s="1313"/>
      <c r="AD78" s="1313"/>
      <c r="AE78" s="1313"/>
      <c r="AF78" s="1313"/>
      <c r="AG78" s="1313"/>
      <c r="AH78" s="1313"/>
      <c r="AI78" s="1313"/>
      <c r="AJ78" s="1313"/>
      <c r="AK78" s="1313"/>
      <c r="AL78" s="1313"/>
      <c r="AM78" s="1313"/>
      <c r="AN78" s="1313"/>
      <c r="AO78" s="1313"/>
      <c r="AP78" s="1313"/>
      <c r="AQ78" s="1313"/>
      <c r="AR78" s="1313"/>
      <c r="AS78" s="1313"/>
      <c r="AT78" s="1313"/>
      <c r="AU78" s="1313"/>
      <c r="AV78" s="1313"/>
      <c r="AW78" s="1313"/>
      <c r="AX78" s="1313"/>
      <c r="AY78" s="1313"/>
      <c r="AZ78" s="1313"/>
      <c r="BA78" s="1313"/>
      <c r="BB78" s="1313"/>
      <c r="BC78" s="1313"/>
      <c r="BD78" s="1313"/>
      <c r="BE78" s="1313"/>
      <c r="BF78" s="1313"/>
      <c r="BG78" s="1313"/>
      <c r="BH78" s="1313"/>
      <c r="BI78" s="1313"/>
      <c r="BJ78" s="1313"/>
      <c r="BK78" s="1313"/>
      <c r="BL78" s="1313"/>
      <c r="BM78" s="1313"/>
      <c r="BN78" s="1313"/>
      <c r="BO78" s="1313"/>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c r="DD78" s="1313"/>
      <c r="DE78" s="1313"/>
      <c r="DF78" s="1313"/>
      <c r="DG78" s="1313"/>
      <c r="DH78" s="1313"/>
      <c r="DI78" s="1313"/>
      <c r="DJ78" s="1313"/>
      <c r="DK78" s="1313"/>
      <c r="DL78" s="1313"/>
      <c r="DM78" s="1313"/>
      <c r="DN78" s="1313"/>
      <c r="DO78" s="1313"/>
      <c r="DP78" s="1313"/>
      <c r="DQ78" s="1313"/>
      <c r="DR78" s="1313"/>
      <c r="DS78" s="1313"/>
      <c r="DT78" s="1313"/>
      <c r="DU78" s="1313"/>
      <c r="DV78" s="1313"/>
      <c r="DW78" s="1313"/>
      <c r="DX78" s="1313"/>
      <c r="DY78" s="1313"/>
      <c r="DZ78" s="1313"/>
      <c r="EA78" s="1313"/>
      <c r="EB78" s="1313"/>
      <c r="EC78" s="1313"/>
      <c r="ED78" s="1313"/>
      <c r="EE78" s="1313"/>
      <c r="EF78" s="1313"/>
      <c r="EG78" s="1313"/>
      <c r="EH78" s="1313"/>
      <c r="EI78" s="1313"/>
      <c r="EJ78" s="1313"/>
      <c r="EK78" s="1313"/>
      <c r="EL78" s="1313"/>
      <c r="EM78" s="1313"/>
      <c r="EN78" s="1313"/>
      <c r="EO78" s="1313"/>
      <c r="EP78" s="1313"/>
      <c r="EQ78" s="1313"/>
      <c r="ER78" s="1313"/>
      <c r="ES78" s="1313"/>
      <c r="ET78" s="1313"/>
      <c r="EU78" s="1313"/>
      <c r="EV78" s="1313"/>
      <c r="EW78" s="1313"/>
      <c r="EX78" s="1313"/>
      <c r="EY78" s="1313"/>
      <c r="EZ78" s="1313"/>
      <c r="FA78" s="1313"/>
      <c r="FB78" s="1313"/>
      <c r="FC78" s="1313"/>
      <c r="FD78" s="1313"/>
      <c r="FE78" s="1313"/>
      <c r="FF78" s="1313"/>
      <c r="FG78" s="1313"/>
      <c r="FH78" s="1313"/>
      <c r="FI78" s="1313"/>
      <c r="FJ78" s="1313"/>
      <c r="FK78" s="1313"/>
      <c r="FL78" s="1313"/>
      <c r="FM78" s="1313"/>
      <c r="FN78" s="1313"/>
      <c r="FO78" s="1313"/>
      <c r="FP78" s="1313"/>
      <c r="FQ78" s="1313"/>
      <c r="FR78" s="1313"/>
      <c r="FS78" s="1313"/>
      <c r="FT78" s="1313"/>
      <c r="FU78" s="1313"/>
      <c r="FV78" s="1313"/>
      <c r="FW78" s="1313"/>
      <c r="FX78" s="1313"/>
      <c r="FY78" s="1313"/>
      <c r="FZ78" s="1313"/>
      <c r="GA78" s="1313"/>
      <c r="GB78" s="1313"/>
      <c r="GC78" s="1313"/>
      <c r="GD78" s="1313"/>
      <c r="GE78" s="1313"/>
      <c r="GF78" s="1313"/>
      <c r="GG78" s="1313"/>
      <c r="GH78" s="1313"/>
      <c r="GI78" s="1313"/>
      <c r="GJ78" s="1313"/>
      <c r="GK78" s="1313"/>
      <c r="GL78" s="1313"/>
      <c r="GM78" s="1313"/>
      <c r="GN78" s="1313"/>
      <c r="GO78" s="1313"/>
      <c r="GP78" s="1313"/>
      <c r="GQ78" s="1313"/>
      <c r="GR78" s="1313"/>
      <c r="GS78" s="1313"/>
      <c r="GT78" s="1313"/>
      <c r="GU78" s="1313"/>
      <c r="GV78" s="1313"/>
      <c r="GW78" s="1313"/>
      <c r="GX78" s="1313"/>
      <c r="GY78" s="1313"/>
      <c r="GZ78" s="1313"/>
      <c r="HA78" s="1313"/>
      <c r="HB78" s="1313"/>
      <c r="HC78" s="1313"/>
      <c r="HD78" s="1313"/>
      <c r="HE78" s="1313"/>
      <c r="HF78" s="1313"/>
      <c r="HG78" s="1313"/>
      <c r="HH78" s="1313"/>
      <c r="HI78" s="1313"/>
      <c r="HJ78" s="1313"/>
      <c r="HK78" s="1313"/>
      <c r="HL78" s="1313"/>
      <c r="HM78" s="1313"/>
      <c r="HN78" s="1313"/>
      <c r="HO78" s="1313"/>
      <c r="HP78" s="1313"/>
      <c r="HQ78" s="1313"/>
      <c r="HR78" s="1313"/>
      <c r="HS78" s="1313"/>
      <c r="HT78" s="1313"/>
      <c r="HU78" s="1313"/>
      <c r="HV78" s="1313"/>
      <c r="HW78" s="1313"/>
      <c r="HX78" s="1313"/>
      <c r="HY78" s="1313"/>
      <c r="HZ78" s="1313"/>
      <c r="IA78" s="1313"/>
      <c r="IB78" s="1313"/>
      <c r="IC78" s="1313"/>
      <c r="ID78" s="1313"/>
      <c r="IE78" s="1313"/>
      <c r="IF78" s="1313"/>
      <c r="IG78" s="1313"/>
      <c r="IH78" s="1313"/>
      <c r="II78" s="1313"/>
      <c r="IJ78" s="1313"/>
      <c r="IK78" s="1313"/>
      <c r="IL78" s="1313"/>
      <c r="IM78" s="1313"/>
      <c r="IN78" s="1313"/>
      <c r="IO78" s="1313"/>
      <c r="IP78" s="1313"/>
      <c r="IQ78" s="1313"/>
      <c r="IR78" s="1313"/>
      <c r="IS78" s="1313"/>
      <c r="IT78" s="1313"/>
      <c r="IU78" s="1313"/>
      <c r="IV78" s="1313"/>
    </row>
    <row r="79" spans="1:256" ht="25.5">
      <c r="A79" s="1332" t="s">
        <v>2011</v>
      </c>
      <c r="B79" s="1333" t="s">
        <v>2169</v>
      </c>
      <c r="C79" s="1334"/>
      <c r="D79" s="1335">
        <f>D80+D98</f>
        <v>210000</v>
      </c>
      <c r="E79" s="1335">
        <f t="shared" ref="E79:N79" si="37">E80+E98</f>
        <v>8.5452402462922112</v>
      </c>
      <c r="F79" s="1335">
        <f t="shared" si="37"/>
        <v>81022.070687673608</v>
      </c>
      <c r="G79" s="1335">
        <f t="shared" si="37"/>
        <v>128977.92931232639</v>
      </c>
      <c r="H79" s="1335">
        <f t="shared" si="37"/>
        <v>0</v>
      </c>
      <c r="I79" s="1335">
        <f t="shared" si="37"/>
        <v>128977.92931232639</v>
      </c>
      <c r="J79" s="1335">
        <f t="shared" si="37"/>
        <v>1.8000000000000005</v>
      </c>
      <c r="K79" s="1335">
        <f t="shared" si="37"/>
        <v>12.199999999999996</v>
      </c>
      <c r="L79" s="1512">
        <f t="shared" si="37"/>
        <v>12897.792931232638</v>
      </c>
      <c r="M79" s="1513">
        <f t="shared" si="37"/>
        <v>88166.900139882055</v>
      </c>
      <c r="N79" s="1512">
        <f t="shared" si="37"/>
        <v>27913.236241211689</v>
      </c>
      <c r="O79" s="1337" t="s">
        <v>2170</v>
      </c>
    </row>
    <row r="80" spans="1:256" ht="31.5">
      <c r="A80" s="1269" t="s">
        <v>33</v>
      </c>
      <c r="B80" s="1272" t="s">
        <v>2150</v>
      </c>
      <c r="C80" s="1376"/>
      <c r="D80" s="1377">
        <f>SUM(D81:D97)</f>
        <v>160000</v>
      </c>
      <c r="E80" s="1396">
        <f t="shared" ref="E80:N80" si="38">SUM(E81:E97)</f>
        <v>8.5452402462922112</v>
      </c>
      <c r="F80" s="1396">
        <f t="shared" si="38"/>
        <v>81022.070687673608</v>
      </c>
      <c r="G80" s="1396">
        <f t="shared" si="38"/>
        <v>78977.929312326392</v>
      </c>
      <c r="H80" s="1396">
        <f t="shared" si="38"/>
        <v>0</v>
      </c>
      <c r="I80" s="1396">
        <f t="shared" si="38"/>
        <v>78977.929312326392</v>
      </c>
      <c r="J80" s="1396">
        <f t="shared" si="38"/>
        <v>1.7000000000000004</v>
      </c>
      <c r="K80" s="1396">
        <f t="shared" si="38"/>
        <v>11.499999999999996</v>
      </c>
      <c r="L80" s="1523">
        <f t="shared" si="38"/>
        <v>7897.7929312326387</v>
      </c>
      <c r="M80" s="1524">
        <f t="shared" si="38"/>
        <v>53166.900139882047</v>
      </c>
      <c r="N80" s="1523">
        <f t="shared" si="38"/>
        <v>17913.236241211689</v>
      </c>
      <c r="O80" s="1397"/>
      <c r="P80" s="1313"/>
      <c r="Q80" s="1313"/>
      <c r="R80" s="1313"/>
      <c r="S80" s="1313"/>
      <c r="T80" s="1313"/>
      <c r="U80" s="1313"/>
      <c r="V80" s="1313"/>
      <c r="W80" s="1313"/>
      <c r="X80" s="1313"/>
      <c r="Y80" s="1313"/>
      <c r="Z80" s="1313"/>
      <c r="AA80" s="1313"/>
      <c r="AB80" s="1313"/>
      <c r="AC80" s="1313"/>
      <c r="AD80" s="1313"/>
      <c r="AE80" s="1313"/>
      <c r="AF80" s="1313"/>
      <c r="AG80" s="1313"/>
      <c r="AH80" s="1313"/>
      <c r="AI80" s="1313"/>
      <c r="AJ80" s="1313"/>
      <c r="AK80" s="1313"/>
      <c r="AL80" s="1313"/>
      <c r="AM80" s="1313"/>
      <c r="AN80" s="1313"/>
      <c r="AO80" s="1313"/>
      <c r="AP80" s="1313"/>
      <c r="AQ80" s="1313"/>
      <c r="AR80" s="1313"/>
      <c r="AS80" s="1313"/>
      <c r="AT80" s="1313"/>
      <c r="AU80" s="1313"/>
      <c r="AV80" s="1313"/>
      <c r="AW80" s="1313"/>
      <c r="AX80" s="1313"/>
      <c r="AY80" s="1313"/>
      <c r="AZ80" s="1313"/>
      <c r="BA80" s="1313"/>
      <c r="BB80" s="1313"/>
      <c r="BC80" s="1313"/>
      <c r="BD80" s="1313"/>
      <c r="BE80" s="1313"/>
      <c r="BF80" s="1313"/>
      <c r="BG80" s="1313"/>
      <c r="BH80" s="1313"/>
      <c r="BI80" s="1313"/>
      <c r="BJ80" s="1313"/>
      <c r="BK80" s="1313"/>
      <c r="BL80" s="1313"/>
      <c r="BM80" s="1313"/>
      <c r="BN80" s="1313"/>
      <c r="BO80" s="1313"/>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c r="DD80" s="1313"/>
      <c r="DE80" s="1313"/>
      <c r="DF80" s="1313"/>
      <c r="DG80" s="1313"/>
      <c r="DH80" s="1313"/>
      <c r="DI80" s="1313"/>
      <c r="DJ80" s="1313"/>
      <c r="DK80" s="1313"/>
      <c r="DL80" s="1313"/>
      <c r="DM80" s="1313"/>
      <c r="DN80" s="1313"/>
      <c r="DO80" s="1313"/>
      <c r="DP80" s="1313"/>
      <c r="DQ80" s="1313"/>
      <c r="DR80" s="1313"/>
      <c r="DS80" s="1313"/>
      <c r="DT80" s="1313"/>
      <c r="DU80" s="1313"/>
      <c r="DV80" s="1313"/>
      <c r="DW80" s="1313"/>
      <c r="DX80" s="1313"/>
      <c r="DY80" s="1313"/>
      <c r="DZ80" s="1313"/>
      <c r="EA80" s="1313"/>
      <c r="EB80" s="1313"/>
      <c r="EC80" s="1313"/>
      <c r="ED80" s="1313"/>
      <c r="EE80" s="1313"/>
      <c r="EF80" s="1313"/>
      <c r="EG80" s="1313"/>
      <c r="EH80" s="1313"/>
      <c r="EI80" s="1313"/>
      <c r="EJ80" s="1313"/>
      <c r="EK80" s="1313"/>
      <c r="EL80" s="1313"/>
      <c r="EM80" s="1313"/>
      <c r="EN80" s="1313"/>
      <c r="EO80" s="1313"/>
      <c r="EP80" s="1313"/>
      <c r="EQ80" s="1313"/>
      <c r="ER80" s="1313"/>
      <c r="ES80" s="1313"/>
      <c r="ET80" s="1313"/>
      <c r="EU80" s="1313"/>
      <c r="EV80" s="1313"/>
      <c r="EW80" s="1313"/>
      <c r="EX80" s="1313"/>
      <c r="EY80" s="1313"/>
      <c r="EZ80" s="1313"/>
      <c r="FA80" s="1313"/>
      <c r="FB80" s="1313"/>
      <c r="FC80" s="1313"/>
      <c r="FD80" s="1313"/>
      <c r="FE80" s="1313"/>
      <c r="FF80" s="1313"/>
      <c r="FG80" s="1313"/>
      <c r="FH80" s="1313"/>
      <c r="FI80" s="1313"/>
      <c r="FJ80" s="1313"/>
      <c r="FK80" s="1313"/>
      <c r="FL80" s="1313"/>
      <c r="FM80" s="1313"/>
      <c r="FN80" s="1313"/>
      <c r="FO80" s="1313"/>
      <c r="FP80" s="1313"/>
      <c r="FQ80" s="1313"/>
      <c r="FR80" s="1313"/>
      <c r="FS80" s="1313"/>
      <c r="FT80" s="1313"/>
      <c r="FU80" s="1313"/>
      <c r="FV80" s="1313"/>
      <c r="FW80" s="1313"/>
      <c r="FX80" s="1313"/>
      <c r="FY80" s="1313"/>
      <c r="FZ80" s="1313"/>
      <c r="GA80" s="1313"/>
      <c r="GB80" s="1313"/>
      <c r="GC80" s="1313"/>
      <c r="GD80" s="1313"/>
      <c r="GE80" s="1313"/>
      <c r="GF80" s="1313"/>
      <c r="GG80" s="1313"/>
      <c r="GH80" s="1313"/>
      <c r="GI80" s="1313"/>
      <c r="GJ80" s="1313"/>
      <c r="GK80" s="1313"/>
      <c r="GL80" s="1313"/>
      <c r="GM80" s="1313"/>
      <c r="GN80" s="1313"/>
      <c r="GO80" s="1313"/>
      <c r="GP80" s="1313"/>
      <c r="GQ80" s="1313"/>
      <c r="GR80" s="1313"/>
      <c r="GS80" s="1313"/>
      <c r="GT80" s="1313"/>
      <c r="GU80" s="1313"/>
      <c r="GV80" s="1313"/>
      <c r="GW80" s="1313"/>
      <c r="GX80" s="1313"/>
      <c r="GY80" s="1313"/>
      <c r="GZ80" s="1313"/>
      <c r="HA80" s="1313"/>
      <c r="HB80" s="1313"/>
      <c r="HC80" s="1313"/>
      <c r="HD80" s="1313"/>
      <c r="HE80" s="1313"/>
      <c r="HF80" s="1313"/>
      <c r="HG80" s="1313"/>
      <c r="HH80" s="1313"/>
      <c r="HI80" s="1313"/>
      <c r="HJ80" s="1313"/>
      <c r="HK80" s="1313"/>
      <c r="HL80" s="1313"/>
      <c r="HM80" s="1313"/>
      <c r="HN80" s="1313"/>
      <c r="HO80" s="1313"/>
      <c r="HP80" s="1313"/>
      <c r="HQ80" s="1313"/>
      <c r="HR80" s="1313"/>
      <c r="HS80" s="1313"/>
      <c r="HT80" s="1313"/>
      <c r="HU80" s="1313"/>
      <c r="HV80" s="1313"/>
      <c r="HW80" s="1313"/>
      <c r="HX80" s="1313"/>
      <c r="HY80" s="1313"/>
      <c r="HZ80" s="1313"/>
      <c r="IA80" s="1313"/>
      <c r="IB80" s="1313"/>
      <c r="IC80" s="1313"/>
      <c r="ID80" s="1313"/>
      <c r="IE80" s="1313"/>
      <c r="IF80" s="1313"/>
      <c r="IG80" s="1313"/>
      <c r="IH80" s="1313"/>
      <c r="II80" s="1313"/>
      <c r="IJ80" s="1313"/>
      <c r="IK80" s="1313"/>
      <c r="IL80" s="1313"/>
      <c r="IM80" s="1313"/>
      <c r="IN80" s="1313"/>
      <c r="IO80" s="1313"/>
      <c r="IP80" s="1313"/>
      <c r="IQ80" s="1313"/>
      <c r="IR80" s="1313"/>
      <c r="IS80" s="1313"/>
      <c r="IT80" s="1313"/>
      <c r="IU80" s="1313"/>
      <c r="IV80" s="1313"/>
    </row>
    <row r="81" spans="1:256" ht="47.25">
      <c r="A81" s="1398">
        <v>1</v>
      </c>
      <c r="B81" s="1399" t="s">
        <v>2171</v>
      </c>
      <c r="C81" s="1340" t="s">
        <v>2075</v>
      </c>
      <c r="D81" s="1385">
        <v>25000</v>
      </c>
      <c r="E81" s="1342">
        <v>0.5</v>
      </c>
      <c r="F81" s="1343">
        <f t="shared" ref="F81:F99" si="39">D81*E81</f>
        <v>12500</v>
      </c>
      <c r="G81" s="1343">
        <f t="shared" ref="G81:G99" si="40">D81-F81</f>
        <v>12500</v>
      </c>
      <c r="H81" s="1344"/>
      <c r="I81" s="1343">
        <f t="shared" ref="I81:I99" si="41">G81-G81*H81</f>
        <v>12500</v>
      </c>
      <c r="J81" s="1344">
        <v>0.1</v>
      </c>
      <c r="K81" s="1342">
        <v>0.7</v>
      </c>
      <c r="L81" s="1514">
        <f t="shared" ref="L81:L92" si="42">I81*J81</f>
        <v>1250</v>
      </c>
      <c r="M81" s="1517">
        <f t="shared" ref="M81:M92" si="43">I81*K81</f>
        <v>8750</v>
      </c>
      <c r="N81" s="1516">
        <f t="shared" ref="N81:N92" si="44">I81-L81-M81</f>
        <v>2500</v>
      </c>
      <c r="O81" s="1372"/>
    </row>
    <row r="82" spans="1:256" ht="31.5">
      <c r="A82" s="1398">
        <v>2</v>
      </c>
      <c r="B82" s="1399" t="s">
        <v>2172</v>
      </c>
      <c r="C82" s="1340" t="s">
        <v>2075</v>
      </c>
      <c r="D82" s="1385">
        <v>25000</v>
      </c>
      <c r="E82" s="1342">
        <v>0.5</v>
      </c>
      <c r="F82" s="1343">
        <f t="shared" si="39"/>
        <v>12500</v>
      </c>
      <c r="G82" s="1343">
        <f t="shared" si="40"/>
        <v>12500</v>
      </c>
      <c r="H82" s="1344"/>
      <c r="I82" s="1343">
        <f t="shared" si="41"/>
        <v>12500</v>
      </c>
      <c r="J82" s="1344">
        <v>0.1</v>
      </c>
      <c r="K82" s="1342">
        <v>0.7</v>
      </c>
      <c r="L82" s="1514">
        <f t="shared" si="42"/>
        <v>1250</v>
      </c>
      <c r="M82" s="1517">
        <f t="shared" si="43"/>
        <v>8750</v>
      </c>
      <c r="N82" s="1516">
        <f t="shared" si="44"/>
        <v>2500</v>
      </c>
      <c r="O82" s="1372"/>
    </row>
    <row r="83" spans="1:256" ht="47.25">
      <c r="A83" s="1398">
        <v>3</v>
      </c>
      <c r="B83" s="1399" t="s">
        <v>2173</v>
      </c>
      <c r="C83" s="1340" t="s">
        <v>2075</v>
      </c>
      <c r="D83" s="1385">
        <v>20000</v>
      </c>
      <c r="E83" s="1342">
        <v>0.57300022920009164</v>
      </c>
      <c r="F83" s="1343">
        <f t="shared" si="39"/>
        <v>11460.004584001832</v>
      </c>
      <c r="G83" s="1343">
        <f t="shared" si="40"/>
        <v>8539.995415998168</v>
      </c>
      <c r="H83" s="1344"/>
      <c r="I83" s="1343">
        <f t="shared" si="41"/>
        <v>8539.995415998168</v>
      </c>
      <c r="J83" s="1344">
        <v>0.1</v>
      </c>
      <c r="K83" s="1342">
        <v>0.6</v>
      </c>
      <c r="L83" s="1514">
        <f t="shared" si="42"/>
        <v>853.99954159981689</v>
      </c>
      <c r="M83" s="1517">
        <f t="shared" si="43"/>
        <v>5123.9972495989005</v>
      </c>
      <c r="N83" s="1516">
        <f t="shared" si="44"/>
        <v>2561.9986247994511</v>
      </c>
      <c r="O83" s="1372"/>
    </row>
    <row r="84" spans="1:256" ht="31.5">
      <c r="A84" s="1398">
        <v>4</v>
      </c>
      <c r="B84" s="1399" t="s">
        <v>2174</v>
      </c>
      <c r="C84" s="1340" t="s">
        <v>2075</v>
      </c>
      <c r="D84" s="1385">
        <v>15000</v>
      </c>
      <c r="E84" s="1342">
        <v>0.49766558089033658</v>
      </c>
      <c r="F84" s="1343">
        <f t="shared" si="39"/>
        <v>7464.9837133550491</v>
      </c>
      <c r="G84" s="1343">
        <f t="shared" si="40"/>
        <v>7535.0162866449509</v>
      </c>
      <c r="H84" s="1344"/>
      <c r="I84" s="1343">
        <f t="shared" si="41"/>
        <v>7535.0162866449509</v>
      </c>
      <c r="J84" s="1344">
        <v>0.1</v>
      </c>
      <c r="K84" s="1342">
        <v>0.6</v>
      </c>
      <c r="L84" s="1514">
        <f t="shared" si="42"/>
        <v>753.50162866449512</v>
      </c>
      <c r="M84" s="1517">
        <f t="shared" si="43"/>
        <v>4521.00977198697</v>
      </c>
      <c r="N84" s="1516">
        <f t="shared" si="44"/>
        <v>2260.5048859934859</v>
      </c>
      <c r="O84" s="1372"/>
    </row>
    <row r="85" spans="1:256" ht="47.25">
      <c r="A85" s="1398">
        <v>5</v>
      </c>
      <c r="B85" s="1399" t="s">
        <v>2175</v>
      </c>
      <c r="C85" s="1340" t="s">
        <v>2075</v>
      </c>
      <c r="D85" s="1385">
        <v>10000</v>
      </c>
      <c r="E85" s="1342">
        <v>0.50134217067108533</v>
      </c>
      <c r="F85" s="1343">
        <f t="shared" si="39"/>
        <v>5013.421706710853</v>
      </c>
      <c r="G85" s="1343">
        <f t="shared" si="40"/>
        <v>4986.578293289147</v>
      </c>
      <c r="H85" s="1344"/>
      <c r="I85" s="1343">
        <f t="shared" si="41"/>
        <v>4986.578293289147</v>
      </c>
      <c r="J85" s="1344">
        <v>0.1</v>
      </c>
      <c r="K85" s="1342">
        <v>0.7</v>
      </c>
      <c r="L85" s="1514">
        <f t="shared" si="42"/>
        <v>498.65782932891472</v>
      </c>
      <c r="M85" s="1517">
        <f t="shared" si="43"/>
        <v>3490.6048053024028</v>
      </c>
      <c r="N85" s="1516">
        <f t="shared" si="44"/>
        <v>997.31565865782932</v>
      </c>
      <c r="O85" s="1372"/>
    </row>
    <row r="86" spans="1:256" ht="47.25">
      <c r="A86" s="1398">
        <v>6</v>
      </c>
      <c r="B86" s="1399" t="s">
        <v>2176</v>
      </c>
      <c r="C86" s="1340" t="s">
        <v>2075</v>
      </c>
      <c r="D86" s="1385">
        <v>12000</v>
      </c>
      <c r="E86" s="1342">
        <v>0.49295774647887325</v>
      </c>
      <c r="F86" s="1343">
        <f t="shared" si="39"/>
        <v>5915.4929577464791</v>
      </c>
      <c r="G86" s="1343">
        <f t="shared" si="40"/>
        <v>6084.5070422535209</v>
      </c>
      <c r="H86" s="1344"/>
      <c r="I86" s="1343">
        <f t="shared" si="41"/>
        <v>6084.5070422535209</v>
      </c>
      <c r="J86" s="1344">
        <v>0.1</v>
      </c>
      <c r="K86" s="1342">
        <v>0.6</v>
      </c>
      <c r="L86" s="1514">
        <f t="shared" si="42"/>
        <v>608.45070422535207</v>
      </c>
      <c r="M86" s="1517">
        <f t="shared" si="43"/>
        <v>3650.7042253521126</v>
      </c>
      <c r="N86" s="1516">
        <f t="shared" si="44"/>
        <v>1825.3521126760565</v>
      </c>
      <c r="O86" s="1372"/>
    </row>
    <row r="87" spans="1:256" ht="47.25">
      <c r="A87" s="1398">
        <v>7</v>
      </c>
      <c r="B87" s="1399" t="s">
        <v>2177</v>
      </c>
      <c r="C87" s="1340" t="s">
        <v>2075</v>
      </c>
      <c r="D87" s="1385">
        <v>1000</v>
      </c>
      <c r="E87" s="1342">
        <v>0.50135501355013545</v>
      </c>
      <c r="F87" s="1343">
        <f t="shared" si="39"/>
        <v>501.35501355013548</v>
      </c>
      <c r="G87" s="1343">
        <f t="shared" si="40"/>
        <v>498.64498644986452</v>
      </c>
      <c r="H87" s="1344"/>
      <c r="I87" s="1343">
        <f t="shared" si="41"/>
        <v>498.64498644986452</v>
      </c>
      <c r="J87" s="1344">
        <v>0.1</v>
      </c>
      <c r="K87" s="1342">
        <v>0.7</v>
      </c>
      <c r="L87" s="1514">
        <f t="shared" si="42"/>
        <v>49.864498644986455</v>
      </c>
      <c r="M87" s="1517">
        <f t="shared" si="43"/>
        <v>349.05149051490514</v>
      </c>
      <c r="N87" s="1516">
        <f t="shared" si="44"/>
        <v>99.728997289972938</v>
      </c>
      <c r="O87" s="1372"/>
    </row>
    <row r="88" spans="1:256" ht="31.5">
      <c r="A88" s="1398">
        <v>8</v>
      </c>
      <c r="B88" s="1399" t="s">
        <v>2178</v>
      </c>
      <c r="C88" s="1340" t="s">
        <v>2075</v>
      </c>
      <c r="D88" s="1385">
        <v>5000</v>
      </c>
      <c r="E88" s="1342">
        <v>0.52631578947368418</v>
      </c>
      <c r="F88" s="1343">
        <f t="shared" si="39"/>
        <v>2631.5789473684208</v>
      </c>
      <c r="G88" s="1343">
        <f t="shared" si="40"/>
        <v>2368.4210526315792</v>
      </c>
      <c r="H88" s="1344"/>
      <c r="I88" s="1343">
        <f t="shared" si="41"/>
        <v>2368.4210526315792</v>
      </c>
      <c r="J88" s="1344">
        <v>0.1</v>
      </c>
      <c r="K88" s="1342">
        <v>0.8</v>
      </c>
      <c r="L88" s="1514">
        <f t="shared" si="42"/>
        <v>236.84210526315792</v>
      </c>
      <c r="M88" s="1517">
        <f t="shared" si="43"/>
        <v>1894.7368421052633</v>
      </c>
      <c r="N88" s="1516">
        <f t="shared" si="44"/>
        <v>236.84210526315792</v>
      </c>
      <c r="O88" s="1372"/>
    </row>
    <row r="89" spans="1:256" ht="63">
      <c r="A89" s="1398">
        <v>9</v>
      </c>
      <c r="B89" s="1399" t="s">
        <v>2179</v>
      </c>
      <c r="C89" s="1340" t="s">
        <v>2075</v>
      </c>
      <c r="D89" s="1385">
        <v>1000</v>
      </c>
      <c r="E89" s="1342">
        <v>0.52631578947368418</v>
      </c>
      <c r="F89" s="1343">
        <f t="shared" si="39"/>
        <v>526.31578947368416</v>
      </c>
      <c r="G89" s="1343">
        <f t="shared" si="40"/>
        <v>473.68421052631584</v>
      </c>
      <c r="H89" s="1344"/>
      <c r="I89" s="1343">
        <f t="shared" si="41"/>
        <v>473.68421052631584</v>
      </c>
      <c r="J89" s="1344">
        <v>0.1</v>
      </c>
      <c r="K89" s="1342">
        <v>0.6</v>
      </c>
      <c r="L89" s="1514">
        <f t="shared" si="42"/>
        <v>47.368421052631589</v>
      </c>
      <c r="M89" s="1517">
        <f t="shared" si="43"/>
        <v>284.21052631578948</v>
      </c>
      <c r="N89" s="1516">
        <f t="shared" si="44"/>
        <v>142.1052631578948</v>
      </c>
      <c r="O89" s="1372"/>
    </row>
    <row r="90" spans="1:256" ht="47.25">
      <c r="A90" s="1398">
        <v>10</v>
      </c>
      <c r="B90" s="1399" t="s">
        <v>2180</v>
      </c>
      <c r="C90" s="1340" t="s">
        <v>2075</v>
      </c>
      <c r="D90" s="1385">
        <v>7000</v>
      </c>
      <c r="E90" s="1342">
        <v>0.5</v>
      </c>
      <c r="F90" s="1343">
        <f t="shared" si="39"/>
        <v>3500</v>
      </c>
      <c r="G90" s="1343">
        <f t="shared" si="40"/>
        <v>3500</v>
      </c>
      <c r="H90" s="1344"/>
      <c r="I90" s="1343">
        <f t="shared" si="41"/>
        <v>3500</v>
      </c>
      <c r="J90" s="1344">
        <v>0.1</v>
      </c>
      <c r="K90" s="1342">
        <v>0.7</v>
      </c>
      <c r="L90" s="1514">
        <f t="shared" si="42"/>
        <v>350</v>
      </c>
      <c r="M90" s="1517">
        <f t="shared" si="43"/>
        <v>2450</v>
      </c>
      <c r="N90" s="1516">
        <f t="shared" si="44"/>
        <v>700</v>
      </c>
      <c r="O90" s="1372"/>
    </row>
    <row r="91" spans="1:256" ht="47.25">
      <c r="A91" s="1398">
        <v>11</v>
      </c>
      <c r="B91" s="1399" t="s">
        <v>2181</v>
      </c>
      <c r="C91" s="1340" t="s">
        <v>2075</v>
      </c>
      <c r="D91" s="1385">
        <v>5000</v>
      </c>
      <c r="E91" s="1342">
        <v>0.51161538461538458</v>
      </c>
      <c r="F91" s="1343">
        <f t="shared" si="39"/>
        <v>2558.0769230769229</v>
      </c>
      <c r="G91" s="1343">
        <f t="shared" si="40"/>
        <v>2441.9230769230771</v>
      </c>
      <c r="H91" s="1344"/>
      <c r="I91" s="1343">
        <f t="shared" si="41"/>
        <v>2441.9230769230771</v>
      </c>
      <c r="J91" s="1344">
        <v>0.1</v>
      </c>
      <c r="K91" s="1342">
        <v>0.6</v>
      </c>
      <c r="L91" s="1514">
        <f t="shared" si="42"/>
        <v>244.19230769230774</v>
      </c>
      <c r="M91" s="1517">
        <f t="shared" si="43"/>
        <v>1465.1538461538462</v>
      </c>
      <c r="N91" s="1516">
        <f t="shared" si="44"/>
        <v>732.57692307692332</v>
      </c>
      <c r="O91" s="1372"/>
    </row>
    <row r="92" spans="1:256" ht="63">
      <c r="A92" s="1398">
        <v>12</v>
      </c>
      <c r="B92" s="1399" t="s">
        <v>2182</v>
      </c>
      <c r="C92" s="1340" t="s">
        <v>2075</v>
      </c>
      <c r="D92" s="1385">
        <v>3000</v>
      </c>
      <c r="E92" s="1342">
        <v>0.49188524590163935</v>
      </c>
      <c r="F92" s="1343">
        <f t="shared" si="39"/>
        <v>1475.655737704918</v>
      </c>
      <c r="G92" s="1343">
        <f t="shared" si="40"/>
        <v>1524.344262295082</v>
      </c>
      <c r="H92" s="1344"/>
      <c r="I92" s="1343">
        <f t="shared" si="41"/>
        <v>1524.344262295082</v>
      </c>
      <c r="J92" s="1344">
        <v>0.1</v>
      </c>
      <c r="K92" s="1342">
        <v>0.6</v>
      </c>
      <c r="L92" s="1514">
        <f t="shared" si="42"/>
        <v>152.4344262295082</v>
      </c>
      <c r="M92" s="1517">
        <f t="shared" si="43"/>
        <v>914.60655737704917</v>
      </c>
      <c r="N92" s="1516">
        <f t="shared" si="44"/>
        <v>457.30327868852453</v>
      </c>
      <c r="O92" s="1372"/>
    </row>
    <row r="93" spans="1:256" ht="47.25">
      <c r="A93" s="1398">
        <v>13</v>
      </c>
      <c r="B93" s="1399" t="s">
        <v>2183</v>
      </c>
      <c r="C93" s="1340" t="s">
        <v>2075</v>
      </c>
      <c r="D93" s="1385">
        <v>6000</v>
      </c>
      <c r="E93" s="1342">
        <v>0.50008333333333332</v>
      </c>
      <c r="F93" s="1343">
        <f t="shared" si="39"/>
        <v>3000.5</v>
      </c>
      <c r="G93" s="1343">
        <f t="shared" si="40"/>
        <v>2999.5</v>
      </c>
      <c r="H93" s="1344"/>
      <c r="I93" s="1343">
        <f t="shared" si="41"/>
        <v>2999.5</v>
      </c>
      <c r="J93" s="1344">
        <v>0.1</v>
      </c>
      <c r="K93" s="1342">
        <v>0.7</v>
      </c>
      <c r="L93" s="1514">
        <f>I93*J93</f>
        <v>299.95</v>
      </c>
      <c r="M93" s="1517">
        <f>I93*K93</f>
        <v>2099.65</v>
      </c>
      <c r="N93" s="1516">
        <f>I93-L93-M93</f>
        <v>599.90000000000009</v>
      </c>
      <c r="O93" s="1372"/>
      <c r="P93" s="1313"/>
      <c r="Q93" s="1313"/>
      <c r="R93" s="1313"/>
      <c r="S93" s="1313"/>
      <c r="T93" s="1313"/>
      <c r="U93" s="1313"/>
      <c r="V93" s="1313"/>
      <c r="W93" s="1313"/>
      <c r="X93" s="1313"/>
      <c r="Y93" s="1313"/>
      <c r="Z93" s="1313"/>
      <c r="AA93" s="1313"/>
      <c r="AB93" s="1313"/>
      <c r="AC93" s="1313"/>
      <c r="AD93" s="1313"/>
      <c r="AE93" s="1313"/>
      <c r="AF93" s="1313"/>
      <c r="AG93" s="1313"/>
      <c r="AH93" s="1313"/>
      <c r="AI93" s="1313"/>
      <c r="AJ93" s="1313"/>
      <c r="AK93" s="1313"/>
      <c r="AL93" s="1313"/>
      <c r="AM93" s="1313"/>
      <c r="AN93" s="1313"/>
      <c r="AO93" s="1313"/>
      <c r="AP93" s="1313"/>
      <c r="AQ93" s="1313"/>
      <c r="AR93" s="1313"/>
      <c r="AS93" s="1313"/>
      <c r="AT93" s="1313"/>
      <c r="AU93" s="1313"/>
      <c r="AV93" s="1313"/>
      <c r="AW93" s="1313"/>
      <c r="AX93" s="1313"/>
      <c r="AY93" s="1313"/>
      <c r="AZ93" s="1313"/>
      <c r="BA93" s="1313"/>
      <c r="BB93" s="1313"/>
      <c r="BC93" s="1313"/>
      <c r="BD93" s="1313"/>
      <c r="BE93" s="1313"/>
      <c r="BF93" s="1313"/>
      <c r="BG93" s="1313"/>
      <c r="BH93" s="1313"/>
      <c r="BI93" s="1313"/>
      <c r="BJ93" s="1313"/>
      <c r="BK93" s="1313"/>
      <c r="BL93" s="1313"/>
      <c r="BM93" s="1313"/>
      <c r="BN93" s="1313"/>
      <c r="BO93" s="1313"/>
      <c r="BP93" s="1313"/>
      <c r="BQ93" s="1313"/>
      <c r="BR93" s="1313"/>
      <c r="BS93" s="1313"/>
      <c r="BT93" s="1313"/>
      <c r="BU93" s="1313"/>
      <c r="BV93" s="1313"/>
      <c r="BW93" s="1313"/>
      <c r="BX93" s="1313"/>
      <c r="BY93" s="1313"/>
      <c r="BZ93" s="1313"/>
      <c r="CA93" s="1313"/>
      <c r="CB93" s="1313"/>
      <c r="CC93" s="1313"/>
      <c r="CD93" s="1313"/>
      <c r="CE93" s="1313"/>
      <c r="CF93" s="1313"/>
      <c r="CG93" s="1313"/>
      <c r="CH93" s="1313"/>
      <c r="CI93" s="1313"/>
      <c r="CJ93" s="1313"/>
      <c r="CK93" s="1313"/>
      <c r="CL93" s="1313"/>
      <c r="CM93" s="1313"/>
      <c r="CN93" s="1313"/>
      <c r="CO93" s="1313"/>
      <c r="CP93" s="1313"/>
      <c r="CQ93" s="1313"/>
      <c r="CR93" s="1313"/>
      <c r="CS93" s="1313"/>
      <c r="CT93" s="1313"/>
      <c r="CU93" s="1313"/>
      <c r="CV93" s="1313"/>
      <c r="CW93" s="1313"/>
      <c r="CX93" s="1313"/>
      <c r="CY93" s="1313"/>
      <c r="CZ93" s="1313"/>
      <c r="DA93" s="1313"/>
      <c r="DB93" s="1313"/>
      <c r="DC93" s="1313"/>
      <c r="DD93" s="1313"/>
      <c r="DE93" s="1313"/>
      <c r="DF93" s="1313"/>
      <c r="DG93" s="1313"/>
      <c r="DH93" s="1313"/>
      <c r="DI93" s="1313"/>
      <c r="DJ93" s="1313"/>
      <c r="DK93" s="1313"/>
      <c r="DL93" s="1313"/>
      <c r="DM93" s="1313"/>
      <c r="DN93" s="1313"/>
      <c r="DO93" s="1313"/>
      <c r="DP93" s="1313"/>
      <c r="DQ93" s="1313"/>
      <c r="DR93" s="1313"/>
      <c r="DS93" s="1313"/>
      <c r="DT93" s="1313"/>
      <c r="DU93" s="1313"/>
      <c r="DV93" s="1313"/>
      <c r="DW93" s="1313"/>
      <c r="DX93" s="1313"/>
      <c r="DY93" s="1313"/>
      <c r="DZ93" s="1313"/>
      <c r="EA93" s="1313"/>
      <c r="EB93" s="1313"/>
      <c r="EC93" s="1313"/>
      <c r="ED93" s="1313"/>
      <c r="EE93" s="1313"/>
      <c r="EF93" s="1313"/>
      <c r="EG93" s="1313"/>
      <c r="EH93" s="1313"/>
      <c r="EI93" s="1313"/>
      <c r="EJ93" s="1313"/>
      <c r="EK93" s="1313"/>
      <c r="EL93" s="1313"/>
      <c r="EM93" s="1313"/>
      <c r="EN93" s="1313"/>
      <c r="EO93" s="1313"/>
      <c r="EP93" s="1313"/>
      <c r="EQ93" s="1313"/>
      <c r="ER93" s="1313"/>
      <c r="ES93" s="1313"/>
      <c r="ET93" s="1313"/>
      <c r="EU93" s="1313"/>
      <c r="EV93" s="1313"/>
      <c r="EW93" s="1313"/>
      <c r="EX93" s="1313"/>
      <c r="EY93" s="1313"/>
      <c r="EZ93" s="1313"/>
      <c r="FA93" s="1313"/>
      <c r="FB93" s="1313"/>
      <c r="FC93" s="1313"/>
      <c r="FD93" s="1313"/>
      <c r="FE93" s="1313"/>
      <c r="FF93" s="1313"/>
      <c r="FG93" s="1313"/>
      <c r="FH93" s="1313"/>
      <c r="FI93" s="1313"/>
      <c r="FJ93" s="1313"/>
      <c r="FK93" s="1313"/>
      <c r="FL93" s="1313"/>
      <c r="FM93" s="1313"/>
      <c r="FN93" s="1313"/>
      <c r="FO93" s="1313"/>
      <c r="FP93" s="1313"/>
      <c r="FQ93" s="1313"/>
      <c r="FR93" s="1313"/>
      <c r="FS93" s="1313"/>
      <c r="FT93" s="1313"/>
      <c r="FU93" s="1313"/>
      <c r="FV93" s="1313"/>
      <c r="FW93" s="1313"/>
      <c r="FX93" s="1313"/>
      <c r="FY93" s="1313"/>
      <c r="FZ93" s="1313"/>
      <c r="GA93" s="1313"/>
      <c r="GB93" s="1313"/>
      <c r="GC93" s="1313"/>
      <c r="GD93" s="1313"/>
      <c r="GE93" s="1313"/>
      <c r="GF93" s="1313"/>
      <c r="GG93" s="1313"/>
      <c r="GH93" s="1313"/>
      <c r="GI93" s="1313"/>
      <c r="GJ93" s="1313"/>
      <c r="GK93" s="1313"/>
      <c r="GL93" s="1313"/>
      <c r="GM93" s="1313"/>
      <c r="GN93" s="1313"/>
      <c r="GO93" s="1313"/>
      <c r="GP93" s="1313"/>
      <c r="GQ93" s="1313"/>
      <c r="GR93" s="1313"/>
      <c r="GS93" s="1313"/>
      <c r="GT93" s="1313"/>
      <c r="GU93" s="1313"/>
      <c r="GV93" s="1313"/>
      <c r="GW93" s="1313"/>
      <c r="GX93" s="1313"/>
      <c r="GY93" s="1313"/>
      <c r="GZ93" s="1313"/>
      <c r="HA93" s="1313"/>
      <c r="HB93" s="1313"/>
      <c r="HC93" s="1313"/>
      <c r="HD93" s="1313"/>
      <c r="HE93" s="1313"/>
      <c r="HF93" s="1313"/>
      <c r="HG93" s="1313"/>
      <c r="HH93" s="1313"/>
      <c r="HI93" s="1313"/>
      <c r="HJ93" s="1313"/>
      <c r="HK93" s="1313"/>
      <c r="HL93" s="1313"/>
      <c r="HM93" s="1313"/>
      <c r="HN93" s="1313"/>
      <c r="HO93" s="1313"/>
      <c r="HP93" s="1313"/>
      <c r="HQ93" s="1313"/>
      <c r="HR93" s="1313"/>
      <c r="HS93" s="1313"/>
      <c r="HT93" s="1313"/>
      <c r="HU93" s="1313"/>
      <c r="HV93" s="1313"/>
      <c r="HW93" s="1313"/>
      <c r="HX93" s="1313"/>
      <c r="HY93" s="1313"/>
      <c r="HZ93" s="1313"/>
      <c r="IA93" s="1313"/>
      <c r="IB93" s="1313"/>
      <c r="IC93" s="1313"/>
      <c r="ID93" s="1313"/>
      <c r="IE93" s="1313"/>
      <c r="IF93" s="1313"/>
      <c r="IG93" s="1313"/>
      <c r="IH93" s="1313"/>
      <c r="II93" s="1313"/>
      <c r="IJ93" s="1313"/>
      <c r="IK93" s="1313"/>
      <c r="IL93" s="1313"/>
      <c r="IM93" s="1313"/>
      <c r="IN93" s="1313"/>
      <c r="IO93" s="1313"/>
      <c r="IP93" s="1313"/>
      <c r="IQ93" s="1313"/>
      <c r="IR93" s="1313"/>
      <c r="IS93" s="1313"/>
      <c r="IT93" s="1313"/>
      <c r="IU93" s="1313"/>
      <c r="IV93" s="1313"/>
    </row>
    <row r="94" spans="1:256" ht="47.25">
      <c r="A94" s="1398">
        <v>14</v>
      </c>
      <c r="B94" s="1399" t="s">
        <v>2184</v>
      </c>
      <c r="C94" s="1340" t="s">
        <v>2075</v>
      </c>
      <c r="D94" s="1385">
        <v>7000</v>
      </c>
      <c r="E94" s="1342">
        <v>0.43846153846153846</v>
      </c>
      <c r="F94" s="1343">
        <f t="shared" si="39"/>
        <v>3069.2307692307691</v>
      </c>
      <c r="G94" s="1343">
        <f t="shared" si="40"/>
        <v>3930.7692307692309</v>
      </c>
      <c r="H94" s="1344"/>
      <c r="I94" s="1343">
        <f t="shared" si="41"/>
        <v>3930.7692307692309</v>
      </c>
      <c r="J94" s="1344">
        <v>0.1</v>
      </c>
      <c r="K94" s="1342">
        <v>0.7</v>
      </c>
      <c r="L94" s="1514">
        <f>I94*J94</f>
        <v>393.07692307692309</v>
      </c>
      <c r="M94" s="1517">
        <f>I94*K94</f>
        <v>2751.5384615384614</v>
      </c>
      <c r="N94" s="1516">
        <f>I94-L94-M94</f>
        <v>786.15384615384619</v>
      </c>
      <c r="O94" s="1372" t="s">
        <v>2185</v>
      </c>
    </row>
    <row r="95" spans="1:256" ht="31.5">
      <c r="A95" s="1398">
        <v>15</v>
      </c>
      <c r="B95" s="1399" t="s">
        <v>2186</v>
      </c>
      <c r="C95" s="1340" t="s">
        <v>2075</v>
      </c>
      <c r="D95" s="1385">
        <v>6000</v>
      </c>
      <c r="E95" s="1342">
        <v>0.49090909090909091</v>
      </c>
      <c r="F95" s="1343">
        <f t="shared" si="39"/>
        <v>2945.4545454545455</v>
      </c>
      <c r="G95" s="1343">
        <f t="shared" si="40"/>
        <v>3054.5454545454545</v>
      </c>
      <c r="H95" s="1344"/>
      <c r="I95" s="1343">
        <f t="shared" si="41"/>
        <v>3054.5454545454545</v>
      </c>
      <c r="J95" s="1344">
        <v>0.1</v>
      </c>
      <c r="K95" s="1342">
        <v>0.8</v>
      </c>
      <c r="L95" s="1514">
        <f>I95*J95</f>
        <v>305.45454545454544</v>
      </c>
      <c r="M95" s="1517">
        <f>I95*K95</f>
        <v>2443.6363636363635</v>
      </c>
      <c r="N95" s="1516">
        <f>I95-L95-M95</f>
        <v>305.4545454545455</v>
      </c>
      <c r="O95" s="1372">
        <v>2018</v>
      </c>
    </row>
    <row r="96" spans="1:256" ht="47.25">
      <c r="A96" s="1398">
        <v>16</v>
      </c>
      <c r="B96" s="1399" t="s">
        <v>2187</v>
      </c>
      <c r="C96" s="1340" t="s">
        <v>2075</v>
      </c>
      <c r="D96" s="1385">
        <v>6000</v>
      </c>
      <c r="E96" s="1342">
        <v>0.5</v>
      </c>
      <c r="F96" s="1343">
        <f t="shared" si="39"/>
        <v>3000</v>
      </c>
      <c r="G96" s="1343">
        <f t="shared" si="40"/>
        <v>3000</v>
      </c>
      <c r="H96" s="1344"/>
      <c r="I96" s="1343">
        <f t="shared" si="41"/>
        <v>3000</v>
      </c>
      <c r="J96" s="1344">
        <v>0.1</v>
      </c>
      <c r="K96" s="1342">
        <v>0.7</v>
      </c>
      <c r="L96" s="1514">
        <f>I96*J96</f>
        <v>300</v>
      </c>
      <c r="M96" s="1517">
        <f>I96*K96</f>
        <v>2100</v>
      </c>
      <c r="N96" s="1516">
        <f>I96-L96-M96</f>
        <v>600</v>
      </c>
      <c r="O96" s="1372" t="s">
        <v>2138</v>
      </c>
    </row>
    <row r="97" spans="1:15" ht="31.5">
      <c r="A97" s="1398">
        <v>17</v>
      </c>
      <c r="B97" s="1399" t="s">
        <v>2188</v>
      </c>
      <c r="C97" s="1340" t="s">
        <v>2075</v>
      </c>
      <c r="D97" s="1385">
        <v>6000</v>
      </c>
      <c r="E97" s="1342">
        <v>0.49333333333333335</v>
      </c>
      <c r="F97" s="1343">
        <f t="shared" si="39"/>
        <v>2960</v>
      </c>
      <c r="G97" s="1343">
        <f t="shared" si="40"/>
        <v>3040</v>
      </c>
      <c r="H97" s="1344"/>
      <c r="I97" s="1343">
        <f t="shared" si="41"/>
        <v>3040</v>
      </c>
      <c r="J97" s="1344">
        <v>0.1</v>
      </c>
      <c r="K97" s="1342">
        <v>0.7</v>
      </c>
      <c r="L97" s="1514">
        <f>I97*J97</f>
        <v>304</v>
      </c>
      <c r="M97" s="1517">
        <f>I97*K97</f>
        <v>2128</v>
      </c>
      <c r="N97" s="1516">
        <f>I97-L97-M97</f>
        <v>608</v>
      </c>
      <c r="O97" s="1372"/>
    </row>
    <row r="98" spans="1:15" ht="31.5">
      <c r="A98" s="1393" t="s">
        <v>49</v>
      </c>
      <c r="B98" s="1400" t="s">
        <v>2168</v>
      </c>
      <c r="C98" s="1340"/>
      <c r="D98" s="1401">
        <f>SUM(D99)</f>
        <v>50000</v>
      </c>
      <c r="E98" s="1402">
        <f t="shared" ref="E98:N98" si="45">SUM(E99)</f>
        <v>0</v>
      </c>
      <c r="F98" s="1402">
        <f t="shared" si="45"/>
        <v>0</v>
      </c>
      <c r="G98" s="1402">
        <f t="shared" si="45"/>
        <v>50000</v>
      </c>
      <c r="H98" s="1402">
        <f t="shared" si="45"/>
        <v>0</v>
      </c>
      <c r="I98" s="1402">
        <f t="shared" si="45"/>
        <v>50000</v>
      </c>
      <c r="J98" s="1402">
        <f t="shared" si="45"/>
        <v>0.1</v>
      </c>
      <c r="K98" s="1402">
        <f t="shared" si="45"/>
        <v>0.7</v>
      </c>
      <c r="L98" s="1525">
        <f t="shared" si="45"/>
        <v>5000</v>
      </c>
      <c r="M98" s="1526">
        <f t="shared" si="45"/>
        <v>35000</v>
      </c>
      <c r="N98" s="1525">
        <f t="shared" si="45"/>
        <v>10000</v>
      </c>
      <c r="O98" s="1372"/>
    </row>
    <row r="99" spans="1:15" ht="31.5">
      <c r="A99" s="1398"/>
      <c r="B99" s="1403" t="s">
        <v>2189</v>
      </c>
      <c r="C99" s="1340" t="s">
        <v>2075</v>
      </c>
      <c r="D99" s="1341">
        <v>50000</v>
      </c>
      <c r="E99" s="1342"/>
      <c r="F99" s="1343">
        <f t="shared" si="39"/>
        <v>0</v>
      </c>
      <c r="G99" s="1343">
        <f t="shared" si="40"/>
        <v>50000</v>
      </c>
      <c r="H99" s="1344"/>
      <c r="I99" s="1343">
        <f t="shared" si="41"/>
        <v>50000</v>
      </c>
      <c r="J99" s="1344">
        <v>0.1</v>
      </c>
      <c r="K99" s="1342">
        <v>0.7</v>
      </c>
      <c r="L99" s="1514">
        <f>I99*J99</f>
        <v>5000</v>
      </c>
      <c r="M99" s="1517">
        <f>I99*K99</f>
        <v>35000</v>
      </c>
      <c r="N99" s="1516">
        <f>I99-L99-M99</f>
        <v>10000</v>
      </c>
      <c r="O99" s="1372"/>
    </row>
    <row r="100" spans="1:15">
      <c r="A100" s="1332" t="s">
        <v>2011</v>
      </c>
      <c r="B100" s="1333" t="s">
        <v>2190</v>
      </c>
      <c r="C100" s="1334"/>
      <c r="D100" s="1335">
        <f>D101+D117</f>
        <v>100000</v>
      </c>
      <c r="E100" s="1335">
        <f t="shared" ref="E100:N100" si="46">E101+E117</f>
        <v>6.6</v>
      </c>
      <c r="F100" s="1335">
        <f t="shared" si="46"/>
        <v>34100</v>
      </c>
      <c r="G100" s="1335">
        <f t="shared" si="46"/>
        <v>65900</v>
      </c>
      <c r="H100" s="1335">
        <f t="shared" si="46"/>
        <v>0</v>
      </c>
      <c r="I100" s="1335">
        <f t="shared" si="46"/>
        <v>65900</v>
      </c>
      <c r="J100" s="1335">
        <f t="shared" si="46"/>
        <v>2.6</v>
      </c>
      <c r="K100" s="1335">
        <f t="shared" si="46"/>
        <v>18.499999999999996</v>
      </c>
      <c r="L100" s="1512">
        <f t="shared" si="46"/>
        <v>6590</v>
      </c>
      <c r="M100" s="1513">
        <f t="shared" si="46"/>
        <v>45310</v>
      </c>
      <c r="N100" s="1512">
        <f t="shared" si="46"/>
        <v>14000</v>
      </c>
      <c r="O100" s="1337"/>
    </row>
    <row r="101" spans="1:15" ht="31.5">
      <c r="A101" s="1269" t="s">
        <v>33</v>
      </c>
      <c r="B101" s="1272" t="s">
        <v>2150</v>
      </c>
      <c r="C101" s="1340"/>
      <c r="D101" s="1377">
        <f>SUM(D102:D116)</f>
        <v>79000</v>
      </c>
      <c r="E101" s="1396">
        <f t="shared" ref="E101:N101" si="47">SUM(E102:E116)</f>
        <v>6.6</v>
      </c>
      <c r="F101" s="1396">
        <f t="shared" si="47"/>
        <v>34100</v>
      </c>
      <c r="G101" s="1396">
        <f t="shared" si="47"/>
        <v>44900</v>
      </c>
      <c r="H101" s="1396">
        <f t="shared" si="47"/>
        <v>0</v>
      </c>
      <c r="I101" s="1396">
        <f t="shared" si="47"/>
        <v>44900</v>
      </c>
      <c r="J101" s="1396">
        <f t="shared" si="47"/>
        <v>1.5000000000000002</v>
      </c>
      <c r="K101" s="1396">
        <f t="shared" si="47"/>
        <v>10.399999999999997</v>
      </c>
      <c r="L101" s="1523">
        <f t="shared" si="47"/>
        <v>4490</v>
      </c>
      <c r="M101" s="1524">
        <f t="shared" si="47"/>
        <v>30620</v>
      </c>
      <c r="N101" s="1523">
        <f t="shared" si="47"/>
        <v>9790</v>
      </c>
      <c r="O101" s="1372"/>
    </row>
    <row r="102" spans="1:15" ht="31.5">
      <c r="A102" s="1404">
        <v>1</v>
      </c>
      <c r="B102" s="1405" t="s">
        <v>2191</v>
      </c>
      <c r="C102" s="1340" t="s">
        <v>2078</v>
      </c>
      <c r="D102" s="1406">
        <v>6000</v>
      </c>
      <c r="E102" s="1342">
        <v>0.5</v>
      </c>
      <c r="F102" s="1343">
        <f>D102*E102</f>
        <v>3000</v>
      </c>
      <c r="G102" s="1343">
        <f>D102-F102</f>
        <v>3000</v>
      </c>
      <c r="H102" s="1344"/>
      <c r="I102" s="1343">
        <f>G102</f>
        <v>3000</v>
      </c>
      <c r="J102" s="1344">
        <v>0.1</v>
      </c>
      <c r="K102" s="1342">
        <v>0.8</v>
      </c>
      <c r="L102" s="1514">
        <f>I102*J102</f>
        <v>300</v>
      </c>
      <c r="M102" s="1517">
        <f>I102*K102</f>
        <v>2400</v>
      </c>
      <c r="N102" s="1516">
        <f>I102-L102-M102</f>
        <v>300</v>
      </c>
      <c r="O102" s="1274">
        <v>2018</v>
      </c>
    </row>
    <row r="103" spans="1:15" ht="31.5">
      <c r="A103" s="1404">
        <v>2</v>
      </c>
      <c r="B103" s="1405" t="s">
        <v>2192</v>
      </c>
      <c r="C103" s="1340" t="s">
        <v>2078</v>
      </c>
      <c r="D103" s="1406">
        <v>10000</v>
      </c>
      <c r="E103" s="1342">
        <v>0.5</v>
      </c>
      <c r="F103" s="1343">
        <f t="shared" ref="F103:F116" si="48">D103*E103</f>
        <v>5000</v>
      </c>
      <c r="G103" s="1343">
        <f t="shared" ref="G103:G116" si="49">D103-F103</f>
        <v>5000</v>
      </c>
      <c r="H103" s="1344"/>
      <c r="I103" s="1343">
        <f t="shared" ref="I103:I116" si="50">G103</f>
        <v>5000</v>
      </c>
      <c r="J103" s="1344">
        <v>0.1</v>
      </c>
      <c r="K103" s="1342">
        <v>0.7</v>
      </c>
      <c r="L103" s="1514">
        <f t="shared" ref="L103:L116" si="51">I103*J103</f>
        <v>500</v>
      </c>
      <c r="M103" s="1517">
        <f t="shared" ref="M103:M116" si="52">I103*K103</f>
        <v>3500</v>
      </c>
      <c r="N103" s="1516">
        <f t="shared" ref="N103:N116" si="53">I103-L103-M103</f>
        <v>1000</v>
      </c>
      <c r="O103" s="1274">
        <v>2014</v>
      </c>
    </row>
    <row r="104" spans="1:15" ht="15.75">
      <c r="A104" s="1404">
        <v>3</v>
      </c>
      <c r="B104" s="1405" t="s">
        <v>2193</v>
      </c>
      <c r="C104" s="1340" t="s">
        <v>2078</v>
      </c>
      <c r="D104" s="1407">
        <v>8000</v>
      </c>
      <c r="E104" s="1342">
        <v>0.5</v>
      </c>
      <c r="F104" s="1343">
        <f t="shared" si="48"/>
        <v>4000</v>
      </c>
      <c r="G104" s="1343">
        <f t="shared" si="49"/>
        <v>4000</v>
      </c>
      <c r="H104" s="1344"/>
      <c r="I104" s="1343">
        <f t="shared" si="50"/>
        <v>4000</v>
      </c>
      <c r="J104" s="1344">
        <v>0.1</v>
      </c>
      <c r="K104" s="1342">
        <v>0.7</v>
      </c>
      <c r="L104" s="1514">
        <f t="shared" si="51"/>
        <v>400</v>
      </c>
      <c r="M104" s="1517">
        <f t="shared" si="52"/>
        <v>2800</v>
      </c>
      <c r="N104" s="1516">
        <f t="shared" si="53"/>
        <v>800</v>
      </c>
      <c r="O104" s="1274">
        <v>2017</v>
      </c>
    </row>
    <row r="105" spans="1:15" ht="31.5">
      <c r="A105" s="1404">
        <v>4</v>
      </c>
      <c r="B105" s="1403" t="s">
        <v>2194</v>
      </c>
      <c r="C105" s="1340" t="s">
        <v>2078</v>
      </c>
      <c r="D105" s="1407">
        <v>3000</v>
      </c>
      <c r="E105" s="1342">
        <v>0.5</v>
      </c>
      <c r="F105" s="1343">
        <f t="shared" si="48"/>
        <v>1500</v>
      </c>
      <c r="G105" s="1343">
        <f t="shared" si="49"/>
        <v>1500</v>
      </c>
      <c r="H105" s="1344"/>
      <c r="I105" s="1343">
        <f t="shared" si="50"/>
        <v>1500</v>
      </c>
      <c r="J105" s="1344">
        <v>0.1</v>
      </c>
      <c r="K105" s="1342">
        <v>0.7</v>
      </c>
      <c r="L105" s="1514">
        <f t="shared" si="51"/>
        <v>150</v>
      </c>
      <c r="M105" s="1517">
        <f t="shared" si="52"/>
        <v>1050</v>
      </c>
      <c r="N105" s="1516">
        <f t="shared" si="53"/>
        <v>300</v>
      </c>
      <c r="O105" s="1274">
        <v>2017</v>
      </c>
    </row>
    <row r="106" spans="1:15" ht="31.5">
      <c r="A106" s="1404">
        <v>5</v>
      </c>
      <c r="B106" s="1403" t="s">
        <v>2195</v>
      </c>
      <c r="C106" s="1340" t="s">
        <v>2078</v>
      </c>
      <c r="D106" s="1407">
        <v>3000</v>
      </c>
      <c r="E106" s="1342">
        <v>0.5</v>
      </c>
      <c r="F106" s="1343">
        <f t="shared" si="48"/>
        <v>1500</v>
      </c>
      <c r="G106" s="1343">
        <f t="shared" si="49"/>
        <v>1500</v>
      </c>
      <c r="H106" s="1344"/>
      <c r="I106" s="1343">
        <f t="shared" si="50"/>
        <v>1500</v>
      </c>
      <c r="J106" s="1344">
        <v>0.1</v>
      </c>
      <c r="K106" s="1342">
        <v>0.7</v>
      </c>
      <c r="L106" s="1514">
        <f t="shared" si="51"/>
        <v>150</v>
      </c>
      <c r="M106" s="1517">
        <f t="shared" si="52"/>
        <v>1050</v>
      </c>
      <c r="N106" s="1516">
        <f t="shared" si="53"/>
        <v>300</v>
      </c>
      <c r="O106" s="1274">
        <v>2016</v>
      </c>
    </row>
    <row r="107" spans="1:15" ht="31.5">
      <c r="A107" s="1404">
        <v>6</v>
      </c>
      <c r="B107" s="1408" t="s">
        <v>2196</v>
      </c>
      <c r="C107" s="1340" t="s">
        <v>2078</v>
      </c>
      <c r="D107" s="1406">
        <v>6000</v>
      </c>
      <c r="E107" s="1342">
        <v>0.3</v>
      </c>
      <c r="F107" s="1343">
        <f t="shared" si="48"/>
        <v>1800</v>
      </c>
      <c r="G107" s="1343">
        <f t="shared" si="49"/>
        <v>4200</v>
      </c>
      <c r="H107" s="1344"/>
      <c r="I107" s="1343">
        <f t="shared" si="50"/>
        <v>4200</v>
      </c>
      <c r="J107" s="1344">
        <v>0.1</v>
      </c>
      <c r="K107" s="1342">
        <v>0.6</v>
      </c>
      <c r="L107" s="1514">
        <f t="shared" si="51"/>
        <v>420</v>
      </c>
      <c r="M107" s="1517">
        <f t="shared" si="52"/>
        <v>2520</v>
      </c>
      <c r="N107" s="1516">
        <f t="shared" si="53"/>
        <v>1260</v>
      </c>
      <c r="O107" s="1274"/>
    </row>
    <row r="108" spans="1:15" ht="31.5">
      <c r="A108" s="1404">
        <v>7</v>
      </c>
      <c r="B108" s="1408" t="s">
        <v>2197</v>
      </c>
      <c r="C108" s="1340" t="s">
        <v>2078</v>
      </c>
      <c r="D108" s="1406">
        <v>7000</v>
      </c>
      <c r="E108" s="1342">
        <v>0.3</v>
      </c>
      <c r="F108" s="1343">
        <f t="shared" si="48"/>
        <v>2100</v>
      </c>
      <c r="G108" s="1343">
        <f t="shared" si="49"/>
        <v>4900</v>
      </c>
      <c r="H108" s="1344"/>
      <c r="I108" s="1343">
        <f t="shared" si="50"/>
        <v>4900</v>
      </c>
      <c r="J108" s="1344">
        <v>0.1</v>
      </c>
      <c r="K108" s="1342">
        <v>0.6</v>
      </c>
      <c r="L108" s="1514">
        <f t="shared" si="51"/>
        <v>490</v>
      </c>
      <c r="M108" s="1517">
        <f t="shared" si="52"/>
        <v>2940</v>
      </c>
      <c r="N108" s="1516">
        <f t="shared" si="53"/>
        <v>1470</v>
      </c>
      <c r="O108" s="1274"/>
    </row>
    <row r="109" spans="1:15" ht="15.75">
      <c r="A109" s="1404">
        <v>8</v>
      </c>
      <c r="B109" s="1408" t="s">
        <v>2198</v>
      </c>
      <c r="C109" s="1340" t="s">
        <v>2078</v>
      </c>
      <c r="D109" s="1406">
        <v>2000</v>
      </c>
      <c r="E109" s="1342">
        <v>0.5</v>
      </c>
      <c r="F109" s="1343">
        <f t="shared" si="48"/>
        <v>1000</v>
      </c>
      <c r="G109" s="1343">
        <f t="shared" si="49"/>
        <v>1000</v>
      </c>
      <c r="H109" s="1344"/>
      <c r="I109" s="1343">
        <f t="shared" si="50"/>
        <v>1000</v>
      </c>
      <c r="J109" s="1344">
        <v>0.1</v>
      </c>
      <c r="K109" s="1342">
        <v>0.6</v>
      </c>
      <c r="L109" s="1514">
        <f t="shared" si="51"/>
        <v>100</v>
      </c>
      <c r="M109" s="1517">
        <f t="shared" si="52"/>
        <v>600</v>
      </c>
      <c r="N109" s="1516">
        <f t="shared" si="53"/>
        <v>300</v>
      </c>
      <c r="O109" s="1274"/>
    </row>
    <row r="110" spans="1:15" ht="15.75">
      <c r="A110" s="1404">
        <v>9</v>
      </c>
      <c r="B110" s="1408" t="s">
        <v>2199</v>
      </c>
      <c r="C110" s="1340" t="s">
        <v>2078</v>
      </c>
      <c r="D110" s="1407">
        <v>8000</v>
      </c>
      <c r="E110" s="1342">
        <v>0.5</v>
      </c>
      <c r="F110" s="1343">
        <f t="shared" si="48"/>
        <v>4000</v>
      </c>
      <c r="G110" s="1343">
        <f t="shared" si="49"/>
        <v>4000</v>
      </c>
      <c r="H110" s="1344"/>
      <c r="I110" s="1343">
        <f t="shared" si="50"/>
        <v>4000</v>
      </c>
      <c r="J110" s="1344">
        <v>0.1</v>
      </c>
      <c r="K110" s="1342">
        <v>0.8</v>
      </c>
      <c r="L110" s="1514">
        <f t="shared" si="51"/>
        <v>400</v>
      </c>
      <c r="M110" s="1517">
        <f t="shared" si="52"/>
        <v>3200</v>
      </c>
      <c r="N110" s="1516">
        <f t="shared" si="53"/>
        <v>400</v>
      </c>
      <c r="O110" s="1274">
        <v>2018</v>
      </c>
    </row>
    <row r="111" spans="1:15" ht="31.5">
      <c r="A111" s="1404">
        <v>10</v>
      </c>
      <c r="B111" s="1403" t="s">
        <v>2200</v>
      </c>
      <c r="C111" s="1340" t="s">
        <v>2078</v>
      </c>
      <c r="D111" s="1407">
        <v>4000</v>
      </c>
      <c r="E111" s="1342">
        <v>0.5</v>
      </c>
      <c r="F111" s="1343">
        <f t="shared" si="48"/>
        <v>2000</v>
      </c>
      <c r="G111" s="1343">
        <f t="shared" si="49"/>
        <v>2000</v>
      </c>
      <c r="H111" s="1344"/>
      <c r="I111" s="1343">
        <f t="shared" si="50"/>
        <v>2000</v>
      </c>
      <c r="J111" s="1344">
        <v>0.1</v>
      </c>
      <c r="K111" s="1342">
        <v>0.7</v>
      </c>
      <c r="L111" s="1514">
        <f t="shared" si="51"/>
        <v>200</v>
      </c>
      <c r="M111" s="1517">
        <f t="shared" si="52"/>
        <v>1400</v>
      </c>
      <c r="N111" s="1516">
        <f t="shared" si="53"/>
        <v>400</v>
      </c>
      <c r="O111" s="1274">
        <v>2015</v>
      </c>
    </row>
    <row r="112" spans="1:15" ht="31.5">
      <c r="A112" s="1404">
        <v>11</v>
      </c>
      <c r="B112" s="1405" t="s">
        <v>2201</v>
      </c>
      <c r="C112" s="1340" t="s">
        <v>2078</v>
      </c>
      <c r="D112" s="1409">
        <v>4000</v>
      </c>
      <c r="E112" s="1342">
        <v>0.5</v>
      </c>
      <c r="F112" s="1343">
        <f t="shared" si="48"/>
        <v>2000</v>
      </c>
      <c r="G112" s="1343">
        <f t="shared" si="49"/>
        <v>2000</v>
      </c>
      <c r="H112" s="1344"/>
      <c r="I112" s="1343">
        <f t="shared" si="50"/>
        <v>2000</v>
      </c>
      <c r="J112" s="1344">
        <v>0.1</v>
      </c>
      <c r="K112" s="1342">
        <v>0.8</v>
      </c>
      <c r="L112" s="1514">
        <f t="shared" si="51"/>
        <v>200</v>
      </c>
      <c r="M112" s="1517">
        <f t="shared" si="52"/>
        <v>1600</v>
      </c>
      <c r="N112" s="1516">
        <f t="shared" si="53"/>
        <v>200</v>
      </c>
      <c r="O112" s="1274">
        <v>2019</v>
      </c>
    </row>
    <row r="113" spans="1:256" ht="15.75">
      <c r="A113" s="1404">
        <v>12</v>
      </c>
      <c r="B113" s="1405" t="s">
        <v>2202</v>
      </c>
      <c r="C113" s="1340" t="s">
        <v>2078</v>
      </c>
      <c r="D113" s="1406">
        <v>2000</v>
      </c>
      <c r="E113" s="1342">
        <v>0.5</v>
      </c>
      <c r="F113" s="1343">
        <f t="shared" si="48"/>
        <v>1000</v>
      </c>
      <c r="G113" s="1343">
        <f t="shared" si="49"/>
        <v>1000</v>
      </c>
      <c r="H113" s="1344"/>
      <c r="I113" s="1343">
        <f t="shared" si="50"/>
        <v>1000</v>
      </c>
      <c r="J113" s="1344">
        <v>0.1</v>
      </c>
      <c r="K113" s="1342">
        <v>0.7</v>
      </c>
      <c r="L113" s="1514">
        <f t="shared" si="51"/>
        <v>100</v>
      </c>
      <c r="M113" s="1517">
        <f t="shared" si="52"/>
        <v>700</v>
      </c>
      <c r="N113" s="1516">
        <f t="shared" si="53"/>
        <v>200</v>
      </c>
      <c r="O113" s="1274">
        <v>2015</v>
      </c>
    </row>
    <row r="114" spans="1:256" ht="15.75">
      <c r="A114" s="1404">
        <v>13</v>
      </c>
      <c r="B114" s="1403" t="s">
        <v>2203</v>
      </c>
      <c r="C114" s="1340" t="s">
        <v>2078</v>
      </c>
      <c r="D114" s="1407">
        <v>10000</v>
      </c>
      <c r="E114" s="1342">
        <v>0.3</v>
      </c>
      <c r="F114" s="1343">
        <f t="shared" si="48"/>
        <v>3000</v>
      </c>
      <c r="G114" s="1343">
        <f t="shared" si="49"/>
        <v>7000</v>
      </c>
      <c r="H114" s="1344"/>
      <c r="I114" s="1343">
        <f t="shared" si="50"/>
        <v>7000</v>
      </c>
      <c r="J114" s="1344">
        <v>0.1</v>
      </c>
      <c r="K114" s="1342">
        <v>0.6</v>
      </c>
      <c r="L114" s="1514">
        <f t="shared" si="51"/>
        <v>700</v>
      </c>
      <c r="M114" s="1517">
        <f t="shared" si="52"/>
        <v>4200</v>
      </c>
      <c r="N114" s="1516">
        <f t="shared" si="53"/>
        <v>2100</v>
      </c>
      <c r="O114" s="1410"/>
    </row>
    <row r="115" spans="1:256" ht="31.5">
      <c r="A115" s="1404">
        <v>14</v>
      </c>
      <c r="B115" s="1411" t="s">
        <v>2204</v>
      </c>
      <c r="C115" s="1340" t="s">
        <v>2078</v>
      </c>
      <c r="D115" s="1407">
        <v>4000</v>
      </c>
      <c r="E115" s="1342">
        <v>0.4</v>
      </c>
      <c r="F115" s="1343">
        <f t="shared" si="48"/>
        <v>1600</v>
      </c>
      <c r="G115" s="1343">
        <f t="shared" si="49"/>
        <v>2400</v>
      </c>
      <c r="H115" s="1344"/>
      <c r="I115" s="1343">
        <f t="shared" si="50"/>
        <v>2400</v>
      </c>
      <c r="J115" s="1344">
        <v>0.1</v>
      </c>
      <c r="K115" s="1342">
        <v>0.7</v>
      </c>
      <c r="L115" s="1514">
        <f t="shared" si="51"/>
        <v>240</v>
      </c>
      <c r="M115" s="1517">
        <f t="shared" si="52"/>
        <v>1680</v>
      </c>
      <c r="N115" s="1516">
        <f t="shared" si="53"/>
        <v>480</v>
      </c>
      <c r="O115" s="1274">
        <v>2015</v>
      </c>
    </row>
    <row r="116" spans="1:256" ht="31.5">
      <c r="A116" s="1404">
        <v>15</v>
      </c>
      <c r="B116" s="1405" t="s">
        <v>2205</v>
      </c>
      <c r="C116" s="1340" t="s">
        <v>2078</v>
      </c>
      <c r="D116" s="1406">
        <v>2000</v>
      </c>
      <c r="E116" s="1342">
        <v>0.3</v>
      </c>
      <c r="F116" s="1343">
        <f t="shared" si="48"/>
        <v>600</v>
      </c>
      <c r="G116" s="1343">
        <f t="shared" si="49"/>
        <v>1400</v>
      </c>
      <c r="H116" s="1344"/>
      <c r="I116" s="1343">
        <f t="shared" si="50"/>
        <v>1400</v>
      </c>
      <c r="J116" s="1344">
        <v>0.1</v>
      </c>
      <c r="K116" s="1342">
        <v>0.7</v>
      </c>
      <c r="L116" s="1514">
        <f t="shared" si="51"/>
        <v>140</v>
      </c>
      <c r="M116" s="1517">
        <f t="shared" si="52"/>
        <v>979.99999999999989</v>
      </c>
      <c r="N116" s="1516">
        <f t="shared" si="53"/>
        <v>280.00000000000011</v>
      </c>
      <c r="O116" s="1274">
        <v>2016</v>
      </c>
    </row>
    <row r="117" spans="1:256" ht="31.5">
      <c r="A117" s="1393" t="s">
        <v>49</v>
      </c>
      <c r="B117" s="1400" t="s">
        <v>2168</v>
      </c>
      <c r="C117" s="1340"/>
      <c r="D117" s="1412">
        <f>SUM(D118:D128)</f>
        <v>21000</v>
      </c>
      <c r="E117" s="1413">
        <f t="shared" ref="E117:N117" si="54">SUM(E118:E128)</f>
        <v>0</v>
      </c>
      <c r="F117" s="1413">
        <f t="shared" si="54"/>
        <v>0</v>
      </c>
      <c r="G117" s="1413">
        <f t="shared" si="54"/>
        <v>21000</v>
      </c>
      <c r="H117" s="1413">
        <f t="shared" si="54"/>
        <v>0</v>
      </c>
      <c r="I117" s="1413">
        <f t="shared" si="54"/>
        <v>21000</v>
      </c>
      <c r="J117" s="1413">
        <f t="shared" si="54"/>
        <v>1.0999999999999999</v>
      </c>
      <c r="K117" s="1413">
        <f t="shared" si="54"/>
        <v>8.1</v>
      </c>
      <c r="L117" s="1527">
        <f t="shared" si="54"/>
        <v>2100</v>
      </c>
      <c r="M117" s="1528">
        <f t="shared" si="54"/>
        <v>14690</v>
      </c>
      <c r="N117" s="1527">
        <f t="shared" si="54"/>
        <v>4210</v>
      </c>
      <c r="O117" s="1402"/>
    </row>
    <row r="118" spans="1:256" ht="15.75">
      <c r="A118" s="1398">
        <v>1</v>
      </c>
      <c r="B118" s="1403" t="s">
        <v>2206</v>
      </c>
      <c r="C118" s="1340" t="s">
        <v>2078</v>
      </c>
      <c r="D118" s="1385">
        <v>1500</v>
      </c>
      <c r="E118" s="1342"/>
      <c r="F118" s="1343"/>
      <c r="G118" s="1343">
        <f t="shared" ref="G118:G124" si="55">D118-F118</f>
        <v>1500</v>
      </c>
      <c r="H118" s="1344"/>
      <c r="I118" s="1343">
        <f t="shared" ref="I118:I124" si="56">G118-G118*H118</f>
        <v>1500</v>
      </c>
      <c r="J118" s="1344">
        <v>0.1</v>
      </c>
      <c r="K118" s="1342">
        <v>0.8</v>
      </c>
      <c r="L118" s="1514">
        <f t="shared" ref="L118:L128" si="57">I118*J118</f>
        <v>150</v>
      </c>
      <c r="M118" s="1517">
        <f t="shared" ref="M118:M128" si="58">I118*K118</f>
        <v>1200</v>
      </c>
      <c r="N118" s="1516">
        <f t="shared" ref="N118:N128" si="59">I118-L118-M118</f>
        <v>150</v>
      </c>
      <c r="O118" s="1414">
        <v>2018</v>
      </c>
    </row>
    <row r="119" spans="1:256" ht="15.75">
      <c r="A119" s="1398">
        <v>2</v>
      </c>
      <c r="B119" s="1403" t="s">
        <v>2207</v>
      </c>
      <c r="C119" s="1340" t="s">
        <v>2078</v>
      </c>
      <c r="D119" s="1385">
        <v>600</v>
      </c>
      <c r="E119" s="1342"/>
      <c r="F119" s="1343"/>
      <c r="G119" s="1343">
        <f t="shared" si="55"/>
        <v>600</v>
      </c>
      <c r="H119" s="1344"/>
      <c r="I119" s="1343">
        <f t="shared" si="56"/>
        <v>600</v>
      </c>
      <c r="J119" s="1344">
        <v>0.1</v>
      </c>
      <c r="K119" s="1342">
        <v>0.8</v>
      </c>
      <c r="L119" s="1514">
        <f t="shared" si="57"/>
        <v>60</v>
      </c>
      <c r="M119" s="1517">
        <f t="shared" si="58"/>
        <v>480</v>
      </c>
      <c r="N119" s="1516">
        <f t="shared" si="59"/>
        <v>60</v>
      </c>
      <c r="O119" s="1414">
        <v>2018</v>
      </c>
    </row>
    <row r="120" spans="1:256" ht="15.75">
      <c r="A120" s="1398">
        <v>3</v>
      </c>
      <c r="B120" s="1403" t="s">
        <v>2208</v>
      </c>
      <c r="C120" s="1340" t="s">
        <v>2078</v>
      </c>
      <c r="D120" s="1385">
        <v>6000</v>
      </c>
      <c r="E120" s="1342"/>
      <c r="F120" s="1343"/>
      <c r="G120" s="1343">
        <f t="shared" si="55"/>
        <v>6000</v>
      </c>
      <c r="H120" s="1344"/>
      <c r="I120" s="1343">
        <f t="shared" si="56"/>
        <v>6000</v>
      </c>
      <c r="J120" s="1344">
        <v>0.1</v>
      </c>
      <c r="K120" s="1342">
        <v>0.7</v>
      </c>
      <c r="L120" s="1514">
        <f t="shared" si="57"/>
        <v>600</v>
      </c>
      <c r="M120" s="1517">
        <f t="shared" si="58"/>
        <v>4200</v>
      </c>
      <c r="N120" s="1516">
        <f t="shared" si="59"/>
        <v>1200</v>
      </c>
      <c r="O120" s="1274">
        <v>2017</v>
      </c>
    </row>
    <row r="121" spans="1:256" ht="31.5">
      <c r="A121" s="1398">
        <v>4</v>
      </c>
      <c r="B121" s="1405" t="s">
        <v>2209</v>
      </c>
      <c r="C121" s="1340" t="s">
        <v>2078</v>
      </c>
      <c r="D121" s="1406">
        <v>2500</v>
      </c>
      <c r="E121" s="1342"/>
      <c r="F121" s="1343"/>
      <c r="G121" s="1343">
        <f t="shared" si="55"/>
        <v>2500</v>
      </c>
      <c r="H121" s="1344"/>
      <c r="I121" s="1343">
        <f t="shared" si="56"/>
        <v>2500</v>
      </c>
      <c r="J121" s="1344">
        <v>0.1</v>
      </c>
      <c r="K121" s="1342">
        <v>0.7</v>
      </c>
      <c r="L121" s="1514">
        <f t="shared" si="57"/>
        <v>250</v>
      </c>
      <c r="M121" s="1517">
        <f t="shared" si="58"/>
        <v>1750</v>
      </c>
      <c r="N121" s="1516">
        <f t="shared" si="59"/>
        <v>500</v>
      </c>
      <c r="O121" s="1274">
        <v>2014</v>
      </c>
    </row>
    <row r="122" spans="1:256" ht="15.75">
      <c r="A122" s="1398">
        <v>5</v>
      </c>
      <c r="B122" s="1403" t="s">
        <v>2210</v>
      </c>
      <c r="C122" s="1340" t="s">
        <v>2078</v>
      </c>
      <c r="D122" s="1385">
        <v>1100</v>
      </c>
      <c r="E122" s="1342"/>
      <c r="F122" s="1343"/>
      <c r="G122" s="1343">
        <f t="shared" si="55"/>
        <v>1100</v>
      </c>
      <c r="H122" s="1344"/>
      <c r="I122" s="1343">
        <f t="shared" si="56"/>
        <v>1100</v>
      </c>
      <c r="J122" s="1344">
        <v>0.1</v>
      </c>
      <c r="K122" s="1342">
        <v>0.7</v>
      </c>
      <c r="L122" s="1514">
        <f t="shared" si="57"/>
        <v>110</v>
      </c>
      <c r="M122" s="1517">
        <f t="shared" si="58"/>
        <v>770</v>
      </c>
      <c r="N122" s="1516">
        <f t="shared" si="59"/>
        <v>220</v>
      </c>
      <c r="O122" s="1274">
        <v>2016</v>
      </c>
    </row>
    <row r="123" spans="1:256" ht="15.75">
      <c r="A123" s="1398">
        <v>6</v>
      </c>
      <c r="B123" s="1415" t="s">
        <v>2211</v>
      </c>
      <c r="C123" s="1340" t="s">
        <v>2078</v>
      </c>
      <c r="D123" s="1385">
        <v>1000</v>
      </c>
      <c r="E123" s="1342"/>
      <c r="F123" s="1343"/>
      <c r="G123" s="1343">
        <f t="shared" si="55"/>
        <v>1000</v>
      </c>
      <c r="H123" s="1344"/>
      <c r="I123" s="1343">
        <f t="shared" si="56"/>
        <v>1000</v>
      </c>
      <c r="J123" s="1344">
        <v>0.1</v>
      </c>
      <c r="K123" s="1342">
        <v>0.8</v>
      </c>
      <c r="L123" s="1514">
        <f t="shared" si="57"/>
        <v>100</v>
      </c>
      <c r="M123" s="1517">
        <f t="shared" si="58"/>
        <v>800</v>
      </c>
      <c r="N123" s="1516">
        <f t="shared" si="59"/>
        <v>100</v>
      </c>
      <c r="O123" s="1274">
        <v>2022</v>
      </c>
    </row>
    <row r="124" spans="1:256" ht="15.75">
      <c r="A124" s="1398">
        <v>7</v>
      </c>
      <c r="B124" s="1403" t="s">
        <v>2212</v>
      </c>
      <c r="C124" s="1340" t="s">
        <v>2078</v>
      </c>
      <c r="D124" s="1385">
        <v>3500</v>
      </c>
      <c r="E124" s="1342"/>
      <c r="F124" s="1343"/>
      <c r="G124" s="1343">
        <f t="shared" si="55"/>
        <v>3500</v>
      </c>
      <c r="H124" s="1344"/>
      <c r="I124" s="1343">
        <f t="shared" si="56"/>
        <v>3500</v>
      </c>
      <c r="J124" s="1344">
        <v>0.1</v>
      </c>
      <c r="K124" s="1342">
        <v>0.7</v>
      </c>
      <c r="L124" s="1514">
        <f t="shared" si="57"/>
        <v>350</v>
      </c>
      <c r="M124" s="1517">
        <f t="shared" si="58"/>
        <v>2450</v>
      </c>
      <c r="N124" s="1516">
        <f t="shared" si="59"/>
        <v>700</v>
      </c>
      <c r="O124" s="1274">
        <v>2017</v>
      </c>
    </row>
    <row r="125" spans="1:256" ht="15.75">
      <c r="A125" s="1398">
        <v>8</v>
      </c>
      <c r="B125" s="1403" t="s">
        <v>2213</v>
      </c>
      <c r="C125" s="1340" t="s">
        <v>2078</v>
      </c>
      <c r="D125" s="1385">
        <v>1000</v>
      </c>
      <c r="E125" s="1342"/>
      <c r="F125" s="1343">
        <f>D125*E125</f>
        <v>0</v>
      </c>
      <c r="G125" s="1343">
        <f>D125-F125</f>
        <v>1000</v>
      </c>
      <c r="H125" s="1344"/>
      <c r="I125" s="1343">
        <f>G125-G125*H125</f>
        <v>1000</v>
      </c>
      <c r="J125" s="1344">
        <v>0.1</v>
      </c>
      <c r="K125" s="1342">
        <v>0.7</v>
      </c>
      <c r="L125" s="1514">
        <f t="shared" si="57"/>
        <v>100</v>
      </c>
      <c r="M125" s="1517">
        <f t="shared" si="58"/>
        <v>700</v>
      </c>
      <c r="N125" s="1516">
        <f t="shared" si="59"/>
        <v>200</v>
      </c>
      <c r="O125" s="1274">
        <v>2015</v>
      </c>
      <c r="P125" s="1313"/>
      <c r="Q125" s="1313"/>
      <c r="R125" s="1313"/>
      <c r="S125" s="1313"/>
      <c r="T125" s="1313"/>
      <c r="U125" s="1313"/>
      <c r="V125" s="1313"/>
      <c r="W125" s="1313"/>
      <c r="X125" s="1313"/>
      <c r="Y125" s="1313"/>
      <c r="Z125" s="1313"/>
      <c r="AA125" s="1313"/>
      <c r="AB125" s="1313"/>
      <c r="AC125" s="1313"/>
      <c r="AD125" s="1313"/>
      <c r="AE125" s="1313"/>
      <c r="AF125" s="1313"/>
      <c r="AG125" s="1313"/>
      <c r="AH125" s="1313"/>
      <c r="AI125" s="1313"/>
      <c r="AJ125" s="1313"/>
      <c r="AK125" s="1313"/>
      <c r="AL125" s="1313"/>
      <c r="AM125" s="1313"/>
      <c r="AN125" s="1313"/>
      <c r="AO125" s="1313"/>
      <c r="AP125" s="1313"/>
      <c r="AQ125" s="1313"/>
      <c r="AR125" s="1313"/>
      <c r="AS125" s="1313"/>
      <c r="AT125" s="1313"/>
      <c r="AU125" s="1313"/>
      <c r="AV125" s="1313"/>
      <c r="AW125" s="1313"/>
      <c r="AX125" s="1313"/>
      <c r="AY125" s="1313"/>
      <c r="AZ125" s="1313"/>
      <c r="BA125" s="1313"/>
      <c r="BB125" s="1313"/>
      <c r="BC125" s="1313"/>
      <c r="BD125" s="1313"/>
      <c r="BE125" s="1313"/>
      <c r="BF125" s="1313"/>
      <c r="BG125" s="1313"/>
      <c r="BH125" s="1313"/>
      <c r="BI125" s="1313"/>
      <c r="BJ125" s="1313"/>
      <c r="BK125" s="1313"/>
      <c r="BL125" s="1313"/>
      <c r="BM125" s="1313"/>
      <c r="BN125" s="1313"/>
      <c r="BO125" s="1313"/>
      <c r="BP125" s="1313"/>
      <c r="BQ125" s="1313"/>
      <c r="BR125" s="1313"/>
      <c r="BS125" s="1313"/>
      <c r="BT125" s="1313"/>
      <c r="BU125" s="1313"/>
      <c r="BV125" s="1313"/>
      <c r="BW125" s="1313"/>
      <c r="BX125" s="1313"/>
      <c r="BY125" s="1313"/>
      <c r="BZ125" s="1313"/>
      <c r="CA125" s="1313"/>
      <c r="CB125" s="1313"/>
      <c r="CC125" s="1313"/>
      <c r="CD125" s="1313"/>
      <c r="CE125" s="1313"/>
      <c r="CF125" s="1313"/>
      <c r="CG125" s="1313"/>
      <c r="CH125" s="1313"/>
      <c r="CI125" s="1313"/>
      <c r="CJ125" s="1313"/>
      <c r="CK125" s="1313"/>
      <c r="CL125" s="1313"/>
      <c r="CM125" s="1313"/>
      <c r="CN125" s="1313"/>
      <c r="CO125" s="1313"/>
      <c r="CP125" s="1313"/>
      <c r="CQ125" s="1313"/>
      <c r="CR125" s="1313"/>
      <c r="CS125" s="1313"/>
      <c r="CT125" s="1313"/>
      <c r="CU125" s="1313"/>
      <c r="CV125" s="1313"/>
      <c r="CW125" s="1313"/>
      <c r="CX125" s="1313"/>
      <c r="CY125" s="1313"/>
      <c r="CZ125" s="1313"/>
      <c r="DA125" s="1313"/>
      <c r="DB125" s="1313"/>
      <c r="DC125" s="1313"/>
      <c r="DD125" s="1313"/>
      <c r="DE125" s="1313"/>
      <c r="DF125" s="1313"/>
      <c r="DG125" s="1313"/>
      <c r="DH125" s="1313"/>
      <c r="DI125" s="1313"/>
      <c r="DJ125" s="1313"/>
      <c r="DK125" s="1313"/>
      <c r="DL125" s="1313"/>
      <c r="DM125" s="1313"/>
      <c r="DN125" s="1313"/>
      <c r="DO125" s="1313"/>
      <c r="DP125" s="1313"/>
      <c r="DQ125" s="1313"/>
      <c r="DR125" s="1313"/>
      <c r="DS125" s="1313"/>
      <c r="DT125" s="1313"/>
      <c r="DU125" s="1313"/>
      <c r="DV125" s="1313"/>
      <c r="DW125" s="1313"/>
      <c r="DX125" s="1313"/>
      <c r="DY125" s="1313"/>
      <c r="DZ125" s="1313"/>
      <c r="EA125" s="1313"/>
      <c r="EB125" s="1313"/>
      <c r="EC125" s="1313"/>
      <c r="ED125" s="1313"/>
      <c r="EE125" s="1313"/>
      <c r="EF125" s="1313"/>
      <c r="EG125" s="1313"/>
      <c r="EH125" s="1313"/>
      <c r="EI125" s="1313"/>
      <c r="EJ125" s="1313"/>
      <c r="EK125" s="1313"/>
      <c r="EL125" s="1313"/>
      <c r="EM125" s="1313"/>
      <c r="EN125" s="1313"/>
      <c r="EO125" s="1313"/>
      <c r="EP125" s="1313"/>
      <c r="EQ125" s="1313"/>
      <c r="ER125" s="1313"/>
      <c r="ES125" s="1313"/>
      <c r="ET125" s="1313"/>
      <c r="EU125" s="1313"/>
      <c r="EV125" s="1313"/>
      <c r="EW125" s="1313"/>
      <c r="EX125" s="1313"/>
      <c r="EY125" s="1313"/>
      <c r="EZ125" s="1313"/>
      <c r="FA125" s="1313"/>
      <c r="FB125" s="1313"/>
      <c r="FC125" s="1313"/>
      <c r="FD125" s="1313"/>
      <c r="FE125" s="1313"/>
      <c r="FF125" s="1313"/>
      <c r="FG125" s="1313"/>
      <c r="FH125" s="1313"/>
      <c r="FI125" s="1313"/>
      <c r="FJ125" s="1313"/>
      <c r="FK125" s="1313"/>
      <c r="FL125" s="1313"/>
      <c r="FM125" s="1313"/>
      <c r="FN125" s="1313"/>
      <c r="FO125" s="1313"/>
      <c r="FP125" s="1313"/>
      <c r="FQ125" s="1313"/>
      <c r="FR125" s="1313"/>
      <c r="FS125" s="1313"/>
      <c r="FT125" s="1313"/>
      <c r="FU125" s="1313"/>
      <c r="FV125" s="1313"/>
      <c r="FW125" s="1313"/>
      <c r="FX125" s="1313"/>
      <c r="FY125" s="1313"/>
      <c r="FZ125" s="1313"/>
      <c r="GA125" s="1313"/>
      <c r="GB125" s="1313"/>
      <c r="GC125" s="1313"/>
      <c r="GD125" s="1313"/>
      <c r="GE125" s="1313"/>
      <c r="GF125" s="1313"/>
      <c r="GG125" s="1313"/>
      <c r="GH125" s="1313"/>
      <c r="GI125" s="1313"/>
      <c r="GJ125" s="1313"/>
      <c r="GK125" s="1313"/>
      <c r="GL125" s="1313"/>
      <c r="GM125" s="1313"/>
      <c r="GN125" s="1313"/>
      <c r="GO125" s="1313"/>
      <c r="GP125" s="1313"/>
      <c r="GQ125" s="1313"/>
      <c r="GR125" s="1313"/>
      <c r="GS125" s="1313"/>
      <c r="GT125" s="1313"/>
      <c r="GU125" s="1313"/>
      <c r="GV125" s="1313"/>
      <c r="GW125" s="1313"/>
      <c r="GX125" s="1313"/>
      <c r="GY125" s="1313"/>
      <c r="GZ125" s="1313"/>
      <c r="HA125" s="1313"/>
      <c r="HB125" s="1313"/>
      <c r="HC125" s="1313"/>
      <c r="HD125" s="1313"/>
      <c r="HE125" s="1313"/>
      <c r="HF125" s="1313"/>
      <c r="HG125" s="1313"/>
      <c r="HH125" s="1313"/>
      <c r="HI125" s="1313"/>
      <c r="HJ125" s="1313"/>
      <c r="HK125" s="1313"/>
      <c r="HL125" s="1313"/>
      <c r="HM125" s="1313"/>
      <c r="HN125" s="1313"/>
      <c r="HO125" s="1313"/>
      <c r="HP125" s="1313"/>
      <c r="HQ125" s="1313"/>
      <c r="HR125" s="1313"/>
      <c r="HS125" s="1313"/>
      <c r="HT125" s="1313"/>
      <c r="HU125" s="1313"/>
      <c r="HV125" s="1313"/>
      <c r="HW125" s="1313"/>
      <c r="HX125" s="1313"/>
      <c r="HY125" s="1313"/>
      <c r="HZ125" s="1313"/>
      <c r="IA125" s="1313"/>
      <c r="IB125" s="1313"/>
      <c r="IC125" s="1313"/>
      <c r="ID125" s="1313"/>
      <c r="IE125" s="1313"/>
      <c r="IF125" s="1313"/>
      <c r="IG125" s="1313"/>
      <c r="IH125" s="1313"/>
      <c r="II125" s="1313"/>
      <c r="IJ125" s="1313"/>
      <c r="IK125" s="1313"/>
      <c r="IL125" s="1313"/>
      <c r="IM125" s="1313"/>
      <c r="IN125" s="1313"/>
      <c r="IO125" s="1313"/>
      <c r="IP125" s="1313"/>
      <c r="IQ125" s="1313"/>
      <c r="IR125" s="1313"/>
      <c r="IS125" s="1313"/>
      <c r="IT125" s="1313"/>
      <c r="IU125" s="1313"/>
      <c r="IV125" s="1313"/>
    </row>
    <row r="126" spans="1:256" ht="15.75">
      <c r="A126" s="1398">
        <v>9</v>
      </c>
      <c r="B126" s="1403" t="s">
        <v>2214</v>
      </c>
      <c r="C126" s="1340" t="s">
        <v>2078</v>
      </c>
      <c r="D126" s="1385">
        <v>3500</v>
      </c>
      <c r="E126" s="1342"/>
      <c r="F126" s="1343">
        <f>D126*E126</f>
        <v>0</v>
      </c>
      <c r="G126" s="1343">
        <f>D126-F126</f>
        <v>3500</v>
      </c>
      <c r="H126" s="1344"/>
      <c r="I126" s="1343">
        <f>G126-G126*H126</f>
        <v>3500</v>
      </c>
      <c r="J126" s="1344">
        <v>0.1</v>
      </c>
      <c r="K126" s="1342">
        <v>0.6</v>
      </c>
      <c r="L126" s="1514">
        <f t="shared" si="57"/>
        <v>350</v>
      </c>
      <c r="M126" s="1517">
        <f t="shared" si="58"/>
        <v>2100</v>
      </c>
      <c r="N126" s="1516">
        <f t="shared" si="59"/>
        <v>1050</v>
      </c>
      <c r="O126" s="1274"/>
    </row>
    <row r="127" spans="1:256" ht="15.75">
      <c r="A127" s="1398">
        <v>10</v>
      </c>
      <c r="B127" s="1403" t="s">
        <v>2215</v>
      </c>
      <c r="C127" s="1340" t="s">
        <v>2078</v>
      </c>
      <c r="D127" s="1385">
        <v>100</v>
      </c>
      <c r="E127" s="1342"/>
      <c r="F127" s="1343">
        <f>D127*E127</f>
        <v>0</v>
      </c>
      <c r="G127" s="1343">
        <f>D127-F127</f>
        <v>100</v>
      </c>
      <c r="H127" s="1344"/>
      <c r="I127" s="1343">
        <f>G127-G127*H127</f>
        <v>100</v>
      </c>
      <c r="J127" s="1344">
        <v>0.1</v>
      </c>
      <c r="K127" s="1342">
        <v>0.8</v>
      </c>
      <c r="L127" s="1514">
        <f t="shared" si="57"/>
        <v>10</v>
      </c>
      <c r="M127" s="1517">
        <f t="shared" si="58"/>
        <v>80</v>
      </c>
      <c r="N127" s="1516">
        <f t="shared" si="59"/>
        <v>10</v>
      </c>
      <c r="O127" s="1274"/>
    </row>
    <row r="128" spans="1:256" ht="15.75">
      <c r="A128" s="1398">
        <v>11</v>
      </c>
      <c r="B128" s="1403" t="s">
        <v>2216</v>
      </c>
      <c r="C128" s="1340" t="s">
        <v>2078</v>
      </c>
      <c r="D128" s="1385">
        <v>200</v>
      </c>
      <c r="E128" s="1342"/>
      <c r="F128" s="1343">
        <f>D128*E128</f>
        <v>0</v>
      </c>
      <c r="G128" s="1343">
        <f>D128-F128</f>
        <v>200</v>
      </c>
      <c r="H128" s="1344"/>
      <c r="I128" s="1343">
        <f>G128-G128*H128</f>
        <v>200</v>
      </c>
      <c r="J128" s="1344">
        <v>0.1</v>
      </c>
      <c r="K128" s="1342">
        <v>0.8</v>
      </c>
      <c r="L128" s="1514">
        <f t="shared" si="57"/>
        <v>20</v>
      </c>
      <c r="M128" s="1517">
        <f t="shared" si="58"/>
        <v>160</v>
      </c>
      <c r="N128" s="1516">
        <f t="shared" si="59"/>
        <v>20</v>
      </c>
      <c r="O128" s="1274"/>
    </row>
    <row r="129" spans="1:15">
      <c r="A129" s="1332" t="s">
        <v>2011</v>
      </c>
      <c r="B129" s="1333" t="s">
        <v>2217</v>
      </c>
      <c r="C129" s="1334"/>
      <c r="D129" s="1335">
        <f>D130+D148</f>
        <v>100000</v>
      </c>
      <c r="E129" s="1335">
        <f t="shared" ref="E129:N129" si="60">E130+E148</f>
        <v>2.4012434050763822</v>
      </c>
      <c r="F129" s="1335">
        <f t="shared" si="60"/>
        <v>24886.052531605779</v>
      </c>
      <c r="G129" s="1335">
        <f t="shared" si="60"/>
        <v>75113.947468394224</v>
      </c>
      <c r="H129" s="1335">
        <f t="shared" si="60"/>
        <v>0</v>
      </c>
      <c r="I129" s="1335">
        <f t="shared" si="60"/>
        <v>75113.947468394224</v>
      </c>
      <c r="J129" s="1335">
        <f t="shared" si="60"/>
        <v>2.4</v>
      </c>
      <c r="K129" s="1335">
        <f t="shared" si="60"/>
        <v>17.799999999999997</v>
      </c>
      <c r="L129" s="1512">
        <f t="shared" si="60"/>
        <v>7511.3947468394217</v>
      </c>
      <c r="M129" s="1513">
        <f t="shared" si="60"/>
        <v>55729.683048461688</v>
      </c>
      <c r="N129" s="1512">
        <f t="shared" si="60"/>
        <v>11872.86967309311</v>
      </c>
      <c r="O129" s="1337"/>
    </row>
    <row r="130" spans="1:15" ht="31.5">
      <c r="A130" s="1269" t="s">
        <v>33</v>
      </c>
      <c r="B130" s="1272" t="s">
        <v>2150</v>
      </c>
      <c r="C130" s="1340"/>
      <c r="D130" s="1377">
        <f>D131+D139</f>
        <v>85000</v>
      </c>
      <c r="E130" s="1396">
        <f t="shared" ref="E130:N130" si="61">E131+E139</f>
        <v>2.4012434050763822</v>
      </c>
      <c r="F130" s="1396">
        <f t="shared" si="61"/>
        <v>24886.052531605779</v>
      </c>
      <c r="G130" s="1396">
        <f t="shared" si="61"/>
        <v>60113.947468394224</v>
      </c>
      <c r="H130" s="1396">
        <f t="shared" si="61"/>
        <v>0</v>
      </c>
      <c r="I130" s="1396">
        <f t="shared" si="61"/>
        <v>60113.947468394224</v>
      </c>
      <c r="J130" s="1396">
        <f t="shared" si="61"/>
        <v>1.5</v>
      </c>
      <c r="K130" s="1396">
        <f t="shared" si="61"/>
        <v>11.2</v>
      </c>
      <c r="L130" s="1523">
        <f t="shared" si="61"/>
        <v>6011.3947468394217</v>
      </c>
      <c r="M130" s="1524">
        <f t="shared" si="61"/>
        <v>44539.683048461688</v>
      </c>
      <c r="N130" s="1523">
        <f t="shared" si="61"/>
        <v>9562.8696730931097</v>
      </c>
      <c r="O130" s="1372"/>
    </row>
    <row r="131" spans="1:15" ht="15.75">
      <c r="A131" s="1269">
        <v>1</v>
      </c>
      <c r="B131" s="1272" t="s">
        <v>2218</v>
      </c>
      <c r="C131" s="1340"/>
      <c r="D131" s="1377">
        <f>SUM(D132:D138)</f>
        <v>58000</v>
      </c>
      <c r="E131" s="1396">
        <f t="shared" ref="E131:N131" si="62">SUM(E132:E138)</f>
        <v>2.4012434050763822</v>
      </c>
      <c r="F131" s="1396">
        <f t="shared" si="62"/>
        <v>24886.052531605779</v>
      </c>
      <c r="G131" s="1396">
        <f t="shared" si="62"/>
        <v>33113.947468394224</v>
      </c>
      <c r="H131" s="1396">
        <f t="shared" si="62"/>
        <v>0</v>
      </c>
      <c r="I131" s="1396">
        <f t="shared" si="62"/>
        <v>33113.947468394224</v>
      </c>
      <c r="J131" s="1396">
        <f t="shared" si="62"/>
        <v>0.7</v>
      </c>
      <c r="K131" s="1396">
        <f t="shared" si="62"/>
        <v>5.3</v>
      </c>
      <c r="L131" s="1523">
        <f t="shared" si="62"/>
        <v>3311.3947468394222</v>
      </c>
      <c r="M131" s="1524">
        <f t="shared" si="62"/>
        <v>24989.683048461688</v>
      </c>
      <c r="N131" s="1523">
        <f t="shared" si="62"/>
        <v>4812.8696730931097</v>
      </c>
      <c r="O131" s="1372"/>
    </row>
    <row r="132" spans="1:15" ht="31.5">
      <c r="A132" s="1416" t="s">
        <v>169</v>
      </c>
      <c r="B132" s="1417" t="s">
        <v>2219</v>
      </c>
      <c r="C132" s="1340" t="s">
        <v>2079</v>
      </c>
      <c r="D132" s="1418">
        <v>10000</v>
      </c>
      <c r="E132" s="1419">
        <v>0.5</v>
      </c>
      <c r="F132" s="1343">
        <f t="shared" ref="F132:F147" si="63">D132*E132</f>
        <v>5000</v>
      </c>
      <c r="G132" s="1343">
        <f>D132-F132</f>
        <v>5000</v>
      </c>
      <c r="H132" s="1344"/>
      <c r="I132" s="1343">
        <f>G132</f>
        <v>5000</v>
      </c>
      <c r="J132" s="1344">
        <v>0.1</v>
      </c>
      <c r="K132" s="1342">
        <v>0.6</v>
      </c>
      <c r="L132" s="1514">
        <f>J132*I132</f>
        <v>500</v>
      </c>
      <c r="M132" s="1517">
        <f>I132*K132</f>
        <v>3000</v>
      </c>
      <c r="N132" s="1516">
        <f>I132-L132-M132</f>
        <v>1500</v>
      </c>
      <c r="O132" s="1372"/>
    </row>
    <row r="133" spans="1:15" ht="31.5">
      <c r="A133" s="1416" t="s">
        <v>169</v>
      </c>
      <c r="B133" s="1403" t="s">
        <v>2220</v>
      </c>
      <c r="C133" s="1340" t="s">
        <v>2079</v>
      </c>
      <c r="D133" s="1418">
        <v>10000</v>
      </c>
      <c r="E133" s="1419">
        <v>0.49715909090909088</v>
      </c>
      <c r="F133" s="1343">
        <f t="shared" si="63"/>
        <v>4971.590909090909</v>
      </c>
      <c r="G133" s="1343">
        <f t="shared" ref="G133:G147" si="64">D133-F133</f>
        <v>5028.409090909091</v>
      </c>
      <c r="H133" s="1344"/>
      <c r="I133" s="1343">
        <f t="shared" ref="I133:I147" si="65">G133</f>
        <v>5028.409090909091</v>
      </c>
      <c r="J133" s="1344">
        <v>0.1</v>
      </c>
      <c r="K133" s="1342">
        <v>0.8</v>
      </c>
      <c r="L133" s="1514">
        <f t="shared" ref="L133:L138" si="66">J133*I133</f>
        <v>502.84090909090912</v>
      </c>
      <c r="M133" s="1517">
        <f t="shared" ref="M133:M138" si="67">I133*K133</f>
        <v>4022.727272727273</v>
      </c>
      <c r="N133" s="1516">
        <f t="shared" ref="N133:N138" si="68">I133-L133-M133</f>
        <v>502.84090909090901</v>
      </c>
      <c r="O133" s="1372"/>
    </row>
    <row r="134" spans="1:15" ht="31.5">
      <c r="A134" s="1416" t="s">
        <v>169</v>
      </c>
      <c r="B134" s="1403" t="s">
        <v>2221</v>
      </c>
      <c r="C134" s="1340" t="s">
        <v>2079</v>
      </c>
      <c r="D134" s="1418">
        <v>10000</v>
      </c>
      <c r="E134" s="1419">
        <v>0.46875</v>
      </c>
      <c r="F134" s="1343">
        <f t="shared" si="63"/>
        <v>4687.5</v>
      </c>
      <c r="G134" s="1343">
        <f t="shared" si="64"/>
        <v>5312.5</v>
      </c>
      <c r="H134" s="1344"/>
      <c r="I134" s="1343">
        <f t="shared" si="65"/>
        <v>5312.5</v>
      </c>
      <c r="J134" s="1344">
        <v>0.1</v>
      </c>
      <c r="K134" s="1342">
        <v>0.8</v>
      </c>
      <c r="L134" s="1514">
        <f t="shared" si="66"/>
        <v>531.25</v>
      </c>
      <c r="M134" s="1517">
        <f t="shared" si="67"/>
        <v>4250</v>
      </c>
      <c r="N134" s="1516">
        <f t="shared" si="68"/>
        <v>531.25</v>
      </c>
      <c r="O134" s="1372"/>
    </row>
    <row r="135" spans="1:15" ht="31.5">
      <c r="A135" s="1416" t="s">
        <v>169</v>
      </c>
      <c r="B135" s="1403" t="s">
        <v>2222</v>
      </c>
      <c r="C135" s="1340" t="s">
        <v>2079</v>
      </c>
      <c r="D135" s="1418">
        <v>10000</v>
      </c>
      <c r="E135" s="1419">
        <v>0.49852507374631266</v>
      </c>
      <c r="F135" s="1343">
        <f t="shared" si="63"/>
        <v>4985.2507374631268</v>
      </c>
      <c r="G135" s="1343">
        <f t="shared" si="64"/>
        <v>5014.7492625368732</v>
      </c>
      <c r="H135" s="1344"/>
      <c r="I135" s="1343">
        <f t="shared" si="65"/>
        <v>5014.7492625368732</v>
      </c>
      <c r="J135" s="1344">
        <v>0.1</v>
      </c>
      <c r="K135" s="1342">
        <v>0.7</v>
      </c>
      <c r="L135" s="1514">
        <f t="shared" si="66"/>
        <v>501.47492625368733</v>
      </c>
      <c r="M135" s="1517">
        <f t="shared" si="67"/>
        <v>3510.3244837758111</v>
      </c>
      <c r="N135" s="1516">
        <f t="shared" si="68"/>
        <v>1002.949852507375</v>
      </c>
      <c r="O135" s="1372">
        <v>2016</v>
      </c>
    </row>
    <row r="136" spans="1:15" ht="31.5">
      <c r="A136" s="1416" t="s">
        <v>169</v>
      </c>
      <c r="B136" s="1403" t="s">
        <v>2223</v>
      </c>
      <c r="C136" s="1340" t="s">
        <v>2079</v>
      </c>
      <c r="D136" s="1418">
        <v>12000</v>
      </c>
      <c r="E136" s="1419">
        <v>0.43680924042097857</v>
      </c>
      <c r="F136" s="1343">
        <f t="shared" si="63"/>
        <v>5241.7108850517425</v>
      </c>
      <c r="G136" s="1343">
        <f t="shared" si="64"/>
        <v>6758.2891149482575</v>
      </c>
      <c r="H136" s="1344"/>
      <c r="I136" s="1343">
        <f t="shared" si="65"/>
        <v>6758.2891149482575</v>
      </c>
      <c r="J136" s="1344">
        <v>0.1</v>
      </c>
      <c r="K136" s="1342">
        <v>0.8</v>
      </c>
      <c r="L136" s="1514">
        <f t="shared" si="66"/>
        <v>675.82891149482577</v>
      </c>
      <c r="M136" s="1517">
        <f t="shared" si="67"/>
        <v>5406.6312919586062</v>
      </c>
      <c r="N136" s="1516">
        <f t="shared" si="68"/>
        <v>675.82891149482566</v>
      </c>
      <c r="O136" s="1372"/>
    </row>
    <row r="137" spans="1:15" ht="31.5">
      <c r="A137" s="1416" t="s">
        <v>169</v>
      </c>
      <c r="B137" s="1403" t="s">
        <v>2224</v>
      </c>
      <c r="C137" s="1340" t="s">
        <v>2079</v>
      </c>
      <c r="D137" s="1418">
        <v>4000</v>
      </c>
      <c r="E137" s="1419"/>
      <c r="F137" s="1343">
        <f t="shared" si="63"/>
        <v>0</v>
      </c>
      <c r="G137" s="1343">
        <f t="shared" si="64"/>
        <v>4000</v>
      </c>
      <c r="H137" s="1344"/>
      <c r="I137" s="1343">
        <f t="shared" si="65"/>
        <v>4000</v>
      </c>
      <c r="J137" s="1344">
        <v>0.1</v>
      </c>
      <c r="K137" s="1342">
        <v>0.8</v>
      </c>
      <c r="L137" s="1514">
        <f t="shared" si="66"/>
        <v>400</v>
      </c>
      <c r="M137" s="1517">
        <f t="shared" si="67"/>
        <v>3200</v>
      </c>
      <c r="N137" s="1516">
        <f t="shared" si="68"/>
        <v>400</v>
      </c>
      <c r="O137" s="1372"/>
    </row>
    <row r="138" spans="1:15" ht="31.5">
      <c r="A138" s="1416" t="s">
        <v>169</v>
      </c>
      <c r="B138" s="1403" t="s">
        <v>2225</v>
      </c>
      <c r="C138" s="1340" t="s">
        <v>2079</v>
      </c>
      <c r="D138" s="1418">
        <v>2000</v>
      </c>
      <c r="E138" s="1419"/>
      <c r="F138" s="1343">
        <f t="shared" si="63"/>
        <v>0</v>
      </c>
      <c r="G138" s="1343">
        <f t="shared" si="64"/>
        <v>2000</v>
      </c>
      <c r="H138" s="1344"/>
      <c r="I138" s="1343">
        <f t="shared" si="65"/>
        <v>2000</v>
      </c>
      <c r="J138" s="1344">
        <v>0.1</v>
      </c>
      <c r="K138" s="1342">
        <v>0.8</v>
      </c>
      <c r="L138" s="1514">
        <f t="shared" si="66"/>
        <v>200</v>
      </c>
      <c r="M138" s="1517">
        <f t="shared" si="67"/>
        <v>1600</v>
      </c>
      <c r="N138" s="1516">
        <f t="shared" si="68"/>
        <v>200</v>
      </c>
      <c r="O138" s="1372"/>
    </row>
    <row r="139" spans="1:15" ht="15.75">
      <c r="A139" s="1269">
        <v>2</v>
      </c>
      <c r="B139" s="1272" t="s">
        <v>2226</v>
      </c>
      <c r="C139" s="1340"/>
      <c r="D139" s="1377">
        <f>SUM(D140:D147)</f>
        <v>27000</v>
      </c>
      <c r="E139" s="1396">
        <f t="shared" ref="E139:N139" si="69">SUM(E140:E147)</f>
        <v>0</v>
      </c>
      <c r="F139" s="1396">
        <f t="shared" si="69"/>
        <v>0</v>
      </c>
      <c r="G139" s="1396">
        <f t="shared" si="69"/>
        <v>27000</v>
      </c>
      <c r="H139" s="1396">
        <f t="shared" si="69"/>
        <v>0</v>
      </c>
      <c r="I139" s="1396">
        <f t="shared" si="69"/>
        <v>27000</v>
      </c>
      <c r="J139" s="1396">
        <f t="shared" si="69"/>
        <v>0.79999999999999993</v>
      </c>
      <c r="K139" s="1396">
        <f t="shared" si="69"/>
        <v>5.8999999999999995</v>
      </c>
      <c r="L139" s="1523">
        <f t="shared" si="69"/>
        <v>2700</v>
      </c>
      <c r="M139" s="1524">
        <f t="shared" si="69"/>
        <v>19550</v>
      </c>
      <c r="N139" s="1523">
        <f t="shared" si="69"/>
        <v>4750</v>
      </c>
      <c r="O139" s="1372"/>
    </row>
    <row r="140" spans="1:15" ht="31.5">
      <c r="A140" s="1420" t="s">
        <v>169</v>
      </c>
      <c r="B140" s="1417" t="s">
        <v>2227</v>
      </c>
      <c r="C140" s="1340" t="s">
        <v>2079</v>
      </c>
      <c r="D140" s="1418">
        <v>9000</v>
      </c>
      <c r="E140" s="1419"/>
      <c r="F140" s="1343">
        <f t="shared" si="63"/>
        <v>0</v>
      </c>
      <c r="G140" s="1343">
        <f t="shared" si="64"/>
        <v>9000</v>
      </c>
      <c r="H140" s="1344"/>
      <c r="I140" s="1343">
        <f t="shared" si="65"/>
        <v>9000</v>
      </c>
      <c r="J140" s="1344">
        <v>0.1</v>
      </c>
      <c r="K140" s="1342">
        <v>0.7</v>
      </c>
      <c r="L140" s="1514">
        <f>I140*J140</f>
        <v>900</v>
      </c>
      <c r="M140" s="1517">
        <f>I140*K140</f>
        <v>6300</v>
      </c>
      <c r="N140" s="1516">
        <f>I140-L140-M140</f>
        <v>1800</v>
      </c>
      <c r="O140" s="1421" t="s">
        <v>2228</v>
      </c>
    </row>
    <row r="141" spans="1:15" ht="31.5">
      <c r="A141" s="1420" t="s">
        <v>169</v>
      </c>
      <c r="B141" s="1403" t="s">
        <v>2229</v>
      </c>
      <c r="C141" s="1340" t="s">
        <v>2079</v>
      </c>
      <c r="D141" s="1385">
        <v>500</v>
      </c>
      <c r="E141" s="1419"/>
      <c r="F141" s="1343">
        <f t="shared" si="63"/>
        <v>0</v>
      </c>
      <c r="G141" s="1343">
        <f t="shared" si="64"/>
        <v>500</v>
      </c>
      <c r="H141" s="1344"/>
      <c r="I141" s="1343">
        <f t="shared" si="65"/>
        <v>500</v>
      </c>
      <c r="J141" s="1344">
        <v>0.1</v>
      </c>
      <c r="K141" s="1342">
        <v>0.7</v>
      </c>
      <c r="L141" s="1514">
        <f t="shared" ref="L141:L147" si="70">I141*J141</f>
        <v>50</v>
      </c>
      <c r="M141" s="1517">
        <f t="shared" ref="M141:M147" si="71">I141*K141</f>
        <v>350</v>
      </c>
      <c r="N141" s="1516">
        <f t="shared" ref="N141:N147" si="72">I141-L141-M141</f>
        <v>100</v>
      </c>
      <c r="O141" s="1422" t="s">
        <v>2066</v>
      </c>
    </row>
    <row r="142" spans="1:15" ht="15.75">
      <c r="A142" s="1420" t="s">
        <v>169</v>
      </c>
      <c r="B142" s="1403" t="s">
        <v>2230</v>
      </c>
      <c r="C142" s="1340" t="s">
        <v>2079</v>
      </c>
      <c r="D142" s="1385">
        <v>4000</v>
      </c>
      <c r="E142" s="1419"/>
      <c r="F142" s="1343">
        <f t="shared" si="63"/>
        <v>0</v>
      </c>
      <c r="G142" s="1343">
        <f t="shared" si="64"/>
        <v>4000</v>
      </c>
      <c r="H142" s="1344"/>
      <c r="I142" s="1343">
        <f t="shared" si="65"/>
        <v>4000</v>
      </c>
      <c r="J142" s="1344">
        <v>0.1</v>
      </c>
      <c r="K142" s="1342">
        <v>0.8</v>
      </c>
      <c r="L142" s="1514">
        <f t="shared" si="70"/>
        <v>400</v>
      </c>
      <c r="M142" s="1517">
        <f t="shared" si="71"/>
        <v>3200</v>
      </c>
      <c r="N142" s="1516">
        <f t="shared" si="72"/>
        <v>400</v>
      </c>
      <c r="O142" s="1422" t="s">
        <v>2231</v>
      </c>
    </row>
    <row r="143" spans="1:15" ht="15.75">
      <c r="A143" s="1420" t="s">
        <v>169</v>
      </c>
      <c r="B143" s="1403" t="s">
        <v>2232</v>
      </c>
      <c r="C143" s="1340" t="s">
        <v>2079</v>
      </c>
      <c r="D143" s="1385">
        <v>5000</v>
      </c>
      <c r="E143" s="1419"/>
      <c r="F143" s="1343">
        <f t="shared" si="63"/>
        <v>0</v>
      </c>
      <c r="G143" s="1343">
        <f t="shared" si="64"/>
        <v>5000</v>
      </c>
      <c r="H143" s="1344"/>
      <c r="I143" s="1343">
        <f t="shared" si="65"/>
        <v>5000</v>
      </c>
      <c r="J143" s="1344">
        <v>0.1</v>
      </c>
      <c r="K143" s="1342">
        <v>0.8</v>
      </c>
      <c r="L143" s="1514">
        <f t="shared" si="70"/>
        <v>500</v>
      </c>
      <c r="M143" s="1517">
        <f t="shared" si="71"/>
        <v>4000</v>
      </c>
      <c r="N143" s="1516">
        <f t="shared" si="72"/>
        <v>500</v>
      </c>
      <c r="O143" s="1422" t="s">
        <v>2231</v>
      </c>
    </row>
    <row r="144" spans="1:15" ht="15.75">
      <c r="A144" s="1420" t="s">
        <v>169</v>
      </c>
      <c r="B144" s="1403" t="s">
        <v>2233</v>
      </c>
      <c r="C144" s="1340" t="s">
        <v>2079</v>
      </c>
      <c r="D144" s="1385">
        <v>5000</v>
      </c>
      <c r="E144" s="1419"/>
      <c r="F144" s="1343">
        <f t="shared" si="63"/>
        <v>0</v>
      </c>
      <c r="G144" s="1343">
        <f t="shared" si="64"/>
        <v>5000</v>
      </c>
      <c r="H144" s="1344"/>
      <c r="I144" s="1343">
        <f t="shared" si="65"/>
        <v>5000</v>
      </c>
      <c r="J144" s="1344">
        <v>0.1</v>
      </c>
      <c r="K144" s="1342">
        <v>0.6</v>
      </c>
      <c r="L144" s="1514">
        <f t="shared" si="70"/>
        <v>500</v>
      </c>
      <c r="M144" s="1517">
        <f t="shared" si="71"/>
        <v>3000</v>
      </c>
      <c r="N144" s="1516">
        <f t="shared" si="72"/>
        <v>1500</v>
      </c>
      <c r="O144" s="1422" t="s">
        <v>2234</v>
      </c>
    </row>
    <row r="145" spans="1:256" ht="31.5">
      <c r="A145" s="1420" t="s">
        <v>169</v>
      </c>
      <c r="B145" s="1403" t="s">
        <v>2235</v>
      </c>
      <c r="C145" s="1340" t="s">
        <v>2079</v>
      </c>
      <c r="D145" s="1385">
        <v>1000</v>
      </c>
      <c r="E145" s="1419"/>
      <c r="F145" s="1343">
        <f t="shared" si="63"/>
        <v>0</v>
      </c>
      <c r="G145" s="1343">
        <f t="shared" si="64"/>
        <v>1000</v>
      </c>
      <c r="H145" s="1344"/>
      <c r="I145" s="1343">
        <f t="shared" si="65"/>
        <v>1000</v>
      </c>
      <c r="J145" s="1344">
        <v>0.1</v>
      </c>
      <c r="K145" s="1342">
        <v>0.7</v>
      </c>
      <c r="L145" s="1514">
        <f t="shared" si="70"/>
        <v>100</v>
      </c>
      <c r="M145" s="1517">
        <f t="shared" si="71"/>
        <v>700</v>
      </c>
      <c r="N145" s="1516">
        <f t="shared" si="72"/>
        <v>200</v>
      </c>
      <c r="O145" s="1422" t="s">
        <v>2236</v>
      </c>
    </row>
    <row r="146" spans="1:256" ht="31.5">
      <c r="A146" s="1420" t="s">
        <v>169</v>
      </c>
      <c r="B146" s="1403" t="s">
        <v>2237</v>
      </c>
      <c r="C146" s="1340" t="s">
        <v>2079</v>
      </c>
      <c r="D146" s="1385">
        <v>1400</v>
      </c>
      <c r="E146" s="1419"/>
      <c r="F146" s="1343">
        <f t="shared" si="63"/>
        <v>0</v>
      </c>
      <c r="G146" s="1343">
        <f t="shared" si="64"/>
        <v>1400</v>
      </c>
      <c r="H146" s="1344"/>
      <c r="I146" s="1343">
        <f t="shared" si="65"/>
        <v>1400</v>
      </c>
      <c r="J146" s="1344">
        <v>0.1</v>
      </c>
      <c r="K146" s="1342">
        <v>0.8</v>
      </c>
      <c r="L146" s="1514">
        <f t="shared" si="70"/>
        <v>140</v>
      </c>
      <c r="M146" s="1517">
        <f t="shared" si="71"/>
        <v>1120</v>
      </c>
      <c r="N146" s="1516">
        <f t="shared" si="72"/>
        <v>140</v>
      </c>
      <c r="O146" s="1422" t="s">
        <v>2067</v>
      </c>
    </row>
    <row r="147" spans="1:256" ht="31.5">
      <c r="A147" s="1420" t="s">
        <v>169</v>
      </c>
      <c r="B147" s="1403" t="s">
        <v>2238</v>
      </c>
      <c r="C147" s="1340" t="s">
        <v>2079</v>
      </c>
      <c r="D147" s="1385">
        <v>1099.9999999999998</v>
      </c>
      <c r="E147" s="1419"/>
      <c r="F147" s="1343">
        <f t="shared" si="63"/>
        <v>0</v>
      </c>
      <c r="G147" s="1343">
        <f t="shared" si="64"/>
        <v>1099.9999999999998</v>
      </c>
      <c r="H147" s="1344"/>
      <c r="I147" s="1343">
        <f t="shared" si="65"/>
        <v>1099.9999999999998</v>
      </c>
      <c r="J147" s="1344">
        <v>0.1</v>
      </c>
      <c r="K147" s="1342">
        <v>0.8</v>
      </c>
      <c r="L147" s="1514">
        <f t="shared" si="70"/>
        <v>109.99999999999999</v>
      </c>
      <c r="M147" s="1517">
        <f t="shared" si="71"/>
        <v>879.99999999999989</v>
      </c>
      <c r="N147" s="1516">
        <f t="shared" si="72"/>
        <v>109.99999999999989</v>
      </c>
      <c r="O147" s="1422" t="s">
        <v>2067</v>
      </c>
    </row>
    <row r="148" spans="1:256" ht="31.5">
      <c r="A148" s="1393" t="s">
        <v>49</v>
      </c>
      <c r="B148" s="1400" t="s">
        <v>2168</v>
      </c>
      <c r="C148" s="1340"/>
      <c r="D148" s="1412">
        <f>SUM(D149:D157)</f>
        <v>15000</v>
      </c>
      <c r="E148" s="1419"/>
      <c r="F148" s="1413">
        <f t="shared" ref="F148:N148" si="73">SUM(F149:F157)</f>
        <v>0</v>
      </c>
      <c r="G148" s="1413">
        <f t="shared" si="73"/>
        <v>15000</v>
      </c>
      <c r="H148" s="1413">
        <f t="shared" si="73"/>
        <v>0</v>
      </c>
      <c r="I148" s="1413">
        <f t="shared" si="73"/>
        <v>15000</v>
      </c>
      <c r="J148" s="1413">
        <f t="shared" si="73"/>
        <v>0.89999999999999991</v>
      </c>
      <c r="K148" s="1413">
        <f t="shared" si="73"/>
        <v>6.6</v>
      </c>
      <c r="L148" s="1527">
        <f t="shared" si="73"/>
        <v>1500</v>
      </c>
      <c r="M148" s="1528">
        <f t="shared" si="73"/>
        <v>11190</v>
      </c>
      <c r="N148" s="1527">
        <f t="shared" si="73"/>
        <v>2310</v>
      </c>
      <c r="O148" s="1372"/>
    </row>
    <row r="149" spans="1:256" ht="15.75">
      <c r="A149" s="1398">
        <v>1</v>
      </c>
      <c r="B149" s="1403" t="s">
        <v>2239</v>
      </c>
      <c r="C149" s="1340" t="s">
        <v>2079</v>
      </c>
      <c r="D149" s="1385">
        <v>300</v>
      </c>
      <c r="E149" s="1419"/>
      <c r="F149" s="1343"/>
      <c r="G149" s="1343">
        <f>D149-F149</f>
        <v>300</v>
      </c>
      <c r="H149" s="1344"/>
      <c r="I149" s="1343">
        <f>G149-G149*H149</f>
        <v>300</v>
      </c>
      <c r="J149" s="1344">
        <v>0.1</v>
      </c>
      <c r="K149" s="1342">
        <v>0.7</v>
      </c>
      <c r="L149" s="1514">
        <f>J149*I149</f>
        <v>30</v>
      </c>
      <c r="M149" s="1517">
        <f>K149*I149</f>
        <v>210</v>
      </c>
      <c r="N149" s="1516">
        <f>I149-L149-M149</f>
        <v>60</v>
      </c>
      <c r="O149" s="1372" t="s">
        <v>2066</v>
      </c>
    </row>
    <row r="150" spans="1:256" ht="15.75">
      <c r="A150" s="1398">
        <v>2</v>
      </c>
      <c r="B150" s="1403" t="s">
        <v>2240</v>
      </c>
      <c r="C150" s="1340" t="s">
        <v>2079</v>
      </c>
      <c r="D150" s="1385">
        <v>1000</v>
      </c>
      <c r="E150" s="1419"/>
      <c r="F150" s="1343">
        <f>D150*E150</f>
        <v>0</v>
      </c>
      <c r="G150" s="1343">
        <f>D150-F150</f>
        <v>1000</v>
      </c>
      <c r="H150" s="1344"/>
      <c r="I150" s="1343">
        <f>G150-G150*H150</f>
        <v>1000</v>
      </c>
      <c r="J150" s="1344">
        <v>0.1</v>
      </c>
      <c r="K150" s="1342">
        <v>0.7</v>
      </c>
      <c r="L150" s="1514">
        <f t="shared" ref="L150:L157" si="74">J150*I150</f>
        <v>100</v>
      </c>
      <c r="M150" s="1517">
        <f t="shared" ref="M150:M157" si="75">K150*I150</f>
        <v>700</v>
      </c>
      <c r="N150" s="1516">
        <f t="shared" ref="N150:N157" si="76">I150-L150-M150</f>
        <v>200</v>
      </c>
      <c r="O150" s="1372" t="s">
        <v>2065</v>
      </c>
    </row>
    <row r="151" spans="1:256" ht="15.75">
      <c r="A151" s="1398">
        <v>3</v>
      </c>
      <c r="B151" s="1403" t="s">
        <v>2241</v>
      </c>
      <c r="C151" s="1340" t="s">
        <v>2079</v>
      </c>
      <c r="D151" s="1385">
        <v>2000</v>
      </c>
      <c r="E151" s="1419"/>
      <c r="F151" s="1343">
        <f t="shared" ref="F151:F156" si="77">D151*E151</f>
        <v>0</v>
      </c>
      <c r="G151" s="1343">
        <f t="shared" ref="G151:G156" si="78">D151-F151</f>
        <v>2000</v>
      </c>
      <c r="H151" s="1344"/>
      <c r="I151" s="1343">
        <f t="shared" ref="I151:I156" si="79">G151-G151*H151</f>
        <v>2000</v>
      </c>
      <c r="J151" s="1344">
        <v>0.1</v>
      </c>
      <c r="K151" s="1342">
        <v>0.8</v>
      </c>
      <c r="L151" s="1514">
        <f t="shared" si="74"/>
        <v>200</v>
      </c>
      <c r="M151" s="1517">
        <f t="shared" si="75"/>
        <v>1600</v>
      </c>
      <c r="N151" s="1516">
        <f t="shared" si="76"/>
        <v>200</v>
      </c>
      <c r="O151" s="1372" t="s">
        <v>2231</v>
      </c>
    </row>
    <row r="152" spans="1:256" ht="15.75">
      <c r="A152" s="1398">
        <v>4</v>
      </c>
      <c r="B152" s="1403" t="s">
        <v>2242</v>
      </c>
      <c r="C152" s="1340" t="s">
        <v>2079</v>
      </c>
      <c r="D152" s="1385">
        <v>2000</v>
      </c>
      <c r="E152" s="1419"/>
      <c r="F152" s="1343">
        <f t="shared" si="77"/>
        <v>0</v>
      </c>
      <c r="G152" s="1343">
        <f t="shared" si="78"/>
        <v>2000</v>
      </c>
      <c r="H152" s="1344"/>
      <c r="I152" s="1343">
        <f t="shared" si="79"/>
        <v>2000</v>
      </c>
      <c r="J152" s="1344">
        <v>0.1</v>
      </c>
      <c r="K152" s="1342">
        <v>0.6</v>
      </c>
      <c r="L152" s="1514">
        <f t="shared" si="74"/>
        <v>200</v>
      </c>
      <c r="M152" s="1517">
        <f t="shared" si="75"/>
        <v>1200</v>
      </c>
      <c r="N152" s="1516">
        <f t="shared" si="76"/>
        <v>600</v>
      </c>
      <c r="O152" s="1372" t="s">
        <v>2234</v>
      </c>
    </row>
    <row r="153" spans="1:256" ht="15.75">
      <c r="A153" s="1398">
        <v>5</v>
      </c>
      <c r="B153" s="1403" t="s">
        <v>2243</v>
      </c>
      <c r="C153" s="1340" t="s">
        <v>2079</v>
      </c>
      <c r="D153" s="1385">
        <v>2000</v>
      </c>
      <c r="E153" s="1419"/>
      <c r="F153" s="1343">
        <f t="shared" si="77"/>
        <v>0</v>
      </c>
      <c r="G153" s="1343">
        <f t="shared" si="78"/>
        <v>2000</v>
      </c>
      <c r="H153" s="1344"/>
      <c r="I153" s="1343">
        <f t="shared" si="79"/>
        <v>2000</v>
      </c>
      <c r="J153" s="1344">
        <v>0.1</v>
      </c>
      <c r="K153" s="1342">
        <v>0.7</v>
      </c>
      <c r="L153" s="1514">
        <f t="shared" si="74"/>
        <v>200</v>
      </c>
      <c r="M153" s="1517">
        <f t="shared" si="75"/>
        <v>1400</v>
      </c>
      <c r="N153" s="1516">
        <f t="shared" si="76"/>
        <v>400</v>
      </c>
      <c r="O153" s="1372" t="s">
        <v>2236</v>
      </c>
    </row>
    <row r="154" spans="1:256" ht="15.75">
      <c r="A154" s="1398">
        <v>6</v>
      </c>
      <c r="B154" s="1403" t="s">
        <v>2244</v>
      </c>
      <c r="C154" s="1340" t="s">
        <v>2079</v>
      </c>
      <c r="D154" s="1385">
        <v>800</v>
      </c>
      <c r="E154" s="1419"/>
      <c r="F154" s="1343">
        <f t="shared" si="77"/>
        <v>0</v>
      </c>
      <c r="G154" s="1343">
        <f t="shared" si="78"/>
        <v>800</v>
      </c>
      <c r="H154" s="1344"/>
      <c r="I154" s="1343">
        <f t="shared" si="79"/>
        <v>800</v>
      </c>
      <c r="J154" s="1344">
        <v>0.1</v>
      </c>
      <c r="K154" s="1342">
        <v>0.7</v>
      </c>
      <c r="L154" s="1514">
        <f t="shared" si="74"/>
        <v>80</v>
      </c>
      <c r="M154" s="1517">
        <f t="shared" si="75"/>
        <v>560</v>
      </c>
      <c r="N154" s="1516">
        <f t="shared" si="76"/>
        <v>160</v>
      </c>
      <c r="O154" s="1372" t="s">
        <v>2066</v>
      </c>
    </row>
    <row r="155" spans="1:256" ht="15.75">
      <c r="A155" s="1398">
        <v>7</v>
      </c>
      <c r="B155" s="1403" t="s">
        <v>2245</v>
      </c>
      <c r="C155" s="1340" t="s">
        <v>2079</v>
      </c>
      <c r="D155" s="1385">
        <v>1700</v>
      </c>
      <c r="E155" s="1419"/>
      <c r="F155" s="1343">
        <f t="shared" si="77"/>
        <v>0</v>
      </c>
      <c r="G155" s="1343">
        <f t="shared" si="78"/>
        <v>1700</v>
      </c>
      <c r="H155" s="1344"/>
      <c r="I155" s="1343">
        <f t="shared" si="79"/>
        <v>1700</v>
      </c>
      <c r="J155" s="1344">
        <v>0.1</v>
      </c>
      <c r="K155" s="1342">
        <v>0.8</v>
      </c>
      <c r="L155" s="1514">
        <f t="shared" si="74"/>
        <v>170</v>
      </c>
      <c r="M155" s="1517">
        <f t="shared" si="75"/>
        <v>1360</v>
      </c>
      <c r="N155" s="1516">
        <f t="shared" si="76"/>
        <v>170</v>
      </c>
      <c r="O155" s="1372" t="s">
        <v>2067</v>
      </c>
    </row>
    <row r="156" spans="1:256" ht="15.75">
      <c r="A156" s="1398">
        <v>8</v>
      </c>
      <c r="B156" s="1403" t="s">
        <v>2246</v>
      </c>
      <c r="C156" s="1340" t="s">
        <v>2079</v>
      </c>
      <c r="D156" s="1385">
        <v>3500</v>
      </c>
      <c r="E156" s="1342"/>
      <c r="F156" s="1343">
        <f t="shared" si="77"/>
        <v>0</v>
      </c>
      <c r="G156" s="1343">
        <f t="shared" si="78"/>
        <v>3500</v>
      </c>
      <c r="H156" s="1344"/>
      <c r="I156" s="1343">
        <f t="shared" si="79"/>
        <v>3500</v>
      </c>
      <c r="J156" s="1344">
        <v>0.1</v>
      </c>
      <c r="K156" s="1342">
        <v>0.8</v>
      </c>
      <c r="L156" s="1514">
        <f t="shared" si="74"/>
        <v>350</v>
      </c>
      <c r="M156" s="1517">
        <f t="shared" si="75"/>
        <v>2800</v>
      </c>
      <c r="N156" s="1516">
        <f t="shared" si="76"/>
        <v>350</v>
      </c>
      <c r="O156" s="1372" t="s">
        <v>2067</v>
      </c>
    </row>
    <row r="157" spans="1:256" ht="31.5">
      <c r="A157" s="1398">
        <v>9</v>
      </c>
      <c r="B157" s="1403" t="s">
        <v>2247</v>
      </c>
      <c r="C157" s="1340" t="s">
        <v>2079</v>
      </c>
      <c r="D157" s="1385">
        <v>1700</v>
      </c>
      <c r="E157" s="1423"/>
      <c r="F157" s="1424">
        <f>D157*E157</f>
        <v>0</v>
      </c>
      <c r="G157" s="1424">
        <f>D157-F157</f>
        <v>1700</v>
      </c>
      <c r="H157" s="1344"/>
      <c r="I157" s="1424">
        <f>G157-G157*H157</f>
        <v>1700</v>
      </c>
      <c r="J157" s="1344">
        <v>0.1</v>
      </c>
      <c r="K157" s="1423">
        <v>0.8</v>
      </c>
      <c r="L157" s="1514">
        <f t="shared" si="74"/>
        <v>170</v>
      </c>
      <c r="M157" s="1517">
        <f t="shared" si="75"/>
        <v>1360</v>
      </c>
      <c r="N157" s="1516">
        <f t="shared" si="76"/>
        <v>170</v>
      </c>
      <c r="O157" s="1425" t="s">
        <v>2065</v>
      </c>
      <c r="P157" s="1426"/>
      <c r="Q157" s="1426"/>
      <c r="R157" s="1426"/>
      <c r="S157" s="1426"/>
      <c r="T157" s="1426"/>
      <c r="U157" s="1426"/>
      <c r="V157" s="1426"/>
      <c r="W157" s="1426"/>
      <c r="X157" s="1426"/>
      <c r="Y157" s="1426"/>
      <c r="Z157" s="1426"/>
      <c r="AA157" s="1426"/>
      <c r="AB157" s="1426"/>
      <c r="AC157" s="1426"/>
      <c r="AD157" s="1426"/>
      <c r="AE157" s="1426"/>
      <c r="AF157" s="1426"/>
      <c r="AG157" s="1426"/>
      <c r="AH157" s="1426"/>
      <c r="AI157" s="1426"/>
      <c r="AJ157" s="1426"/>
      <c r="AK157" s="1426"/>
      <c r="AL157" s="1426"/>
      <c r="AM157" s="1426"/>
      <c r="AN157" s="1426"/>
      <c r="AO157" s="1426"/>
      <c r="AP157" s="1426"/>
      <c r="AQ157" s="1426"/>
      <c r="AR157" s="1426"/>
      <c r="AS157" s="1426"/>
      <c r="AT157" s="1426"/>
      <c r="AU157" s="1426"/>
      <c r="AV157" s="1426"/>
      <c r="AW157" s="1426"/>
      <c r="AX157" s="1426"/>
      <c r="AY157" s="1426"/>
      <c r="AZ157" s="1426"/>
      <c r="BA157" s="1426"/>
      <c r="BB157" s="1426"/>
      <c r="BC157" s="1426"/>
      <c r="BD157" s="1426"/>
      <c r="BE157" s="1426"/>
      <c r="BF157" s="1426"/>
      <c r="BG157" s="1426"/>
      <c r="BH157" s="1426"/>
      <c r="BI157" s="1426"/>
      <c r="BJ157" s="1426"/>
      <c r="BK157" s="1426"/>
      <c r="BL157" s="1426"/>
      <c r="BM157" s="1426"/>
      <c r="BN157" s="1426"/>
      <c r="BO157" s="1426"/>
      <c r="BP157" s="1426"/>
      <c r="BQ157" s="1426"/>
      <c r="BR157" s="1426"/>
      <c r="BS157" s="1426"/>
      <c r="BT157" s="1426"/>
      <c r="BU157" s="1426"/>
      <c r="BV157" s="1426"/>
      <c r="BW157" s="1426"/>
      <c r="BX157" s="1426"/>
      <c r="BY157" s="1426"/>
      <c r="BZ157" s="1426"/>
      <c r="CA157" s="1426"/>
      <c r="CB157" s="1426"/>
      <c r="CC157" s="1426"/>
      <c r="CD157" s="1426"/>
      <c r="CE157" s="1426"/>
      <c r="CF157" s="1426"/>
      <c r="CG157" s="1426"/>
      <c r="CH157" s="1426"/>
      <c r="CI157" s="1426"/>
      <c r="CJ157" s="1426"/>
      <c r="CK157" s="1426"/>
      <c r="CL157" s="1426"/>
      <c r="CM157" s="1426"/>
      <c r="CN157" s="1426"/>
      <c r="CO157" s="1426"/>
      <c r="CP157" s="1426"/>
      <c r="CQ157" s="1426"/>
      <c r="CR157" s="1426"/>
      <c r="CS157" s="1426"/>
      <c r="CT157" s="1426"/>
      <c r="CU157" s="1426"/>
      <c r="CV157" s="1426"/>
      <c r="CW157" s="1426"/>
      <c r="CX157" s="1426"/>
      <c r="CY157" s="1426"/>
      <c r="CZ157" s="1426"/>
      <c r="DA157" s="1426"/>
      <c r="DB157" s="1426"/>
      <c r="DC157" s="1426"/>
      <c r="DD157" s="1426"/>
      <c r="DE157" s="1426"/>
      <c r="DF157" s="1426"/>
      <c r="DG157" s="1426"/>
      <c r="DH157" s="1426"/>
      <c r="DI157" s="1426"/>
      <c r="DJ157" s="1426"/>
      <c r="DK157" s="1426"/>
      <c r="DL157" s="1426"/>
      <c r="DM157" s="1426"/>
      <c r="DN157" s="1426"/>
      <c r="DO157" s="1426"/>
      <c r="DP157" s="1426"/>
      <c r="DQ157" s="1426"/>
      <c r="DR157" s="1426"/>
      <c r="DS157" s="1426"/>
      <c r="DT157" s="1426"/>
      <c r="DU157" s="1426"/>
      <c r="DV157" s="1426"/>
      <c r="DW157" s="1426"/>
      <c r="DX157" s="1426"/>
      <c r="DY157" s="1426"/>
      <c r="DZ157" s="1426"/>
      <c r="EA157" s="1426"/>
      <c r="EB157" s="1426"/>
      <c r="EC157" s="1426"/>
      <c r="ED157" s="1426"/>
      <c r="EE157" s="1426"/>
      <c r="EF157" s="1426"/>
      <c r="EG157" s="1426"/>
      <c r="EH157" s="1426"/>
      <c r="EI157" s="1426"/>
      <c r="EJ157" s="1426"/>
      <c r="EK157" s="1426"/>
      <c r="EL157" s="1426"/>
      <c r="EM157" s="1426"/>
      <c r="EN157" s="1426"/>
      <c r="EO157" s="1426"/>
      <c r="EP157" s="1426"/>
      <c r="EQ157" s="1426"/>
      <c r="ER157" s="1426"/>
      <c r="ES157" s="1426"/>
      <c r="ET157" s="1426"/>
      <c r="EU157" s="1426"/>
      <c r="EV157" s="1426"/>
      <c r="EW157" s="1426"/>
      <c r="EX157" s="1426"/>
      <c r="EY157" s="1426"/>
      <c r="EZ157" s="1426"/>
      <c r="FA157" s="1426"/>
      <c r="FB157" s="1426"/>
      <c r="FC157" s="1426"/>
      <c r="FD157" s="1426"/>
      <c r="FE157" s="1426"/>
      <c r="FF157" s="1426"/>
      <c r="FG157" s="1426"/>
      <c r="FH157" s="1426"/>
      <c r="FI157" s="1426"/>
      <c r="FJ157" s="1426"/>
      <c r="FK157" s="1426"/>
      <c r="FL157" s="1426"/>
      <c r="FM157" s="1426"/>
      <c r="FN157" s="1426"/>
      <c r="FO157" s="1426"/>
      <c r="FP157" s="1426"/>
      <c r="FQ157" s="1426"/>
      <c r="FR157" s="1426"/>
      <c r="FS157" s="1426"/>
      <c r="FT157" s="1426"/>
      <c r="FU157" s="1426"/>
      <c r="FV157" s="1426"/>
      <c r="FW157" s="1426"/>
      <c r="FX157" s="1426"/>
      <c r="FY157" s="1426"/>
      <c r="FZ157" s="1426"/>
      <c r="GA157" s="1426"/>
      <c r="GB157" s="1426"/>
      <c r="GC157" s="1426"/>
      <c r="GD157" s="1426"/>
      <c r="GE157" s="1426"/>
      <c r="GF157" s="1426"/>
      <c r="GG157" s="1426"/>
      <c r="GH157" s="1426"/>
      <c r="GI157" s="1426"/>
      <c r="GJ157" s="1426"/>
      <c r="GK157" s="1426"/>
      <c r="GL157" s="1426"/>
      <c r="GM157" s="1426"/>
      <c r="GN157" s="1426"/>
      <c r="GO157" s="1426"/>
      <c r="GP157" s="1426"/>
      <c r="GQ157" s="1426"/>
      <c r="GR157" s="1426"/>
      <c r="GS157" s="1426"/>
      <c r="GT157" s="1426"/>
      <c r="GU157" s="1426"/>
      <c r="GV157" s="1426"/>
      <c r="GW157" s="1426"/>
      <c r="GX157" s="1426"/>
      <c r="GY157" s="1426"/>
      <c r="GZ157" s="1426"/>
      <c r="HA157" s="1426"/>
      <c r="HB157" s="1426"/>
      <c r="HC157" s="1426"/>
      <c r="HD157" s="1426"/>
      <c r="HE157" s="1426"/>
      <c r="HF157" s="1426"/>
      <c r="HG157" s="1426"/>
      <c r="HH157" s="1426"/>
      <c r="HI157" s="1426"/>
      <c r="HJ157" s="1426"/>
      <c r="HK157" s="1426"/>
      <c r="HL157" s="1426"/>
      <c r="HM157" s="1426"/>
      <c r="HN157" s="1426"/>
      <c r="HO157" s="1426"/>
      <c r="HP157" s="1426"/>
      <c r="HQ157" s="1426"/>
      <c r="HR157" s="1426"/>
      <c r="HS157" s="1426"/>
      <c r="HT157" s="1426"/>
      <c r="HU157" s="1426"/>
      <c r="HV157" s="1426"/>
      <c r="HW157" s="1426"/>
      <c r="HX157" s="1426"/>
      <c r="HY157" s="1426"/>
      <c r="HZ157" s="1426"/>
      <c r="IA157" s="1426"/>
      <c r="IB157" s="1426"/>
      <c r="IC157" s="1426"/>
      <c r="ID157" s="1426"/>
      <c r="IE157" s="1426"/>
      <c r="IF157" s="1426"/>
      <c r="IG157" s="1426"/>
      <c r="IH157" s="1426"/>
      <c r="II157" s="1426"/>
      <c r="IJ157" s="1426"/>
      <c r="IK157" s="1426"/>
      <c r="IL157" s="1426"/>
      <c r="IM157" s="1426"/>
      <c r="IN157" s="1426"/>
      <c r="IO157" s="1426"/>
      <c r="IP157" s="1426"/>
      <c r="IQ157" s="1426"/>
      <c r="IR157" s="1426"/>
      <c r="IS157" s="1426"/>
      <c r="IT157" s="1426"/>
      <c r="IU157" s="1426"/>
      <c r="IV157" s="1426"/>
    </row>
    <row r="158" spans="1:256">
      <c r="A158" s="1332" t="s">
        <v>2011</v>
      </c>
      <c r="B158" s="1333" t="s">
        <v>2248</v>
      </c>
      <c r="C158" s="1334"/>
      <c r="D158" s="1335">
        <f>SUM(D159:D179)</f>
        <v>100000</v>
      </c>
      <c r="E158" s="1335">
        <f t="shared" ref="E158:N158" si="80">SUM(E159:E179)</f>
        <v>9.4561148127171393</v>
      </c>
      <c r="F158" s="1335">
        <f t="shared" si="80"/>
        <v>47084.743631160665</v>
      </c>
      <c r="G158" s="1335">
        <f t="shared" si="80"/>
        <v>52915.256368839335</v>
      </c>
      <c r="H158" s="1335">
        <f t="shared" si="80"/>
        <v>0</v>
      </c>
      <c r="I158" s="1335">
        <f t="shared" si="80"/>
        <v>52915.256368839335</v>
      </c>
      <c r="J158" s="1344">
        <v>0.1</v>
      </c>
      <c r="K158" s="1335">
        <f t="shared" si="80"/>
        <v>16.600000000000001</v>
      </c>
      <c r="L158" s="1512">
        <f t="shared" si="80"/>
        <v>3965.7823962218231</v>
      </c>
      <c r="M158" s="1513">
        <f t="shared" si="80"/>
        <v>43557.824585251648</v>
      </c>
      <c r="N158" s="1512">
        <f t="shared" si="80"/>
        <v>5391.6493873658728</v>
      </c>
      <c r="O158" s="1337"/>
    </row>
    <row r="159" spans="1:256" ht="31.5">
      <c r="A159" s="1332"/>
      <c r="B159" s="1427" t="s">
        <v>2150</v>
      </c>
      <c r="C159" s="1340"/>
      <c r="D159" s="1428"/>
      <c r="E159" s="1335"/>
      <c r="F159" s="1335"/>
      <c r="G159" s="1381">
        <f>D159</f>
        <v>0</v>
      </c>
      <c r="H159" s="1371"/>
      <c r="I159" s="1381">
        <f>G159</f>
        <v>0</v>
      </c>
      <c r="J159" s="1344"/>
      <c r="K159" s="1429"/>
      <c r="L159" s="1522">
        <f>J159*G159</f>
        <v>0</v>
      </c>
      <c r="M159" s="1513"/>
      <c r="N159" s="1512"/>
      <c r="O159" s="1337"/>
    </row>
    <row r="160" spans="1:256" ht="47.25">
      <c r="A160" s="1332">
        <v>1</v>
      </c>
      <c r="B160" s="1430" t="s">
        <v>2249</v>
      </c>
      <c r="C160" s="1340" t="s">
        <v>2077</v>
      </c>
      <c r="D160" s="1431">
        <v>8000</v>
      </c>
      <c r="E160" s="1432">
        <v>0.5</v>
      </c>
      <c r="F160" s="1381">
        <f t="shared" ref="F160:F165" si="81">D160*E160</f>
        <v>4000</v>
      </c>
      <c r="G160" s="1381">
        <f>D160-F160</f>
        <v>4000</v>
      </c>
      <c r="H160" s="1371"/>
      <c r="I160" s="1381">
        <f t="shared" ref="I160:I179" si="82">G160</f>
        <v>4000</v>
      </c>
      <c r="J160" s="1344">
        <v>0</v>
      </c>
      <c r="K160" s="1433">
        <v>1</v>
      </c>
      <c r="L160" s="1522">
        <f t="shared" ref="L160:L179" si="83">J160*G160</f>
        <v>0</v>
      </c>
      <c r="M160" s="1517">
        <f>I160*K160</f>
        <v>4000</v>
      </c>
      <c r="N160" s="1522">
        <f>I160-L160-M160</f>
        <v>0</v>
      </c>
      <c r="O160" s="1434" t="s">
        <v>2250</v>
      </c>
    </row>
    <row r="161" spans="1:15" ht="31.5">
      <c r="A161" s="1332">
        <v>2</v>
      </c>
      <c r="B161" s="1430" t="s">
        <v>2251</v>
      </c>
      <c r="C161" s="1340" t="s">
        <v>2077</v>
      </c>
      <c r="D161" s="1431">
        <v>3000</v>
      </c>
      <c r="E161" s="1432">
        <v>0.4538757293039013</v>
      </c>
      <c r="F161" s="1381">
        <f t="shared" si="81"/>
        <v>1361.6271879117039</v>
      </c>
      <c r="G161" s="1381">
        <f t="shared" ref="G161:G179" si="84">D161-F161</f>
        <v>1638.3728120882961</v>
      </c>
      <c r="H161" s="1371"/>
      <c r="I161" s="1381">
        <f t="shared" si="82"/>
        <v>1638.3728120882961</v>
      </c>
      <c r="J161" s="1344">
        <v>0</v>
      </c>
      <c r="K161" s="1433">
        <v>1</v>
      </c>
      <c r="L161" s="1522">
        <f t="shared" si="83"/>
        <v>0</v>
      </c>
      <c r="M161" s="1517">
        <f t="shared" ref="M161:M179" si="85">I161*K161</f>
        <v>1638.3728120882961</v>
      </c>
      <c r="N161" s="1522">
        <f t="shared" ref="N161:N179" si="86">I161-L161-M161</f>
        <v>0</v>
      </c>
      <c r="O161" s="1434" t="s">
        <v>2250</v>
      </c>
    </row>
    <row r="162" spans="1:15" ht="47.25">
      <c r="A162" s="1332">
        <v>3</v>
      </c>
      <c r="B162" s="1430" t="s">
        <v>2252</v>
      </c>
      <c r="C162" s="1340" t="s">
        <v>2077</v>
      </c>
      <c r="D162" s="1431">
        <v>3000</v>
      </c>
      <c r="E162" s="1432">
        <v>0.49545249887438092</v>
      </c>
      <c r="F162" s="1381">
        <f t="shared" si="81"/>
        <v>1486.3574966231427</v>
      </c>
      <c r="G162" s="1381">
        <f t="shared" si="84"/>
        <v>1513.6425033768573</v>
      </c>
      <c r="H162" s="1371"/>
      <c r="I162" s="1381">
        <f t="shared" si="82"/>
        <v>1513.6425033768573</v>
      </c>
      <c r="J162" s="1344">
        <v>0</v>
      </c>
      <c r="K162" s="1433">
        <v>1</v>
      </c>
      <c r="L162" s="1522">
        <f t="shared" si="83"/>
        <v>0</v>
      </c>
      <c r="M162" s="1517">
        <f t="shared" si="85"/>
        <v>1513.6425033768573</v>
      </c>
      <c r="N162" s="1522">
        <f t="shared" si="86"/>
        <v>0</v>
      </c>
      <c r="O162" s="1434" t="s">
        <v>2250</v>
      </c>
    </row>
    <row r="163" spans="1:15" ht="47.25">
      <c r="A163" s="1332">
        <v>4</v>
      </c>
      <c r="B163" s="1430" t="s">
        <v>2253</v>
      </c>
      <c r="C163" s="1340" t="s">
        <v>2077</v>
      </c>
      <c r="D163" s="1431">
        <v>3000</v>
      </c>
      <c r="E163" s="1432">
        <v>0.48062612265845522</v>
      </c>
      <c r="F163" s="1381">
        <f t="shared" si="81"/>
        <v>1441.8783679753656</v>
      </c>
      <c r="G163" s="1381">
        <f t="shared" si="84"/>
        <v>1558.1216320246344</v>
      </c>
      <c r="H163" s="1371"/>
      <c r="I163" s="1381">
        <f t="shared" si="82"/>
        <v>1558.1216320246344</v>
      </c>
      <c r="J163" s="1344">
        <v>0</v>
      </c>
      <c r="K163" s="1433">
        <v>1</v>
      </c>
      <c r="L163" s="1522">
        <f t="shared" si="83"/>
        <v>0</v>
      </c>
      <c r="M163" s="1517">
        <f t="shared" si="85"/>
        <v>1558.1216320246344</v>
      </c>
      <c r="N163" s="1522">
        <f t="shared" si="86"/>
        <v>0</v>
      </c>
      <c r="O163" s="1434" t="s">
        <v>2250</v>
      </c>
    </row>
    <row r="164" spans="1:15" ht="31.5">
      <c r="A164" s="1332">
        <v>5</v>
      </c>
      <c r="B164" s="1430" t="s">
        <v>2254</v>
      </c>
      <c r="C164" s="1340" t="s">
        <v>2077</v>
      </c>
      <c r="D164" s="1431">
        <v>4000</v>
      </c>
      <c r="E164" s="1432">
        <v>0.49658314350797267</v>
      </c>
      <c r="F164" s="1381">
        <f t="shared" si="81"/>
        <v>1986.3325740318908</v>
      </c>
      <c r="G164" s="1381">
        <f t="shared" si="84"/>
        <v>2013.6674259681092</v>
      </c>
      <c r="H164" s="1371"/>
      <c r="I164" s="1381">
        <f t="shared" si="82"/>
        <v>2013.6674259681092</v>
      </c>
      <c r="J164" s="1344">
        <v>0</v>
      </c>
      <c r="K164" s="1433">
        <v>1</v>
      </c>
      <c r="L164" s="1522">
        <f t="shared" si="83"/>
        <v>0</v>
      </c>
      <c r="M164" s="1517">
        <f t="shared" si="85"/>
        <v>2013.6674259681092</v>
      </c>
      <c r="N164" s="1522">
        <f t="shared" si="86"/>
        <v>0</v>
      </c>
      <c r="O164" s="1434" t="s">
        <v>2250</v>
      </c>
    </row>
    <row r="165" spans="1:15" ht="31.5">
      <c r="A165" s="1332">
        <v>6</v>
      </c>
      <c r="B165" s="1430" t="s">
        <v>2255</v>
      </c>
      <c r="C165" s="1340" t="s">
        <v>2077</v>
      </c>
      <c r="D165" s="1431">
        <v>5000</v>
      </c>
      <c r="E165" s="1432">
        <v>0.49327439336735662</v>
      </c>
      <c r="F165" s="1381">
        <f t="shared" si="81"/>
        <v>2466.371966836783</v>
      </c>
      <c r="G165" s="1381">
        <f t="shared" si="84"/>
        <v>2533.628033163217</v>
      </c>
      <c r="H165" s="1371"/>
      <c r="I165" s="1381">
        <f t="shared" si="82"/>
        <v>2533.628033163217</v>
      </c>
      <c r="J165" s="1344">
        <v>0</v>
      </c>
      <c r="K165" s="1433">
        <v>1</v>
      </c>
      <c r="L165" s="1522">
        <f t="shared" si="83"/>
        <v>0</v>
      </c>
      <c r="M165" s="1517">
        <f t="shared" si="85"/>
        <v>2533.628033163217</v>
      </c>
      <c r="N165" s="1522">
        <f t="shared" si="86"/>
        <v>0</v>
      </c>
      <c r="O165" s="1434" t="s">
        <v>2250</v>
      </c>
    </row>
    <row r="166" spans="1:15" ht="47.25">
      <c r="A166" s="1332">
        <v>7</v>
      </c>
      <c r="B166" s="1430" t="s">
        <v>2256</v>
      </c>
      <c r="C166" s="1340" t="s">
        <v>2077</v>
      </c>
      <c r="D166" s="1431">
        <v>10000</v>
      </c>
      <c r="E166" s="1432">
        <v>0.49779820026804517</v>
      </c>
      <c r="F166" s="1381">
        <f>E166*D166</f>
        <v>4977.9820026804518</v>
      </c>
      <c r="G166" s="1381">
        <f t="shared" si="84"/>
        <v>5022.0179973195482</v>
      </c>
      <c r="H166" s="1371"/>
      <c r="I166" s="1381">
        <f t="shared" si="82"/>
        <v>5022.0179973195482</v>
      </c>
      <c r="J166" s="1344">
        <v>0.1</v>
      </c>
      <c r="K166" s="1433">
        <v>0.8</v>
      </c>
      <c r="L166" s="1522">
        <f t="shared" si="83"/>
        <v>502.20179973195485</v>
      </c>
      <c r="M166" s="1517">
        <f t="shared" si="85"/>
        <v>4017.6143978556388</v>
      </c>
      <c r="N166" s="1522">
        <f t="shared" si="86"/>
        <v>502.20179973195491</v>
      </c>
      <c r="O166" s="1434">
        <v>2018</v>
      </c>
    </row>
    <row r="167" spans="1:15" ht="31.5">
      <c r="A167" s="1332">
        <v>8</v>
      </c>
      <c r="B167" s="1430" t="s">
        <v>2257</v>
      </c>
      <c r="C167" s="1340" t="s">
        <v>2077</v>
      </c>
      <c r="D167" s="1431">
        <v>6000</v>
      </c>
      <c r="E167" s="1432">
        <v>0.39976825028968715</v>
      </c>
      <c r="F167" s="1381">
        <f t="shared" ref="F167:F179" si="87">E167*D167</f>
        <v>2398.6095017381231</v>
      </c>
      <c r="G167" s="1381">
        <f t="shared" si="84"/>
        <v>3601.3904982618769</v>
      </c>
      <c r="H167" s="1371"/>
      <c r="I167" s="1381">
        <f t="shared" si="82"/>
        <v>3601.3904982618769</v>
      </c>
      <c r="J167" s="1344">
        <v>0.1</v>
      </c>
      <c r="K167" s="1433">
        <v>0.8</v>
      </c>
      <c r="L167" s="1522">
        <f t="shared" si="83"/>
        <v>360.13904982618772</v>
      </c>
      <c r="M167" s="1517">
        <f t="shared" si="85"/>
        <v>2881.1123986095017</v>
      </c>
      <c r="N167" s="1522">
        <f t="shared" si="86"/>
        <v>360.1390498261876</v>
      </c>
      <c r="O167" s="1434">
        <v>2018</v>
      </c>
    </row>
    <row r="168" spans="1:15" ht="31.5">
      <c r="A168" s="1332">
        <v>9</v>
      </c>
      <c r="B168" s="1430" t="s">
        <v>2258</v>
      </c>
      <c r="C168" s="1340" t="s">
        <v>2077</v>
      </c>
      <c r="D168" s="1431">
        <v>4000</v>
      </c>
      <c r="E168" s="1432">
        <v>0.5</v>
      </c>
      <c r="F168" s="1381">
        <f t="shared" si="87"/>
        <v>2000</v>
      </c>
      <c r="G168" s="1381">
        <f t="shared" si="84"/>
        <v>2000</v>
      </c>
      <c r="H168" s="1371"/>
      <c r="I168" s="1381">
        <f t="shared" si="82"/>
        <v>2000</v>
      </c>
      <c r="J168" s="1344">
        <v>0.1</v>
      </c>
      <c r="K168" s="1433">
        <v>0.8</v>
      </c>
      <c r="L168" s="1522">
        <f t="shared" si="83"/>
        <v>200</v>
      </c>
      <c r="M168" s="1517">
        <f t="shared" si="85"/>
        <v>1600</v>
      </c>
      <c r="N168" s="1522">
        <f t="shared" si="86"/>
        <v>200</v>
      </c>
      <c r="O168" s="1434">
        <v>2018</v>
      </c>
    </row>
    <row r="169" spans="1:15" ht="47.25">
      <c r="A169" s="1332">
        <v>10</v>
      </c>
      <c r="B169" s="1430" t="s">
        <v>2259</v>
      </c>
      <c r="C169" s="1340" t="s">
        <v>2077</v>
      </c>
      <c r="D169" s="1431">
        <v>5000</v>
      </c>
      <c r="E169" s="1432">
        <v>0.39649373743621463</v>
      </c>
      <c r="F169" s="1381">
        <f t="shared" si="87"/>
        <v>1982.4686871810732</v>
      </c>
      <c r="G169" s="1381">
        <f t="shared" si="84"/>
        <v>3017.5313128189268</v>
      </c>
      <c r="H169" s="1371"/>
      <c r="I169" s="1381">
        <f t="shared" si="82"/>
        <v>3017.5313128189268</v>
      </c>
      <c r="J169" s="1344">
        <v>0.1</v>
      </c>
      <c r="K169" s="1433">
        <v>0.8</v>
      </c>
      <c r="L169" s="1522">
        <f t="shared" si="83"/>
        <v>301.75313128189271</v>
      </c>
      <c r="M169" s="1517">
        <f t="shared" si="85"/>
        <v>2414.0250502551417</v>
      </c>
      <c r="N169" s="1522">
        <f t="shared" si="86"/>
        <v>301.75313128189237</v>
      </c>
      <c r="O169" s="1434" t="s">
        <v>328</v>
      </c>
    </row>
    <row r="170" spans="1:15" ht="47.25">
      <c r="A170" s="1332">
        <v>11</v>
      </c>
      <c r="B170" s="1435" t="s">
        <v>2260</v>
      </c>
      <c r="C170" s="1340" t="s">
        <v>2077</v>
      </c>
      <c r="D170" s="1431">
        <v>10000</v>
      </c>
      <c r="E170" s="1432">
        <v>0.5</v>
      </c>
      <c r="F170" s="1381">
        <f t="shared" si="87"/>
        <v>5000</v>
      </c>
      <c r="G170" s="1381">
        <f t="shared" si="84"/>
        <v>5000</v>
      </c>
      <c r="H170" s="1371"/>
      <c r="I170" s="1381">
        <f t="shared" si="82"/>
        <v>5000</v>
      </c>
      <c r="J170" s="1344">
        <v>0.1</v>
      </c>
      <c r="K170" s="1433">
        <v>0.7</v>
      </c>
      <c r="L170" s="1522">
        <f t="shared" si="83"/>
        <v>500</v>
      </c>
      <c r="M170" s="1517">
        <f t="shared" si="85"/>
        <v>3500</v>
      </c>
      <c r="N170" s="1522">
        <f t="shared" si="86"/>
        <v>1000</v>
      </c>
      <c r="O170" s="1434">
        <v>2015</v>
      </c>
    </row>
    <row r="171" spans="1:15" ht="47.25">
      <c r="A171" s="1332">
        <v>12</v>
      </c>
      <c r="B171" s="1430" t="s">
        <v>2261</v>
      </c>
      <c r="C171" s="1340" t="s">
        <v>2077</v>
      </c>
      <c r="D171" s="1431">
        <v>5000</v>
      </c>
      <c r="E171" s="1432">
        <v>0.40101637466675932</v>
      </c>
      <c r="F171" s="1381">
        <f t="shared" si="87"/>
        <v>2005.0818733337967</v>
      </c>
      <c r="G171" s="1381">
        <f t="shared" si="84"/>
        <v>2994.9181266662035</v>
      </c>
      <c r="H171" s="1371"/>
      <c r="I171" s="1381">
        <f t="shared" si="82"/>
        <v>2994.9181266662035</v>
      </c>
      <c r="J171" s="1344">
        <v>0.1</v>
      </c>
      <c r="K171" s="1433">
        <v>0.7</v>
      </c>
      <c r="L171" s="1522">
        <f t="shared" si="83"/>
        <v>299.49181266662038</v>
      </c>
      <c r="M171" s="1517">
        <f t="shared" si="85"/>
        <v>2096.4426886663423</v>
      </c>
      <c r="N171" s="1522">
        <f t="shared" si="86"/>
        <v>598.98362533324098</v>
      </c>
      <c r="O171" s="1434">
        <v>2015</v>
      </c>
    </row>
    <row r="172" spans="1:15" ht="47.25">
      <c r="A172" s="1332">
        <v>13</v>
      </c>
      <c r="B172" s="1430" t="s">
        <v>2262</v>
      </c>
      <c r="C172" s="1340" t="s">
        <v>2077</v>
      </c>
      <c r="D172" s="1431">
        <v>3000</v>
      </c>
      <c r="E172" s="1432">
        <v>0.49993113896157554</v>
      </c>
      <c r="F172" s="1381">
        <f t="shared" si="87"/>
        <v>1499.7934168847266</v>
      </c>
      <c r="G172" s="1381">
        <f t="shared" si="84"/>
        <v>1500.2065831152734</v>
      </c>
      <c r="H172" s="1371"/>
      <c r="I172" s="1381">
        <f t="shared" si="82"/>
        <v>1500.2065831152734</v>
      </c>
      <c r="J172" s="1344">
        <v>0.1</v>
      </c>
      <c r="K172" s="1433">
        <v>0.8</v>
      </c>
      <c r="L172" s="1522">
        <f t="shared" si="83"/>
        <v>150.02065831152734</v>
      </c>
      <c r="M172" s="1517">
        <f t="shared" si="85"/>
        <v>1200.1652664922187</v>
      </c>
      <c r="N172" s="1522">
        <f t="shared" si="86"/>
        <v>150.02065831152731</v>
      </c>
      <c r="O172" s="1434">
        <v>2018</v>
      </c>
    </row>
    <row r="173" spans="1:15" ht="31.5">
      <c r="A173" s="1332">
        <v>14</v>
      </c>
      <c r="B173" s="1430" t="s">
        <v>2263</v>
      </c>
      <c r="C173" s="1340" t="s">
        <v>2077</v>
      </c>
      <c r="D173" s="1431">
        <v>8000</v>
      </c>
      <c r="E173" s="1432">
        <v>0.5</v>
      </c>
      <c r="F173" s="1381">
        <f t="shared" si="87"/>
        <v>4000</v>
      </c>
      <c r="G173" s="1381">
        <f t="shared" si="84"/>
        <v>4000</v>
      </c>
      <c r="H173" s="1371"/>
      <c r="I173" s="1381">
        <f t="shared" si="82"/>
        <v>4000</v>
      </c>
      <c r="J173" s="1344">
        <v>0.1</v>
      </c>
      <c r="K173" s="1433">
        <v>0.8</v>
      </c>
      <c r="L173" s="1522">
        <f t="shared" si="83"/>
        <v>400</v>
      </c>
      <c r="M173" s="1517">
        <f t="shared" si="85"/>
        <v>3200</v>
      </c>
      <c r="N173" s="1522">
        <f t="shared" si="86"/>
        <v>400</v>
      </c>
      <c r="O173" s="1434">
        <v>2018</v>
      </c>
    </row>
    <row r="174" spans="1:15" ht="31.5">
      <c r="A174" s="1332">
        <v>15</v>
      </c>
      <c r="B174" s="1430" t="s">
        <v>2264</v>
      </c>
      <c r="C174" s="1340" t="s">
        <v>2077</v>
      </c>
      <c r="D174" s="1431">
        <v>8000</v>
      </c>
      <c r="E174" s="1432">
        <v>0.40524904259223737</v>
      </c>
      <c r="F174" s="1381">
        <f t="shared" si="87"/>
        <v>3241.9923407378992</v>
      </c>
      <c r="G174" s="1381">
        <f t="shared" si="84"/>
        <v>4758.0076592621008</v>
      </c>
      <c r="H174" s="1371"/>
      <c r="I174" s="1381">
        <f t="shared" si="82"/>
        <v>4758.0076592621008</v>
      </c>
      <c r="J174" s="1344">
        <v>0.1</v>
      </c>
      <c r="K174" s="1433">
        <v>0.8</v>
      </c>
      <c r="L174" s="1522">
        <f t="shared" si="83"/>
        <v>475.80076592621009</v>
      </c>
      <c r="M174" s="1517">
        <f t="shared" si="85"/>
        <v>3806.4061274096807</v>
      </c>
      <c r="N174" s="1522">
        <f t="shared" si="86"/>
        <v>475.80076592620981</v>
      </c>
      <c r="O174" s="1434">
        <v>2018</v>
      </c>
    </row>
    <row r="175" spans="1:15" ht="47.25">
      <c r="A175" s="1332">
        <v>16</v>
      </c>
      <c r="B175" s="1430" t="s">
        <v>2265</v>
      </c>
      <c r="C175" s="1340" t="s">
        <v>2077</v>
      </c>
      <c r="D175" s="1431">
        <v>3000</v>
      </c>
      <c r="E175" s="1432">
        <v>0.5</v>
      </c>
      <c r="F175" s="1381">
        <f t="shared" si="87"/>
        <v>1500</v>
      </c>
      <c r="G175" s="1381">
        <f t="shared" si="84"/>
        <v>1500</v>
      </c>
      <c r="H175" s="1371"/>
      <c r="I175" s="1381">
        <f t="shared" si="82"/>
        <v>1500</v>
      </c>
      <c r="J175" s="1344">
        <v>0.1</v>
      </c>
      <c r="K175" s="1433">
        <v>0.8</v>
      </c>
      <c r="L175" s="1522">
        <f t="shared" si="83"/>
        <v>150</v>
      </c>
      <c r="M175" s="1517">
        <f t="shared" si="85"/>
        <v>1200</v>
      </c>
      <c r="N175" s="1522">
        <f t="shared" si="86"/>
        <v>150</v>
      </c>
      <c r="O175" s="1434">
        <v>2018</v>
      </c>
    </row>
    <row r="176" spans="1:15" ht="47.25">
      <c r="A176" s="1332">
        <v>17</v>
      </c>
      <c r="B176" s="1430" t="s">
        <v>2266</v>
      </c>
      <c r="C176" s="1340" t="s">
        <v>2077</v>
      </c>
      <c r="D176" s="1431">
        <v>3000</v>
      </c>
      <c r="E176" s="1432">
        <v>0.50793650793650791</v>
      </c>
      <c r="F176" s="1381">
        <f t="shared" si="87"/>
        <v>1523.8095238095236</v>
      </c>
      <c r="G176" s="1381">
        <f t="shared" si="84"/>
        <v>1476.1904761904764</v>
      </c>
      <c r="H176" s="1371"/>
      <c r="I176" s="1381">
        <f t="shared" si="82"/>
        <v>1476.1904761904764</v>
      </c>
      <c r="J176" s="1344">
        <v>0.1</v>
      </c>
      <c r="K176" s="1433">
        <v>0.7</v>
      </c>
      <c r="L176" s="1522">
        <f t="shared" si="83"/>
        <v>147.61904761904765</v>
      </c>
      <c r="M176" s="1517">
        <f t="shared" si="85"/>
        <v>1033.3333333333335</v>
      </c>
      <c r="N176" s="1522">
        <f t="shared" si="86"/>
        <v>295.23809523809518</v>
      </c>
      <c r="O176" s="1434">
        <v>2016</v>
      </c>
    </row>
    <row r="177" spans="1:256" ht="47.25">
      <c r="A177" s="1332">
        <v>18</v>
      </c>
      <c r="B177" s="1430" t="s">
        <v>2267</v>
      </c>
      <c r="C177" s="1340" t="s">
        <v>2077</v>
      </c>
      <c r="D177" s="1431">
        <v>4000</v>
      </c>
      <c r="E177" s="1432">
        <v>0.42810967285404461</v>
      </c>
      <c r="F177" s="1381">
        <f t="shared" si="87"/>
        <v>1712.4386914161785</v>
      </c>
      <c r="G177" s="1381">
        <f t="shared" si="84"/>
        <v>2287.5613085838213</v>
      </c>
      <c r="H177" s="1371"/>
      <c r="I177" s="1381">
        <f t="shared" si="82"/>
        <v>2287.5613085838213</v>
      </c>
      <c r="J177" s="1344">
        <v>0.1</v>
      </c>
      <c r="K177" s="1433">
        <v>0.7</v>
      </c>
      <c r="L177" s="1522">
        <f t="shared" si="83"/>
        <v>228.75613085838214</v>
      </c>
      <c r="M177" s="1517">
        <f t="shared" si="85"/>
        <v>1601.2929160086749</v>
      </c>
      <c r="N177" s="1522">
        <f t="shared" si="86"/>
        <v>457.51226171676421</v>
      </c>
      <c r="O177" s="1434">
        <v>2016</v>
      </c>
    </row>
    <row r="178" spans="1:256" ht="31.5">
      <c r="A178" s="1332">
        <v>19</v>
      </c>
      <c r="B178" s="1430" t="s">
        <v>2268</v>
      </c>
      <c r="C178" s="1340" t="s">
        <v>2077</v>
      </c>
      <c r="D178" s="1431">
        <v>2000</v>
      </c>
      <c r="E178" s="1432">
        <v>0.5</v>
      </c>
      <c r="F178" s="1381">
        <f t="shared" si="87"/>
        <v>1000</v>
      </c>
      <c r="G178" s="1381">
        <f t="shared" si="84"/>
        <v>1000</v>
      </c>
      <c r="H178" s="1371"/>
      <c r="I178" s="1381">
        <f t="shared" si="82"/>
        <v>1000</v>
      </c>
      <c r="J178" s="1344">
        <v>0.1</v>
      </c>
      <c r="K178" s="1433">
        <v>0.7</v>
      </c>
      <c r="L178" s="1522">
        <f t="shared" si="83"/>
        <v>100</v>
      </c>
      <c r="M178" s="1517">
        <f t="shared" si="85"/>
        <v>700</v>
      </c>
      <c r="N178" s="1522">
        <f t="shared" si="86"/>
        <v>200</v>
      </c>
      <c r="O178" s="1434">
        <v>2016</v>
      </c>
    </row>
    <row r="179" spans="1:256" ht="31.5">
      <c r="A179" s="1332">
        <v>20</v>
      </c>
      <c r="B179" s="1430" t="s">
        <v>2269</v>
      </c>
      <c r="C179" s="1340" t="s">
        <v>2077</v>
      </c>
      <c r="D179" s="1431">
        <v>3000</v>
      </c>
      <c r="E179" s="1432">
        <v>0.5</v>
      </c>
      <c r="F179" s="1381">
        <f t="shared" si="87"/>
        <v>1500</v>
      </c>
      <c r="G179" s="1381">
        <f t="shared" si="84"/>
        <v>1500</v>
      </c>
      <c r="H179" s="1371"/>
      <c r="I179" s="1381">
        <f t="shared" si="82"/>
        <v>1500</v>
      </c>
      <c r="J179" s="1344">
        <v>0.1</v>
      </c>
      <c r="K179" s="1433">
        <v>0.7</v>
      </c>
      <c r="L179" s="1522">
        <f t="shared" si="83"/>
        <v>150</v>
      </c>
      <c r="M179" s="1517">
        <f t="shared" si="85"/>
        <v>1050</v>
      </c>
      <c r="N179" s="1522">
        <f t="shared" si="86"/>
        <v>300</v>
      </c>
      <c r="O179" s="1434">
        <v>2015</v>
      </c>
    </row>
    <row r="180" spans="1:256">
      <c r="A180" s="1332" t="s">
        <v>2011</v>
      </c>
      <c r="B180" s="1333" t="s">
        <v>2270</v>
      </c>
      <c r="C180" s="1334"/>
      <c r="D180" s="1335">
        <f t="shared" ref="D180:N180" si="88">SUM(D181:D193)</f>
        <v>10000</v>
      </c>
      <c r="E180" s="1335">
        <f t="shared" si="88"/>
        <v>2.38</v>
      </c>
      <c r="F180" s="1335">
        <f t="shared" si="88"/>
        <v>3875</v>
      </c>
      <c r="G180" s="1335">
        <f t="shared" si="88"/>
        <v>6125</v>
      </c>
      <c r="H180" s="1335">
        <f t="shared" si="88"/>
        <v>0</v>
      </c>
      <c r="I180" s="1335">
        <f t="shared" si="88"/>
        <v>6125</v>
      </c>
      <c r="J180" s="1335">
        <f t="shared" si="88"/>
        <v>1.3</v>
      </c>
      <c r="K180" s="1335">
        <f t="shared" si="88"/>
        <v>10.100000000000001</v>
      </c>
      <c r="L180" s="1512">
        <f t="shared" si="88"/>
        <v>612.5</v>
      </c>
      <c r="M180" s="1513">
        <f t="shared" si="88"/>
        <v>4700</v>
      </c>
      <c r="N180" s="1512">
        <f t="shared" si="88"/>
        <v>812.5</v>
      </c>
      <c r="O180" s="1337"/>
      <c r="P180" s="1313"/>
      <c r="Q180" s="1313"/>
      <c r="R180" s="1313"/>
      <c r="S180" s="1313"/>
      <c r="T180" s="1313"/>
      <c r="U180" s="1313"/>
      <c r="V180" s="1313"/>
      <c r="W180" s="1313"/>
      <c r="X180" s="1313"/>
      <c r="Y180" s="1313"/>
      <c r="Z180" s="1313"/>
      <c r="AA180" s="1313"/>
      <c r="AB180" s="1313"/>
      <c r="AC180" s="1313"/>
      <c r="AD180" s="1313"/>
      <c r="AE180" s="1313"/>
      <c r="AF180" s="1313"/>
      <c r="AG180" s="1313"/>
      <c r="AH180" s="1313"/>
      <c r="AI180" s="1313"/>
      <c r="AJ180" s="1313"/>
      <c r="AK180" s="1313"/>
      <c r="AL180" s="1313"/>
      <c r="AM180" s="1313"/>
      <c r="AN180" s="1313"/>
      <c r="AO180" s="1313"/>
      <c r="AP180" s="1313"/>
      <c r="AQ180" s="1313"/>
      <c r="AR180" s="1313"/>
      <c r="AS180" s="1313"/>
      <c r="AT180" s="1313"/>
      <c r="AU180" s="1313"/>
      <c r="AV180" s="1313"/>
      <c r="AW180" s="1313"/>
      <c r="AX180" s="1313"/>
      <c r="AY180" s="1313"/>
      <c r="AZ180" s="1313"/>
      <c r="BA180" s="1313"/>
      <c r="BB180" s="1313"/>
      <c r="BC180" s="1313"/>
      <c r="BD180" s="1313"/>
      <c r="BE180" s="1313"/>
      <c r="BF180" s="1313"/>
      <c r="BG180" s="1313"/>
      <c r="BH180" s="1313"/>
      <c r="BI180" s="1313"/>
      <c r="BJ180" s="1313"/>
      <c r="BK180" s="1313"/>
      <c r="BL180" s="1313"/>
      <c r="BM180" s="1313"/>
      <c r="BN180" s="1313"/>
      <c r="BO180" s="1313"/>
      <c r="BP180" s="1313"/>
      <c r="BQ180" s="1313"/>
      <c r="BR180" s="1313"/>
      <c r="BS180" s="1313"/>
      <c r="BT180" s="1313"/>
      <c r="BU180" s="1313"/>
      <c r="BV180" s="1313"/>
      <c r="BW180" s="1313"/>
      <c r="BX180" s="1313"/>
      <c r="BY180" s="1313"/>
      <c r="BZ180" s="1313"/>
      <c r="CA180" s="1313"/>
      <c r="CB180" s="1313"/>
      <c r="CC180" s="1313"/>
      <c r="CD180" s="1313"/>
      <c r="CE180" s="1313"/>
      <c r="CF180" s="1313"/>
      <c r="CG180" s="1313"/>
      <c r="CH180" s="1313"/>
      <c r="CI180" s="1313"/>
      <c r="CJ180" s="1313"/>
      <c r="CK180" s="1313"/>
      <c r="CL180" s="1313"/>
      <c r="CM180" s="1313"/>
      <c r="CN180" s="1313"/>
      <c r="CO180" s="1313"/>
      <c r="CP180" s="1313"/>
      <c r="CQ180" s="1313"/>
      <c r="CR180" s="1313"/>
      <c r="CS180" s="1313"/>
      <c r="CT180" s="1313"/>
      <c r="CU180" s="1313"/>
      <c r="CV180" s="1313"/>
      <c r="CW180" s="1313"/>
      <c r="CX180" s="1313"/>
      <c r="CY180" s="1313"/>
      <c r="CZ180" s="1313"/>
      <c r="DA180" s="1313"/>
      <c r="DB180" s="1313"/>
      <c r="DC180" s="1313"/>
      <c r="DD180" s="1313"/>
      <c r="DE180" s="1313"/>
      <c r="DF180" s="1313"/>
      <c r="DG180" s="1313"/>
      <c r="DH180" s="1313"/>
      <c r="DI180" s="1313"/>
      <c r="DJ180" s="1313"/>
      <c r="DK180" s="1313"/>
      <c r="DL180" s="1313"/>
      <c r="DM180" s="1313"/>
      <c r="DN180" s="1313"/>
      <c r="DO180" s="1313"/>
      <c r="DP180" s="1313"/>
      <c r="DQ180" s="1313"/>
      <c r="DR180" s="1313"/>
      <c r="DS180" s="1313"/>
      <c r="DT180" s="1313"/>
      <c r="DU180" s="1313"/>
      <c r="DV180" s="1313"/>
      <c r="DW180" s="1313"/>
      <c r="DX180" s="1313"/>
      <c r="DY180" s="1313"/>
      <c r="DZ180" s="1313"/>
      <c r="EA180" s="1313"/>
      <c r="EB180" s="1313"/>
      <c r="EC180" s="1313"/>
      <c r="ED180" s="1313"/>
      <c r="EE180" s="1313"/>
      <c r="EF180" s="1313"/>
      <c r="EG180" s="1313"/>
      <c r="EH180" s="1313"/>
      <c r="EI180" s="1313"/>
      <c r="EJ180" s="1313"/>
      <c r="EK180" s="1313"/>
      <c r="EL180" s="1313"/>
      <c r="EM180" s="1313"/>
      <c r="EN180" s="1313"/>
      <c r="EO180" s="1313"/>
      <c r="EP180" s="1313"/>
      <c r="EQ180" s="1313"/>
      <c r="ER180" s="1313"/>
      <c r="ES180" s="1313"/>
      <c r="ET180" s="1313"/>
      <c r="EU180" s="1313"/>
      <c r="EV180" s="1313"/>
      <c r="EW180" s="1313"/>
      <c r="EX180" s="1313"/>
      <c r="EY180" s="1313"/>
      <c r="EZ180" s="1313"/>
      <c r="FA180" s="1313"/>
      <c r="FB180" s="1313"/>
      <c r="FC180" s="1313"/>
      <c r="FD180" s="1313"/>
      <c r="FE180" s="1313"/>
      <c r="FF180" s="1313"/>
      <c r="FG180" s="1313"/>
      <c r="FH180" s="1313"/>
      <c r="FI180" s="1313"/>
      <c r="FJ180" s="1313"/>
      <c r="FK180" s="1313"/>
      <c r="FL180" s="1313"/>
      <c r="FM180" s="1313"/>
      <c r="FN180" s="1313"/>
      <c r="FO180" s="1313"/>
      <c r="FP180" s="1313"/>
      <c r="FQ180" s="1313"/>
      <c r="FR180" s="1313"/>
      <c r="FS180" s="1313"/>
      <c r="FT180" s="1313"/>
      <c r="FU180" s="1313"/>
      <c r="FV180" s="1313"/>
      <c r="FW180" s="1313"/>
      <c r="FX180" s="1313"/>
      <c r="FY180" s="1313"/>
      <c r="FZ180" s="1313"/>
      <c r="GA180" s="1313"/>
      <c r="GB180" s="1313"/>
      <c r="GC180" s="1313"/>
      <c r="GD180" s="1313"/>
      <c r="GE180" s="1313"/>
      <c r="GF180" s="1313"/>
      <c r="GG180" s="1313"/>
      <c r="GH180" s="1313"/>
      <c r="GI180" s="1313"/>
      <c r="GJ180" s="1313"/>
      <c r="GK180" s="1313"/>
      <c r="GL180" s="1313"/>
      <c r="GM180" s="1313"/>
      <c r="GN180" s="1313"/>
      <c r="GO180" s="1313"/>
      <c r="GP180" s="1313"/>
      <c r="GQ180" s="1313"/>
      <c r="GR180" s="1313"/>
      <c r="GS180" s="1313"/>
      <c r="GT180" s="1313"/>
      <c r="GU180" s="1313"/>
      <c r="GV180" s="1313"/>
      <c r="GW180" s="1313"/>
      <c r="GX180" s="1313"/>
      <c r="GY180" s="1313"/>
      <c r="GZ180" s="1313"/>
      <c r="HA180" s="1313"/>
      <c r="HB180" s="1313"/>
      <c r="HC180" s="1313"/>
      <c r="HD180" s="1313"/>
      <c r="HE180" s="1313"/>
      <c r="HF180" s="1313"/>
      <c r="HG180" s="1313"/>
      <c r="HH180" s="1313"/>
      <c r="HI180" s="1313"/>
      <c r="HJ180" s="1313"/>
      <c r="HK180" s="1313"/>
      <c r="HL180" s="1313"/>
      <c r="HM180" s="1313"/>
      <c r="HN180" s="1313"/>
      <c r="HO180" s="1313"/>
      <c r="HP180" s="1313"/>
      <c r="HQ180" s="1313"/>
      <c r="HR180" s="1313"/>
      <c r="HS180" s="1313"/>
      <c r="HT180" s="1313"/>
      <c r="HU180" s="1313"/>
      <c r="HV180" s="1313"/>
      <c r="HW180" s="1313"/>
      <c r="HX180" s="1313"/>
      <c r="HY180" s="1313"/>
      <c r="HZ180" s="1313"/>
      <c r="IA180" s="1313"/>
      <c r="IB180" s="1313"/>
      <c r="IC180" s="1313"/>
      <c r="ID180" s="1313"/>
      <c r="IE180" s="1313"/>
      <c r="IF180" s="1313"/>
      <c r="IG180" s="1313"/>
      <c r="IH180" s="1313"/>
      <c r="II180" s="1313"/>
      <c r="IJ180" s="1313"/>
      <c r="IK180" s="1313"/>
      <c r="IL180" s="1313"/>
      <c r="IM180" s="1313"/>
      <c r="IN180" s="1313"/>
      <c r="IO180" s="1313"/>
      <c r="IP180" s="1313"/>
      <c r="IQ180" s="1313"/>
      <c r="IR180" s="1313"/>
      <c r="IS180" s="1313"/>
      <c r="IT180" s="1313"/>
      <c r="IU180" s="1313"/>
      <c r="IV180" s="1313"/>
    </row>
    <row r="181" spans="1:256" ht="31.5">
      <c r="A181" s="1404">
        <v>1</v>
      </c>
      <c r="B181" s="1417" t="s">
        <v>2271</v>
      </c>
      <c r="C181" s="1436" t="s">
        <v>2081</v>
      </c>
      <c r="D181" s="1437">
        <v>2000</v>
      </c>
      <c r="E181" s="1432">
        <v>0.5</v>
      </c>
      <c r="F181" s="1381">
        <f>D181*E181</f>
        <v>1000</v>
      </c>
      <c r="G181" s="1381">
        <f>D181-F181</f>
        <v>1000</v>
      </c>
      <c r="H181" s="1438"/>
      <c r="I181" s="1381">
        <f t="shared" ref="I181:I193" si="89">G181-H181</f>
        <v>1000</v>
      </c>
      <c r="J181" s="1344">
        <v>0.1</v>
      </c>
      <c r="K181" s="1433">
        <v>0.8</v>
      </c>
      <c r="L181" s="1522">
        <f t="shared" ref="L181:L193" si="90">I181*J181</f>
        <v>100</v>
      </c>
      <c r="M181" s="1517">
        <f t="shared" ref="M181:M193" si="91">I181*K181</f>
        <v>800</v>
      </c>
      <c r="N181" s="1522">
        <f t="shared" ref="N181:N193" si="92">I181-L181-M181</f>
        <v>100</v>
      </c>
      <c r="O181" s="1434">
        <v>2018</v>
      </c>
    </row>
    <row r="182" spans="1:256" ht="31.5">
      <c r="A182" s="1398">
        <v>2</v>
      </c>
      <c r="B182" s="1417" t="s">
        <v>2272</v>
      </c>
      <c r="C182" s="1436" t="s">
        <v>2081</v>
      </c>
      <c r="D182" s="1439">
        <v>2000</v>
      </c>
      <c r="E182" s="1432">
        <v>0.5</v>
      </c>
      <c r="F182" s="1381">
        <f>D182*E182</f>
        <v>1000</v>
      </c>
      <c r="G182" s="1381">
        <f t="shared" ref="G182:G193" si="93">D182-F182</f>
        <v>1000</v>
      </c>
      <c r="H182" s="1438"/>
      <c r="I182" s="1381">
        <f t="shared" si="89"/>
        <v>1000</v>
      </c>
      <c r="J182" s="1344">
        <v>0.1</v>
      </c>
      <c r="K182" s="1433">
        <v>0.7</v>
      </c>
      <c r="L182" s="1522">
        <f t="shared" si="90"/>
        <v>100</v>
      </c>
      <c r="M182" s="1517">
        <f t="shared" si="91"/>
        <v>700</v>
      </c>
      <c r="N182" s="1522">
        <f t="shared" si="92"/>
        <v>200</v>
      </c>
      <c r="O182" s="1434">
        <v>2016</v>
      </c>
    </row>
    <row r="183" spans="1:256" ht="31.5">
      <c r="A183" s="1398">
        <v>3</v>
      </c>
      <c r="B183" s="1417" t="s">
        <v>2273</v>
      </c>
      <c r="C183" s="1436" t="s">
        <v>2081</v>
      </c>
      <c r="D183" s="1439">
        <v>1800</v>
      </c>
      <c r="E183" s="1432">
        <v>0.5</v>
      </c>
      <c r="F183" s="1381">
        <f>D183*E183</f>
        <v>900</v>
      </c>
      <c r="G183" s="1381">
        <f t="shared" si="93"/>
        <v>900</v>
      </c>
      <c r="H183" s="1438"/>
      <c r="I183" s="1381">
        <f t="shared" si="89"/>
        <v>900</v>
      </c>
      <c r="J183" s="1344">
        <v>0.1</v>
      </c>
      <c r="K183" s="1433">
        <v>0.8</v>
      </c>
      <c r="L183" s="1522">
        <f t="shared" si="90"/>
        <v>90</v>
      </c>
      <c r="M183" s="1517">
        <f t="shared" si="91"/>
        <v>720</v>
      </c>
      <c r="N183" s="1522">
        <f t="shared" si="92"/>
        <v>90</v>
      </c>
      <c r="O183" s="1434">
        <v>2019</v>
      </c>
    </row>
    <row r="184" spans="1:256" ht="31.5">
      <c r="A184" s="1398">
        <v>5</v>
      </c>
      <c r="B184" s="1417" t="s">
        <v>2274</v>
      </c>
      <c r="C184" s="1436" t="s">
        <v>2081</v>
      </c>
      <c r="D184" s="1439">
        <v>1000</v>
      </c>
      <c r="E184" s="1432">
        <v>0.5</v>
      </c>
      <c r="F184" s="1381">
        <f>D184*E184</f>
        <v>500</v>
      </c>
      <c r="G184" s="1381">
        <f t="shared" si="93"/>
        <v>500</v>
      </c>
      <c r="H184" s="1438"/>
      <c r="I184" s="1381">
        <f t="shared" si="89"/>
        <v>500</v>
      </c>
      <c r="J184" s="1344">
        <v>0.1</v>
      </c>
      <c r="K184" s="1433">
        <v>0.6</v>
      </c>
      <c r="L184" s="1522">
        <f t="shared" si="90"/>
        <v>50</v>
      </c>
      <c r="M184" s="1517">
        <f t="shared" si="91"/>
        <v>300</v>
      </c>
      <c r="N184" s="1522">
        <f t="shared" si="92"/>
        <v>150</v>
      </c>
      <c r="O184" s="1434"/>
    </row>
    <row r="185" spans="1:256" ht="15.75">
      <c r="A185" s="1398">
        <v>6</v>
      </c>
      <c r="B185" s="1417" t="s">
        <v>2275</v>
      </c>
      <c r="C185" s="1436" t="s">
        <v>2081</v>
      </c>
      <c r="D185" s="1439">
        <v>1250</v>
      </c>
      <c r="E185" s="1432">
        <v>0.38</v>
      </c>
      <c r="F185" s="1381">
        <f>D185*E185</f>
        <v>475</v>
      </c>
      <c r="G185" s="1381">
        <f t="shared" si="93"/>
        <v>775</v>
      </c>
      <c r="H185" s="1438"/>
      <c r="I185" s="1381">
        <f t="shared" si="89"/>
        <v>775</v>
      </c>
      <c r="J185" s="1344">
        <v>0.1</v>
      </c>
      <c r="K185" s="1433">
        <v>0.8</v>
      </c>
      <c r="L185" s="1522">
        <f t="shared" si="90"/>
        <v>77.5</v>
      </c>
      <c r="M185" s="1517">
        <f t="shared" si="91"/>
        <v>620</v>
      </c>
      <c r="N185" s="1522">
        <f t="shared" si="92"/>
        <v>77.5</v>
      </c>
      <c r="O185" s="1434">
        <v>2019</v>
      </c>
    </row>
    <row r="186" spans="1:256" ht="15.75">
      <c r="A186" s="1398">
        <v>1</v>
      </c>
      <c r="B186" s="1403" t="s">
        <v>2276</v>
      </c>
      <c r="C186" s="1436" t="s">
        <v>2081</v>
      </c>
      <c r="D186" s="1385">
        <v>300</v>
      </c>
      <c r="E186" s="1381"/>
      <c r="F186" s="1381"/>
      <c r="G186" s="1381">
        <f t="shared" si="93"/>
        <v>300</v>
      </c>
      <c r="H186" s="1438"/>
      <c r="I186" s="1381">
        <f t="shared" si="89"/>
        <v>300</v>
      </c>
      <c r="J186" s="1344">
        <v>0.1</v>
      </c>
      <c r="K186" s="1433">
        <v>0.8</v>
      </c>
      <c r="L186" s="1522">
        <f t="shared" si="90"/>
        <v>30</v>
      </c>
      <c r="M186" s="1517">
        <f t="shared" si="91"/>
        <v>240</v>
      </c>
      <c r="N186" s="1522">
        <f t="shared" si="92"/>
        <v>30</v>
      </c>
      <c r="O186" s="1434"/>
    </row>
    <row r="187" spans="1:256" ht="15.75">
      <c r="A187" s="1398">
        <v>2</v>
      </c>
      <c r="B187" s="1403" t="s">
        <v>2277</v>
      </c>
      <c r="C187" s="1436" t="s">
        <v>2081</v>
      </c>
      <c r="D187" s="1385">
        <v>200</v>
      </c>
      <c r="E187" s="1381"/>
      <c r="F187" s="1381"/>
      <c r="G187" s="1381">
        <f t="shared" si="93"/>
        <v>200</v>
      </c>
      <c r="H187" s="1438"/>
      <c r="I187" s="1381">
        <f t="shared" si="89"/>
        <v>200</v>
      </c>
      <c r="J187" s="1344">
        <v>0.1</v>
      </c>
      <c r="K187" s="1433">
        <v>0.8</v>
      </c>
      <c r="L187" s="1522">
        <f t="shared" si="90"/>
        <v>20</v>
      </c>
      <c r="M187" s="1517">
        <f t="shared" si="91"/>
        <v>160</v>
      </c>
      <c r="N187" s="1522">
        <f t="shared" si="92"/>
        <v>20</v>
      </c>
      <c r="O187" s="1434"/>
    </row>
    <row r="188" spans="1:256" ht="15.75">
      <c r="A188" s="1398">
        <v>3</v>
      </c>
      <c r="B188" s="1403" t="s">
        <v>2278</v>
      </c>
      <c r="C188" s="1436" t="s">
        <v>2081</v>
      </c>
      <c r="D188" s="1385">
        <v>300</v>
      </c>
      <c r="E188" s="1381"/>
      <c r="F188" s="1381"/>
      <c r="G188" s="1381">
        <f t="shared" si="93"/>
        <v>300</v>
      </c>
      <c r="H188" s="1438"/>
      <c r="I188" s="1381">
        <f t="shared" si="89"/>
        <v>300</v>
      </c>
      <c r="J188" s="1344">
        <v>0.1</v>
      </c>
      <c r="K188" s="1433">
        <v>0.8</v>
      </c>
      <c r="L188" s="1522">
        <f t="shared" si="90"/>
        <v>30</v>
      </c>
      <c r="M188" s="1517">
        <f t="shared" si="91"/>
        <v>240</v>
      </c>
      <c r="N188" s="1522">
        <f t="shared" si="92"/>
        <v>30</v>
      </c>
      <c r="O188" s="1434"/>
    </row>
    <row r="189" spans="1:256" ht="15.75">
      <c r="A189" s="1398">
        <v>4</v>
      </c>
      <c r="B189" s="1403" t="s">
        <v>2279</v>
      </c>
      <c r="C189" s="1436" t="s">
        <v>2081</v>
      </c>
      <c r="D189" s="1385">
        <v>500</v>
      </c>
      <c r="E189" s="1381"/>
      <c r="F189" s="1381"/>
      <c r="G189" s="1381">
        <f t="shared" si="93"/>
        <v>500</v>
      </c>
      <c r="H189" s="1438"/>
      <c r="I189" s="1381">
        <f t="shared" si="89"/>
        <v>500</v>
      </c>
      <c r="J189" s="1344">
        <v>0.1</v>
      </c>
      <c r="K189" s="1433">
        <v>0.8</v>
      </c>
      <c r="L189" s="1522">
        <f t="shared" si="90"/>
        <v>50</v>
      </c>
      <c r="M189" s="1517">
        <f t="shared" si="91"/>
        <v>400</v>
      </c>
      <c r="N189" s="1522">
        <f t="shared" si="92"/>
        <v>50</v>
      </c>
      <c r="O189" s="1434"/>
    </row>
    <row r="190" spans="1:256" ht="15.75">
      <c r="A190" s="1398">
        <v>5</v>
      </c>
      <c r="B190" s="1403" t="s">
        <v>2280</v>
      </c>
      <c r="C190" s="1436" t="s">
        <v>2081</v>
      </c>
      <c r="D190" s="1385">
        <v>150</v>
      </c>
      <c r="E190" s="1381"/>
      <c r="F190" s="1381"/>
      <c r="G190" s="1381">
        <f t="shared" si="93"/>
        <v>150</v>
      </c>
      <c r="H190" s="1438"/>
      <c r="I190" s="1381">
        <f t="shared" si="89"/>
        <v>150</v>
      </c>
      <c r="J190" s="1344">
        <v>0.1</v>
      </c>
      <c r="K190" s="1433">
        <v>0.8</v>
      </c>
      <c r="L190" s="1522">
        <f t="shared" si="90"/>
        <v>15</v>
      </c>
      <c r="M190" s="1517">
        <f t="shared" si="91"/>
        <v>120</v>
      </c>
      <c r="N190" s="1522">
        <f t="shared" si="92"/>
        <v>15</v>
      </c>
      <c r="O190" s="1434"/>
    </row>
    <row r="191" spans="1:256" ht="15.75">
      <c r="A191" s="1398">
        <v>6</v>
      </c>
      <c r="B191" s="1403" t="s">
        <v>2281</v>
      </c>
      <c r="C191" s="1436" t="s">
        <v>2081</v>
      </c>
      <c r="D191" s="1385">
        <v>200</v>
      </c>
      <c r="E191" s="1381"/>
      <c r="F191" s="1381"/>
      <c r="G191" s="1381">
        <f t="shared" si="93"/>
        <v>200</v>
      </c>
      <c r="H191" s="1438"/>
      <c r="I191" s="1381">
        <f t="shared" si="89"/>
        <v>200</v>
      </c>
      <c r="J191" s="1344">
        <v>0.1</v>
      </c>
      <c r="K191" s="1433">
        <v>0.8</v>
      </c>
      <c r="L191" s="1522">
        <f t="shared" si="90"/>
        <v>20</v>
      </c>
      <c r="M191" s="1517">
        <f t="shared" si="91"/>
        <v>160</v>
      </c>
      <c r="N191" s="1522">
        <f t="shared" si="92"/>
        <v>20</v>
      </c>
      <c r="O191" s="1434"/>
    </row>
    <row r="192" spans="1:256" ht="15.75">
      <c r="A192" s="1398">
        <v>7</v>
      </c>
      <c r="B192" s="1403" t="s">
        <v>2282</v>
      </c>
      <c r="C192" s="1436" t="s">
        <v>2081</v>
      </c>
      <c r="D192" s="1385">
        <v>200</v>
      </c>
      <c r="E192" s="1381"/>
      <c r="F192" s="1381"/>
      <c r="G192" s="1381">
        <f t="shared" si="93"/>
        <v>200</v>
      </c>
      <c r="H192" s="1438"/>
      <c r="I192" s="1381">
        <f t="shared" si="89"/>
        <v>200</v>
      </c>
      <c r="J192" s="1344">
        <v>0.1</v>
      </c>
      <c r="K192" s="1433">
        <v>0.8</v>
      </c>
      <c r="L192" s="1522">
        <f t="shared" si="90"/>
        <v>20</v>
      </c>
      <c r="M192" s="1517">
        <f t="shared" si="91"/>
        <v>160</v>
      </c>
      <c r="N192" s="1522">
        <f t="shared" si="92"/>
        <v>20</v>
      </c>
      <c r="O192" s="1434"/>
    </row>
    <row r="193" spans="1:15" ht="15.75">
      <c r="A193" s="1398">
        <v>8</v>
      </c>
      <c r="B193" s="1403" t="s">
        <v>2283</v>
      </c>
      <c r="C193" s="1436" t="s">
        <v>2081</v>
      </c>
      <c r="D193" s="1385">
        <v>100</v>
      </c>
      <c r="E193" s="1381"/>
      <c r="F193" s="1381"/>
      <c r="G193" s="1381">
        <f t="shared" si="93"/>
        <v>100</v>
      </c>
      <c r="H193" s="1438"/>
      <c r="I193" s="1381">
        <f t="shared" si="89"/>
        <v>100</v>
      </c>
      <c r="J193" s="1344">
        <v>0.1</v>
      </c>
      <c r="K193" s="1433">
        <v>0.8</v>
      </c>
      <c r="L193" s="1522">
        <f t="shared" si="90"/>
        <v>10</v>
      </c>
      <c r="M193" s="1517">
        <f t="shared" si="91"/>
        <v>80</v>
      </c>
      <c r="N193" s="1522">
        <f t="shared" si="92"/>
        <v>10</v>
      </c>
      <c r="O193" s="1434"/>
    </row>
    <row r="194" spans="1:15">
      <c r="A194" s="1332" t="s">
        <v>2011</v>
      </c>
      <c r="B194" s="1333" t="s">
        <v>2284</v>
      </c>
      <c r="C194" s="1334"/>
      <c r="D194" s="1335">
        <f>SUM(D195:D201)</f>
        <v>3000</v>
      </c>
      <c r="E194" s="1335">
        <f t="shared" ref="E194:N194" si="94">SUM(E195:E201)</f>
        <v>0</v>
      </c>
      <c r="F194" s="1335">
        <f t="shared" si="94"/>
        <v>0</v>
      </c>
      <c r="G194" s="1335">
        <f t="shared" si="94"/>
        <v>3000</v>
      </c>
      <c r="H194" s="1335">
        <f t="shared" si="94"/>
        <v>0</v>
      </c>
      <c r="I194" s="1335">
        <f t="shared" si="94"/>
        <v>3000</v>
      </c>
      <c r="J194" s="1335">
        <f t="shared" si="94"/>
        <v>0.7</v>
      </c>
      <c r="K194" s="1335">
        <f t="shared" si="94"/>
        <v>3.8</v>
      </c>
      <c r="L194" s="1512">
        <f t="shared" si="94"/>
        <v>300</v>
      </c>
      <c r="M194" s="1513">
        <f t="shared" si="94"/>
        <v>2200</v>
      </c>
      <c r="N194" s="1512">
        <f t="shared" si="94"/>
        <v>500</v>
      </c>
      <c r="O194" s="1337"/>
    </row>
    <row r="195" spans="1:15" ht="31.5">
      <c r="A195" s="1269" t="s">
        <v>33</v>
      </c>
      <c r="B195" s="1272" t="s">
        <v>2150</v>
      </c>
      <c r="C195" s="1436"/>
      <c r="D195" s="1401"/>
      <c r="E195" s="1342"/>
      <c r="F195" s="1343"/>
      <c r="G195" s="1440">
        <f>D195-F195</f>
        <v>0</v>
      </c>
      <c r="H195" s="1344"/>
      <c r="I195" s="1367">
        <f>G195-G195*H195</f>
        <v>0</v>
      </c>
      <c r="J195" s="1344">
        <v>0.1</v>
      </c>
      <c r="K195" s="1344"/>
      <c r="L195" s="1514">
        <f>J195*D195</f>
        <v>0</v>
      </c>
      <c r="M195" s="1517">
        <f t="shared" ref="M195:M201" si="95">I195*K195</f>
        <v>0</v>
      </c>
      <c r="N195" s="1529">
        <f>I195-L195-M195</f>
        <v>0</v>
      </c>
      <c r="O195" s="1372"/>
    </row>
    <row r="196" spans="1:15" ht="31.5">
      <c r="A196" s="1441">
        <v>1</v>
      </c>
      <c r="B196" s="1275" t="s">
        <v>2285</v>
      </c>
      <c r="C196" s="1436" t="s">
        <v>2082</v>
      </c>
      <c r="D196" s="1418">
        <v>1000</v>
      </c>
      <c r="E196" s="1344"/>
      <c r="F196" s="1343"/>
      <c r="G196" s="1440">
        <f t="shared" ref="G196:G201" si="96">D196-F196</f>
        <v>1000</v>
      </c>
      <c r="H196" s="1344"/>
      <c r="I196" s="1367">
        <f t="shared" ref="I196:I201" si="97">G196-G196*H196</f>
        <v>1000</v>
      </c>
      <c r="J196" s="1344">
        <v>0.1</v>
      </c>
      <c r="K196" s="1344">
        <v>0.6</v>
      </c>
      <c r="L196" s="1514">
        <f t="shared" ref="L196:L201" si="98">J196*D196</f>
        <v>100</v>
      </c>
      <c r="M196" s="1517">
        <f t="shared" si="95"/>
        <v>600</v>
      </c>
      <c r="N196" s="1529">
        <f t="shared" ref="N196:N201" si="99">I196-L196-M196</f>
        <v>300</v>
      </c>
      <c r="O196" s="1372"/>
    </row>
    <row r="197" spans="1:15" ht="31.5">
      <c r="A197" s="1442">
        <v>2</v>
      </c>
      <c r="B197" s="1392" t="s">
        <v>2286</v>
      </c>
      <c r="C197" s="1436" t="s">
        <v>2082</v>
      </c>
      <c r="D197" s="1443">
        <v>700</v>
      </c>
      <c r="E197" s="1444"/>
      <c r="F197" s="1345"/>
      <c r="G197" s="1440">
        <f t="shared" si="96"/>
        <v>700</v>
      </c>
      <c r="H197" s="1344"/>
      <c r="I197" s="1367">
        <f t="shared" si="97"/>
        <v>700</v>
      </c>
      <c r="J197" s="1344">
        <v>0.1</v>
      </c>
      <c r="K197" s="1444">
        <v>0.8</v>
      </c>
      <c r="L197" s="1514">
        <f t="shared" si="98"/>
        <v>70</v>
      </c>
      <c r="M197" s="1517">
        <f t="shared" si="95"/>
        <v>560</v>
      </c>
      <c r="N197" s="1529">
        <f t="shared" si="99"/>
        <v>70</v>
      </c>
      <c r="O197" s="1445"/>
    </row>
    <row r="198" spans="1:15" ht="31.5">
      <c r="A198" s="1393" t="s">
        <v>49</v>
      </c>
      <c r="B198" s="1400" t="s">
        <v>2168</v>
      </c>
      <c r="C198" s="1436"/>
      <c r="D198" s="1401"/>
      <c r="E198" s="1444"/>
      <c r="F198" s="1345"/>
      <c r="G198" s="1440">
        <f t="shared" si="96"/>
        <v>0</v>
      </c>
      <c r="H198" s="1344"/>
      <c r="I198" s="1367">
        <f t="shared" si="97"/>
        <v>0</v>
      </c>
      <c r="J198" s="1344">
        <v>0.1</v>
      </c>
      <c r="K198" s="1444"/>
      <c r="L198" s="1514">
        <f t="shared" si="98"/>
        <v>0</v>
      </c>
      <c r="M198" s="1517">
        <f t="shared" si="95"/>
        <v>0</v>
      </c>
      <c r="N198" s="1529">
        <f t="shared" si="99"/>
        <v>0</v>
      </c>
      <c r="O198" s="1445"/>
    </row>
    <row r="199" spans="1:15" ht="15.75">
      <c r="A199" s="1442">
        <v>1</v>
      </c>
      <c r="B199" s="1384" t="s">
        <v>2287</v>
      </c>
      <c r="C199" s="1436" t="s">
        <v>2082</v>
      </c>
      <c r="D199" s="1443">
        <v>200</v>
      </c>
      <c r="E199" s="1444"/>
      <c r="F199" s="1345"/>
      <c r="G199" s="1440">
        <f t="shared" si="96"/>
        <v>200</v>
      </c>
      <c r="H199" s="1344"/>
      <c r="I199" s="1367">
        <f t="shared" si="97"/>
        <v>200</v>
      </c>
      <c r="J199" s="1344">
        <v>0.1</v>
      </c>
      <c r="K199" s="1444">
        <v>0.8</v>
      </c>
      <c r="L199" s="1514">
        <f t="shared" si="98"/>
        <v>20</v>
      </c>
      <c r="M199" s="1517">
        <f t="shared" si="95"/>
        <v>160</v>
      </c>
      <c r="N199" s="1529">
        <f t="shared" si="99"/>
        <v>20</v>
      </c>
      <c r="O199" s="1445">
        <v>2018</v>
      </c>
    </row>
    <row r="200" spans="1:15" ht="15.75">
      <c r="A200" s="1442">
        <v>2</v>
      </c>
      <c r="B200" s="1384" t="s">
        <v>2288</v>
      </c>
      <c r="C200" s="1436" t="s">
        <v>2082</v>
      </c>
      <c r="D200" s="1443">
        <v>300</v>
      </c>
      <c r="E200" s="1444"/>
      <c r="F200" s="1345"/>
      <c r="G200" s="1440">
        <f t="shared" si="96"/>
        <v>300</v>
      </c>
      <c r="H200" s="1344"/>
      <c r="I200" s="1367">
        <f t="shared" si="97"/>
        <v>300</v>
      </c>
      <c r="J200" s="1344">
        <v>0.1</v>
      </c>
      <c r="K200" s="1444">
        <v>0.8</v>
      </c>
      <c r="L200" s="1514">
        <f t="shared" si="98"/>
        <v>30</v>
      </c>
      <c r="M200" s="1517">
        <f t="shared" si="95"/>
        <v>240</v>
      </c>
      <c r="N200" s="1529">
        <f t="shared" si="99"/>
        <v>30</v>
      </c>
      <c r="O200" s="1445"/>
    </row>
    <row r="201" spans="1:15" ht="15.75">
      <c r="A201" s="1442">
        <v>3</v>
      </c>
      <c r="B201" s="1384" t="s">
        <v>2289</v>
      </c>
      <c r="C201" s="1436" t="s">
        <v>2082</v>
      </c>
      <c r="D201" s="1443">
        <v>800</v>
      </c>
      <c r="E201" s="1444"/>
      <c r="F201" s="1345"/>
      <c r="G201" s="1440">
        <f t="shared" si="96"/>
        <v>800</v>
      </c>
      <c r="H201" s="1344"/>
      <c r="I201" s="1367">
        <f t="shared" si="97"/>
        <v>800</v>
      </c>
      <c r="J201" s="1344">
        <v>0.1</v>
      </c>
      <c r="K201" s="1444">
        <v>0.8</v>
      </c>
      <c r="L201" s="1514">
        <f t="shared" si="98"/>
        <v>80</v>
      </c>
      <c r="M201" s="1517">
        <f t="shared" si="95"/>
        <v>640</v>
      </c>
      <c r="N201" s="1529">
        <f t="shared" si="99"/>
        <v>80</v>
      </c>
      <c r="O201" s="1445"/>
    </row>
  </sheetData>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zoomScale="55" zoomScaleNormal="55" workbookViewId="0">
      <selection activeCell="P14" sqref="P14"/>
    </sheetView>
  </sheetViews>
  <sheetFormatPr defaultRowHeight="18.75"/>
  <cols>
    <col min="1" max="1" width="12.42578125" style="40" customWidth="1"/>
    <col min="2" max="2" width="43.7109375" style="203" customWidth="1"/>
    <col min="3" max="3" width="10.5703125" style="44" customWidth="1"/>
    <col min="4" max="4" width="9.5703125" style="44" customWidth="1"/>
    <col min="5" max="5" width="9.85546875" style="44" customWidth="1"/>
    <col min="6" max="6" width="14.7109375" style="201" customWidth="1"/>
    <col min="7" max="7" width="11" style="3" customWidth="1"/>
    <col min="8" max="8" width="10.42578125" style="3" customWidth="1"/>
    <col min="9" max="12" width="11" style="3" hidden="1" customWidth="1"/>
    <col min="13" max="13" width="14.5703125" style="3" customWidth="1"/>
    <col min="14" max="14" width="17.7109375" style="13" customWidth="1"/>
    <col min="15" max="226" width="9.140625" style="13"/>
    <col min="227" max="227" width="5.140625" style="13" customWidth="1"/>
    <col min="228" max="228" width="32.42578125" style="13" customWidth="1"/>
    <col min="229" max="231" width="10.28515625" style="13" customWidth="1"/>
    <col min="232" max="233" width="12.42578125" style="13" customWidth="1"/>
    <col min="234" max="234" width="11.28515625" style="13" customWidth="1"/>
    <col min="235" max="235" width="12.42578125" style="13" customWidth="1"/>
    <col min="236" max="236" width="11.28515625" style="13" customWidth="1"/>
    <col min="237" max="237" width="12.42578125" style="13" customWidth="1"/>
    <col min="238" max="238" width="11.28515625" style="13" customWidth="1"/>
    <col min="239" max="239" width="12.42578125" style="13" customWidth="1"/>
    <col min="240" max="240" width="11.28515625" style="13" customWidth="1"/>
    <col min="241" max="241" width="12.42578125" style="13" customWidth="1"/>
    <col min="242" max="242" width="11.28515625" style="13" customWidth="1"/>
    <col min="243" max="243" width="14.140625" style="13" customWidth="1"/>
    <col min="244" max="244" width="10.28515625" style="13" customWidth="1"/>
    <col min="245" max="245" width="17.140625" style="13" customWidth="1"/>
    <col min="246" max="246" width="12" style="13" customWidth="1"/>
    <col min="247" max="247" width="14.140625" style="13" customWidth="1"/>
    <col min="248" max="248" width="10.28515625" style="13" customWidth="1"/>
    <col min="249" max="249" width="17.140625" style="13" customWidth="1"/>
    <col min="250" max="250" width="12" style="13" customWidth="1"/>
    <col min="251" max="251" width="10.7109375" style="13" customWidth="1"/>
    <col min="252" max="254" width="0" style="13" hidden="1" customWidth="1"/>
    <col min="255" max="482" width="9.140625" style="13"/>
    <col min="483" max="483" width="5.140625" style="13" customWidth="1"/>
    <col min="484" max="484" width="32.42578125" style="13" customWidth="1"/>
    <col min="485" max="487" width="10.28515625" style="13" customWidth="1"/>
    <col min="488" max="489" width="12.42578125" style="13" customWidth="1"/>
    <col min="490" max="490" width="11.28515625" style="13" customWidth="1"/>
    <col min="491" max="491" width="12.42578125" style="13" customWidth="1"/>
    <col min="492" max="492" width="11.28515625" style="13" customWidth="1"/>
    <col min="493" max="493" width="12.42578125" style="13" customWidth="1"/>
    <col min="494" max="494" width="11.28515625" style="13" customWidth="1"/>
    <col min="495" max="495" width="12.42578125" style="13" customWidth="1"/>
    <col min="496" max="496" width="11.28515625" style="13" customWidth="1"/>
    <col min="497" max="497" width="12.42578125" style="13" customWidth="1"/>
    <col min="498" max="498" width="11.28515625" style="13" customWidth="1"/>
    <col min="499" max="499" width="14.140625" style="13" customWidth="1"/>
    <col min="500" max="500" width="10.28515625" style="13" customWidth="1"/>
    <col min="501" max="501" width="17.140625" style="13" customWidth="1"/>
    <col min="502" max="502" width="12" style="13" customWidth="1"/>
    <col min="503" max="503" width="14.140625" style="13" customWidth="1"/>
    <col min="504" max="504" width="10.28515625" style="13" customWidth="1"/>
    <col min="505" max="505" width="17.140625" style="13" customWidth="1"/>
    <col min="506" max="506" width="12" style="13" customWidth="1"/>
    <col min="507" max="507" width="10.7109375" style="13" customWidth="1"/>
    <col min="508" max="510" width="0" style="13" hidden="1" customWidth="1"/>
    <col min="511" max="738" width="9.140625" style="13"/>
    <col min="739" max="739" width="5.140625" style="13" customWidth="1"/>
    <col min="740" max="740" width="32.42578125" style="13" customWidth="1"/>
    <col min="741" max="743" width="10.28515625" style="13" customWidth="1"/>
    <col min="744" max="745" width="12.42578125" style="13" customWidth="1"/>
    <col min="746" max="746" width="11.28515625" style="13" customWidth="1"/>
    <col min="747" max="747" width="12.42578125" style="13" customWidth="1"/>
    <col min="748" max="748" width="11.28515625" style="13" customWidth="1"/>
    <col min="749" max="749" width="12.42578125" style="13" customWidth="1"/>
    <col min="750" max="750" width="11.28515625" style="13" customWidth="1"/>
    <col min="751" max="751" width="12.42578125" style="13" customWidth="1"/>
    <col min="752" max="752" width="11.28515625" style="13" customWidth="1"/>
    <col min="753" max="753" width="12.42578125" style="13" customWidth="1"/>
    <col min="754" max="754" width="11.28515625" style="13" customWidth="1"/>
    <col min="755" max="755" width="14.140625" style="13" customWidth="1"/>
    <col min="756" max="756" width="10.28515625" style="13" customWidth="1"/>
    <col min="757" max="757" width="17.140625" style="13" customWidth="1"/>
    <col min="758" max="758" width="12" style="13" customWidth="1"/>
    <col min="759" max="759" width="14.140625" style="13" customWidth="1"/>
    <col min="760" max="760" width="10.28515625" style="13" customWidth="1"/>
    <col min="761" max="761" width="17.140625" style="13" customWidth="1"/>
    <col min="762" max="762" width="12" style="13" customWidth="1"/>
    <col min="763" max="763" width="10.7109375" style="13" customWidth="1"/>
    <col min="764" max="766" width="0" style="13" hidden="1" customWidth="1"/>
    <col min="767" max="994" width="9.140625" style="13"/>
    <col min="995" max="995" width="5.140625" style="13" customWidth="1"/>
    <col min="996" max="996" width="32.42578125" style="13" customWidth="1"/>
    <col min="997" max="999" width="10.28515625" style="13" customWidth="1"/>
    <col min="1000" max="1001" width="12.42578125" style="13" customWidth="1"/>
    <col min="1002" max="1002" width="11.28515625" style="13" customWidth="1"/>
    <col min="1003" max="1003" width="12.42578125" style="13" customWidth="1"/>
    <col min="1004" max="1004" width="11.28515625" style="13" customWidth="1"/>
    <col min="1005" max="1005" width="12.42578125" style="13" customWidth="1"/>
    <col min="1006" max="1006" width="11.28515625" style="13" customWidth="1"/>
    <col min="1007" max="1007" width="12.42578125" style="13" customWidth="1"/>
    <col min="1008" max="1008" width="11.28515625" style="13" customWidth="1"/>
    <col min="1009" max="1009" width="12.42578125" style="13" customWidth="1"/>
    <col min="1010" max="1010" width="11.28515625" style="13" customWidth="1"/>
    <col min="1011" max="1011" width="14.140625" style="13" customWidth="1"/>
    <col min="1012" max="1012" width="10.28515625" style="13" customWidth="1"/>
    <col min="1013" max="1013" width="17.140625" style="13" customWidth="1"/>
    <col min="1014" max="1014" width="12" style="13" customWidth="1"/>
    <col min="1015" max="1015" width="14.140625" style="13" customWidth="1"/>
    <col min="1016" max="1016" width="10.28515625" style="13" customWidth="1"/>
    <col min="1017" max="1017" width="17.140625" style="13" customWidth="1"/>
    <col min="1018" max="1018" width="12" style="13" customWidth="1"/>
    <col min="1019" max="1019" width="10.7109375" style="13" customWidth="1"/>
    <col min="1020" max="1022" width="0" style="13" hidden="1" customWidth="1"/>
    <col min="1023" max="1250" width="9.140625" style="13"/>
    <col min="1251" max="1251" width="5.140625" style="13" customWidth="1"/>
    <col min="1252" max="1252" width="32.42578125" style="13" customWidth="1"/>
    <col min="1253" max="1255" width="10.28515625" style="13" customWidth="1"/>
    <col min="1256" max="1257" width="12.42578125" style="13" customWidth="1"/>
    <col min="1258" max="1258" width="11.28515625" style="13" customWidth="1"/>
    <col min="1259" max="1259" width="12.42578125" style="13" customWidth="1"/>
    <col min="1260" max="1260" width="11.28515625" style="13" customWidth="1"/>
    <col min="1261" max="1261" width="12.42578125" style="13" customWidth="1"/>
    <col min="1262" max="1262" width="11.28515625" style="13" customWidth="1"/>
    <col min="1263" max="1263" width="12.42578125" style="13" customWidth="1"/>
    <col min="1264" max="1264" width="11.28515625" style="13" customWidth="1"/>
    <col min="1265" max="1265" width="12.42578125" style="13" customWidth="1"/>
    <col min="1266" max="1266" width="11.28515625" style="13" customWidth="1"/>
    <col min="1267" max="1267" width="14.140625" style="13" customWidth="1"/>
    <col min="1268" max="1268" width="10.28515625" style="13" customWidth="1"/>
    <col min="1269" max="1269" width="17.140625" style="13" customWidth="1"/>
    <col min="1270" max="1270" width="12" style="13" customWidth="1"/>
    <col min="1271" max="1271" width="14.140625" style="13" customWidth="1"/>
    <col min="1272" max="1272" width="10.28515625" style="13" customWidth="1"/>
    <col min="1273" max="1273" width="17.140625" style="13" customWidth="1"/>
    <col min="1274" max="1274" width="12" style="13" customWidth="1"/>
    <col min="1275" max="1275" width="10.7109375" style="13" customWidth="1"/>
    <col min="1276" max="1278" width="0" style="13" hidden="1" customWidth="1"/>
    <col min="1279" max="1506" width="9.140625" style="13"/>
    <col min="1507" max="1507" width="5.140625" style="13" customWidth="1"/>
    <col min="1508" max="1508" width="32.42578125" style="13" customWidth="1"/>
    <col min="1509" max="1511" width="10.28515625" style="13" customWidth="1"/>
    <col min="1512" max="1513" width="12.42578125" style="13" customWidth="1"/>
    <col min="1514" max="1514" width="11.28515625" style="13" customWidth="1"/>
    <col min="1515" max="1515" width="12.42578125" style="13" customWidth="1"/>
    <col min="1516" max="1516" width="11.28515625" style="13" customWidth="1"/>
    <col min="1517" max="1517" width="12.42578125" style="13" customWidth="1"/>
    <col min="1518" max="1518" width="11.28515625" style="13" customWidth="1"/>
    <col min="1519" max="1519" width="12.42578125" style="13" customWidth="1"/>
    <col min="1520" max="1520" width="11.28515625" style="13" customWidth="1"/>
    <col min="1521" max="1521" width="12.42578125" style="13" customWidth="1"/>
    <col min="1522" max="1522" width="11.28515625" style="13" customWidth="1"/>
    <col min="1523" max="1523" width="14.140625" style="13" customWidth="1"/>
    <col min="1524" max="1524" width="10.28515625" style="13" customWidth="1"/>
    <col min="1525" max="1525" width="17.140625" style="13" customWidth="1"/>
    <col min="1526" max="1526" width="12" style="13" customWidth="1"/>
    <col min="1527" max="1527" width="14.140625" style="13" customWidth="1"/>
    <col min="1528" max="1528" width="10.28515625" style="13" customWidth="1"/>
    <col min="1529" max="1529" width="17.140625" style="13" customWidth="1"/>
    <col min="1530" max="1530" width="12" style="13" customWidth="1"/>
    <col min="1531" max="1531" width="10.7109375" style="13" customWidth="1"/>
    <col min="1532" max="1534" width="0" style="13" hidden="1" customWidth="1"/>
    <col min="1535" max="1762" width="9.140625" style="13"/>
    <col min="1763" max="1763" width="5.140625" style="13" customWidth="1"/>
    <col min="1764" max="1764" width="32.42578125" style="13" customWidth="1"/>
    <col min="1765" max="1767" width="10.28515625" style="13" customWidth="1"/>
    <col min="1768" max="1769" width="12.42578125" style="13" customWidth="1"/>
    <col min="1770" max="1770" width="11.28515625" style="13" customWidth="1"/>
    <col min="1771" max="1771" width="12.42578125" style="13" customWidth="1"/>
    <col min="1772" max="1772" width="11.28515625" style="13" customWidth="1"/>
    <col min="1773" max="1773" width="12.42578125" style="13" customWidth="1"/>
    <col min="1774" max="1774" width="11.28515625" style="13" customWidth="1"/>
    <col min="1775" max="1775" width="12.42578125" style="13" customWidth="1"/>
    <col min="1776" max="1776" width="11.28515625" style="13" customWidth="1"/>
    <col min="1777" max="1777" width="12.42578125" style="13" customWidth="1"/>
    <col min="1778" max="1778" width="11.28515625" style="13" customWidth="1"/>
    <col min="1779" max="1779" width="14.140625" style="13" customWidth="1"/>
    <col min="1780" max="1780" width="10.28515625" style="13" customWidth="1"/>
    <col min="1781" max="1781" width="17.140625" style="13" customWidth="1"/>
    <col min="1782" max="1782" width="12" style="13" customWidth="1"/>
    <col min="1783" max="1783" width="14.140625" style="13" customWidth="1"/>
    <col min="1784" max="1784" width="10.28515625" style="13" customWidth="1"/>
    <col min="1785" max="1785" width="17.140625" style="13" customWidth="1"/>
    <col min="1786" max="1786" width="12" style="13" customWidth="1"/>
    <col min="1787" max="1787" width="10.7109375" style="13" customWidth="1"/>
    <col min="1788" max="1790" width="0" style="13" hidden="1" customWidth="1"/>
    <col min="1791" max="2018" width="9.140625" style="13"/>
    <col min="2019" max="2019" width="5.140625" style="13" customWidth="1"/>
    <col min="2020" max="2020" width="32.42578125" style="13" customWidth="1"/>
    <col min="2021" max="2023" width="10.28515625" style="13" customWidth="1"/>
    <col min="2024" max="2025" width="12.42578125" style="13" customWidth="1"/>
    <col min="2026" max="2026" width="11.28515625" style="13" customWidth="1"/>
    <col min="2027" max="2027" width="12.42578125" style="13" customWidth="1"/>
    <col min="2028" max="2028" width="11.28515625" style="13" customWidth="1"/>
    <col min="2029" max="2029" width="12.42578125" style="13" customWidth="1"/>
    <col min="2030" max="2030" width="11.28515625" style="13" customWidth="1"/>
    <col min="2031" max="2031" width="12.42578125" style="13" customWidth="1"/>
    <col min="2032" max="2032" width="11.28515625" style="13" customWidth="1"/>
    <col min="2033" max="2033" width="12.42578125" style="13" customWidth="1"/>
    <col min="2034" max="2034" width="11.28515625" style="13" customWidth="1"/>
    <col min="2035" max="2035" width="14.140625" style="13" customWidth="1"/>
    <col min="2036" max="2036" width="10.28515625" style="13" customWidth="1"/>
    <col min="2037" max="2037" width="17.140625" style="13" customWidth="1"/>
    <col min="2038" max="2038" width="12" style="13" customWidth="1"/>
    <col min="2039" max="2039" width="14.140625" style="13" customWidth="1"/>
    <col min="2040" max="2040" width="10.28515625" style="13" customWidth="1"/>
    <col min="2041" max="2041" width="17.140625" style="13" customWidth="1"/>
    <col min="2042" max="2042" width="12" style="13" customWidth="1"/>
    <col min="2043" max="2043" width="10.7109375" style="13" customWidth="1"/>
    <col min="2044" max="2046" width="0" style="13" hidden="1" customWidth="1"/>
    <col min="2047" max="2274" width="9.140625" style="13"/>
    <col min="2275" max="2275" width="5.140625" style="13" customWidth="1"/>
    <col min="2276" max="2276" width="32.42578125" style="13" customWidth="1"/>
    <col min="2277" max="2279" width="10.28515625" style="13" customWidth="1"/>
    <col min="2280" max="2281" width="12.42578125" style="13" customWidth="1"/>
    <col min="2282" max="2282" width="11.28515625" style="13" customWidth="1"/>
    <col min="2283" max="2283" width="12.42578125" style="13" customWidth="1"/>
    <col min="2284" max="2284" width="11.28515625" style="13" customWidth="1"/>
    <col min="2285" max="2285" width="12.42578125" style="13" customWidth="1"/>
    <col min="2286" max="2286" width="11.28515625" style="13" customWidth="1"/>
    <col min="2287" max="2287" width="12.42578125" style="13" customWidth="1"/>
    <col min="2288" max="2288" width="11.28515625" style="13" customWidth="1"/>
    <col min="2289" max="2289" width="12.42578125" style="13" customWidth="1"/>
    <col min="2290" max="2290" width="11.28515625" style="13" customWidth="1"/>
    <col min="2291" max="2291" width="14.140625" style="13" customWidth="1"/>
    <col min="2292" max="2292" width="10.28515625" style="13" customWidth="1"/>
    <col min="2293" max="2293" width="17.140625" style="13" customWidth="1"/>
    <col min="2294" max="2294" width="12" style="13" customWidth="1"/>
    <col min="2295" max="2295" width="14.140625" style="13" customWidth="1"/>
    <col min="2296" max="2296" width="10.28515625" style="13" customWidth="1"/>
    <col min="2297" max="2297" width="17.140625" style="13" customWidth="1"/>
    <col min="2298" max="2298" width="12" style="13" customWidth="1"/>
    <col min="2299" max="2299" width="10.7109375" style="13" customWidth="1"/>
    <col min="2300" max="2302" width="0" style="13" hidden="1" customWidth="1"/>
    <col min="2303" max="2530" width="9.140625" style="13"/>
    <col min="2531" max="2531" width="5.140625" style="13" customWidth="1"/>
    <col min="2532" max="2532" width="32.42578125" style="13" customWidth="1"/>
    <col min="2533" max="2535" width="10.28515625" style="13" customWidth="1"/>
    <col min="2536" max="2537" width="12.42578125" style="13" customWidth="1"/>
    <col min="2538" max="2538" width="11.28515625" style="13" customWidth="1"/>
    <col min="2539" max="2539" width="12.42578125" style="13" customWidth="1"/>
    <col min="2540" max="2540" width="11.28515625" style="13" customWidth="1"/>
    <col min="2541" max="2541" width="12.42578125" style="13" customWidth="1"/>
    <col min="2542" max="2542" width="11.28515625" style="13" customWidth="1"/>
    <col min="2543" max="2543" width="12.42578125" style="13" customWidth="1"/>
    <col min="2544" max="2544" width="11.28515625" style="13" customWidth="1"/>
    <col min="2545" max="2545" width="12.42578125" style="13" customWidth="1"/>
    <col min="2546" max="2546" width="11.28515625" style="13" customWidth="1"/>
    <col min="2547" max="2547" width="14.140625" style="13" customWidth="1"/>
    <col min="2548" max="2548" width="10.28515625" style="13" customWidth="1"/>
    <col min="2549" max="2549" width="17.140625" style="13" customWidth="1"/>
    <col min="2550" max="2550" width="12" style="13" customWidth="1"/>
    <col min="2551" max="2551" width="14.140625" style="13" customWidth="1"/>
    <col min="2552" max="2552" width="10.28515625" style="13" customWidth="1"/>
    <col min="2553" max="2553" width="17.140625" style="13" customWidth="1"/>
    <col min="2554" max="2554" width="12" style="13" customWidth="1"/>
    <col min="2555" max="2555" width="10.7109375" style="13" customWidth="1"/>
    <col min="2556" max="2558" width="0" style="13" hidden="1" customWidth="1"/>
    <col min="2559" max="2786" width="9.140625" style="13"/>
    <col min="2787" max="2787" width="5.140625" style="13" customWidth="1"/>
    <col min="2788" max="2788" width="32.42578125" style="13" customWidth="1"/>
    <col min="2789" max="2791" width="10.28515625" style="13" customWidth="1"/>
    <col min="2792" max="2793" width="12.42578125" style="13" customWidth="1"/>
    <col min="2794" max="2794" width="11.28515625" style="13" customWidth="1"/>
    <col min="2795" max="2795" width="12.42578125" style="13" customWidth="1"/>
    <col min="2796" max="2796" width="11.28515625" style="13" customWidth="1"/>
    <col min="2797" max="2797" width="12.42578125" style="13" customWidth="1"/>
    <col min="2798" max="2798" width="11.28515625" style="13" customWidth="1"/>
    <col min="2799" max="2799" width="12.42578125" style="13" customWidth="1"/>
    <col min="2800" max="2800" width="11.28515625" style="13" customWidth="1"/>
    <col min="2801" max="2801" width="12.42578125" style="13" customWidth="1"/>
    <col min="2802" max="2802" width="11.28515625" style="13" customWidth="1"/>
    <col min="2803" max="2803" width="14.140625" style="13" customWidth="1"/>
    <col min="2804" max="2804" width="10.28515625" style="13" customWidth="1"/>
    <col min="2805" max="2805" width="17.140625" style="13" customWidth="1"/>
    <col min="2806" max="2806" width="12" style="13" customWidth="1"/>
    <col min="2807" max="2807" width="14.140625" style="13" customWidth="1"/>
    <col min="2808" max="2808" width="10.28515625" style="13" customWidth="1"/>
    <col min="2809" max="2809" width="17.140625" style="13" customWidth="1"/>
    <col min="2810" max="2810" width="12" style="13" customWidth="1"/>
    <col min="2811" max="2811" width="10.7109375" style="13" customWidth="1"/>
    <col min="2812" max="2814" width="0" style="13" hidden="1" customWidth="1"/>
    <col min="2815" max="3042" width="9.140625" style="13"/>
    <col min="3043" max="3043" width="5.140625" style="13" customWidth="1"/>
    <col min="3044" max="3044" width="32.42578125" style="13" customWidth="1"/>
    <col min="3045" max="3047" width="10.28515625" style="13" customWidth="1"/>
    <col min="3048" max="3049" width="12.42578125" style="13" customWidth="1"/>
    <col min="3050" max="3050" width="11.28515625" style="13" customWidth="1"/>
    <col min="3051" max="3051" width="12.42578125" style="13" customWidth="1"/>
    <col min="3052" max="3052" width="11.28515625" style="13" customWidth="1"/>
    <col min="3053" max="3053" width="12.42578125" style="13" customWidth="1"/>
    <col min="3054" max="3054" width="11.28515625" style="13" customWidth="1"/>
    <col min="3055" max="3055" width="12.42578125" style="13" customWidth="1"/>
    <col min="3056" max="3056" width="11.28515625" style="13" customWidth="1"/>
    <col min="3057" max="3057" width="12.42578125" style="13" customWidth="1"/>
    <col min="3058" max="3058" width="11.28515625" style="13" customWidth="1"/>
    <col min="3059" max="3059" width="14.140625" style="13" customWidth="1"/>
    <col min="3060" max="3060" width="10.28515625" style="13" customWidth="1"/>
    <col min="3061" max="3061" width="17.140625" style="13" customWidth="1"/>
    <col min="3062" max="3062" width="12" style="13" customWidth="1"/>
    <col min="3063" max="3063" width="14.140625" style="13" customWidth="1"/>
    <col min="3064" max="3064" width="10.28515625" style="13" customWidth="1"/>
    <col min="3065" max="3065" width="17.140625" style="13" customWidth="1"/>
    <col min="3066" max="3066" width="12" style="13" customWidth="1"/>
    <col min="3067" max="3067" width="10.7109375" style="13" customWidth="1"/>
    <col min="3068" max="3070" width="0" style="13" hidden="1" customWidth="1"/>
    <col min="3071" max="3298" width="9.140625" style="13"/>
    <col min="3299" max="3299" width="5.140625" style="13" customWidth="1"/>
    <col min="3300" max="3300" width="32.42578125" style="13" customWidth="1"/>
    <col min="3301" max="3303" width="10.28515625" style="13" customWidth="1"/>
    <col min="3304" max="3305" width="12.42578125" style="13" customWidth="1"/>
    <col min="3306" max="3306" width="11.28515625" style="13" customWidth="1"/>
    <col min="3307" max="3307" width="12.42578125" style="13" customWidth="1"/>
    <col min="3308" max="3308" width="11.28515625" style="13" customWidth="1"/>
    <col min="3309" max="3309" width="12.42578125" style="13" customWidth="1"/>
    <col min="3310" max="3310" width="11.28515625" style="13" customWidth="1"/>
    <col min="3311" max="3311" width="12.42578125" style="13" customWidth="1"/>
    <col min="3312" max="3312" width="11.28515625" style="13" customWidth="1"/>
    <col min="3313" max="3313" width="12.42578125" style="13" customWidth="1"/>
    <col min="3314" max="3314" width="11.28515625" style="13" customWidth="1"/>
    <col min="3315" max="3315" width="14.140625" style="13" customWidth="1"/>
    <col min="3316" max="3316" width="10.28515625" style="13" customWidth="1"/>
    <col min="3317" max="3317" width="17.140625" style="13" customWidth="1"/>
    <col min="3318" max="3318" width="12" style="13" customWidth="1"/>
    <col min="3319" max="3319" width="14.140625" style="13" customWidth="1"/>
    <col min="3320" max="3320" width="10.28515625" style="13" customWidth="1"/>
    <col min="3321" max="3321" width="17.140625" style="13" customWidth="1"/>
    <col min="3322" max="3322" width="12" style="13" customWidth="1"/>
    <col min="3323" max="3323" width="10.7109375" style="13" customWidth="1"/>
    <col min="3324" max="3326" width="0" style="13" hidden="1" customWidth="1"/>
    <col min="3327" max="3554" width="9.140625" style="13"/>
    <col min="3555" max="3555" width="5.140625" style="13" customWidth="1"/>
    <col min="3556" max="3556" width="32.42578125" style="13" customWidth="1"/>
    <col min="3557" max="3559" width="10.28515625" style="13" customWidth="1"/>
    <col min="3560" max="3561" width="12.42578125" style="13" customWidth="1"/>
    <col min="3562" max="3562" width="11.28515625" style="13" customWidth="1"/>
    <col min="3563" max="3563" width="12.42578125" style="13" customWidth="1"/>
    <col min="3564" max="3564" width="11.28515625" style="13" customWidth="1"/>
    <col min="3565" max="3565" width="12.42578125" style="13" customWidth="1"/>
    <col min="3566" max="3566" width="11.28515625" style="13" customWidth="1"/>
    <col min="3567" max="3567" width="12.42578125" style="13" customWidth="1"/>
    <col min="3568" max="3568" width="11.28515625" style="13" customWidth="1"/>
    <col min="3569" max="3569" width="12.42578125" style="13" customWidth="1"/>
    <col min="3570" max="3570" width="11.28515625" style="13" customWidth="1"/>
    <col min="3571" max="3571" width="14.140625" style="13" customWidth="1"/>
    <col min="3572" max="3572" width="10.28515625" style="13" customWidth="1"/>
    <col min="3573" max="3573" width="17.140625" style="13" customWidth="1"/>
    <col min="3574" max="3574" width="12" style="13" customWidth="1"/>
    <col min="3575" max="3575" width="14.140625" style="13" customWidth="1"/>
    <col min="3576" max="3576" width="10.28515625" style="13" customWidth="1"/>
    <col min="3577" max="3577" width="17.140625" style="13" customWidth="1"/>
    <col min="3578" max="3578" width="12" style="13" customWidth="1"/>
    <col min="3579" max="3579" width="10.7109375" style="13" customWidth="1"/>
    <col min="3580" max="3582" width="0" style="13" hidden="1" customWidth="1"/>
    <col min="3583" max="3810" width="9.140625" style="13"/>
    <col min="3811" max="3811" width="5.140625" style="13" customWidth="1"/>
    <col min="3812" max="3812" width="32.42578125" style="13" customWidth="1"/>
    <col min="3813" max="3815" width="10.28515625" style="13" customWidth="1"/>
    <col min="3816" max="3817" width="12.42578125" style="13" customWidth="1"/>
    <col min="3818" max="3818" width="11.28515625" style="13" customWidth="1"/>
    <col min="3819" max="3819" width="12.42578125" style="13" customWidth="1"/>
    <col min="3820" max="3820" width="11.28515625" style="13" customWidth="1"/>
    <col min="3821" max="3821" width="12.42578125" style="13" customWidth="1"/>
    <col min="3822" max="3822" width="11.28515625" style="13" customWidth="1"/>
    <col min="3823" max="3823" width="12.42578125" style="13" customWidth="1"/>
    <col min="3824" max="3824" width="11.28515625" style="13" customWidth="1"/>
    <col min="3825" max="3825" width="12.42578125" style="13" customWidth="1"/>
    <col min="3826" max="3826" width="11.28515625" style="13" customWidth="1"/>
    <col min="3827" max="3827" width="14.140625" style="13" customWidth="1"/>
    <col min="3828" max="3828" width="10.28515625" style="13" customWidth="1"/>
    <col min="3829" max="3829" width="17.140625" style="13" customWidth="1"/>
    <col min="3830" max="3830" width="12" style="13" customWidth="1"/>
    <col min="3831" max="3831" width="14.140625" style="13" customWidth="1"/>
    <col min="3832" max="3832" width="10.28515625" style="13" customWidth="1"/>
    <col min="3833" max="3833" width="17.140625" style="13" customWidth="1"/>
    <col min="3834" max="3834" width="12" style="13" customWidth="1"/>
    <col min="3835" max="3835" width="10.7109375" style="13" customWidth="1"/>
    <col min="3836" max="3838" width="0" style="13" hidden="1" customWidth="1"/>
    <col min="3839" max="4066" width="9.140625" style="13"/>
    <col min="4067" max="4067" width="5.140625" style="13" customWidth="1"/>
    <col min="4068" max="4068" width="32.42578125" style="13" customWidth="1"/>
    <col min="4069" max="4071" width="10.28515625" style="13" customWidth="1"/>
    <col min="4072" max="4073" width="12.42578125" style="13" customWidth="1"/>
    <col min="4074" max="4074" width="11.28515625" style="13" customWidth="1"/>
    <col min="4075" max="4075" width="12.42578125" style="13" customWidth="1"/>
    <col min="4076" max="4076" width="11.28515625" style="13" customWidth="1"/>
    <col min="4077" max="4077" width="12.42578125" style="13" customWidth="1"/>
    <col min="4078" max="4078" width="11.28515625" style="13" customWidth="1"/>
    <col min="4079" max="4079" width="12.42578125" style="13" customWidth="1"/>
    <col min="4080" max="4080" width="11.28515625" style="13" customWidth="1"/>
    <col min="4081" max="4081" width="12.42578125" style="13" customWidth="1"/>
    <col min="4082" max="4082" width="11.28515625" style="13" customWidth="1"/>
    <col min="4083" max="4083" width="14.140625" style="13" customWidth="1"/>
    <col min="4084" max="4084" width="10.28515625" style="13" customWidth="1"/>
    <col min="4085" max="4085" width="17.140625" style="13" customWidth="1"/>
    <col min="4086" max="4086" width="12" style="13" customWidth="1"/>
    <col min="4087" max="4087" width="14.140625" style="13" customWidth="1"/>
    <col min="4088" max="4088" width="10.28515625" style="13" customWidth="1"/>
    <col min="4089" max="4089" width="17.140625" style="13" customWidth="1"/>
    <col min="4090" max="4090" width="12" style="13" customWidth="1"/>
    <col min="4091" max="4091" width="10.7109375" style="13" customWidth="1"/>
    <col min="4092" max="4094" width="0" style="13" hidden="1" customWidth="1"/>
    <col min="4095" max="4322" width="9.140625" style="13"/>
    <col min="4323" max="4323" width="5.140625" style="13" customWidth="1"/>
    <col min="4324" max="4324" width="32.42578125" style="13" customWidth="1"/>
    <col min="4325" max="4327" width="10.28515625" style="13" customWidth="1"/>
    <col min="4328" max="4329" width="12.42578125" style="13" customWidth="1"/>
    <col min="4330" max="4330" width="11.28515625" style="13" customWidth="1"/>
    <col min="4331" max="4331" width="12.42578125" style="13" customWidth="1"/>
    <col min="4332" max="4332" width="11.28515625" style="13" customWidth="1"/>
    <col min="4333" max="4333" width="12.42578125" style="13" customWidth="1"/>
    <col min="4334" max="4334" width="11.28515625" style="13" customWidth="1"/>
    <col min="4335" max="4335" width="12.42578125" style="13" customWidth="1"/>
    <col min="4336" max="4336" width="11.28515625" style="13" customWidth="1"/>
    <col min="4337" max="4337" width="12.42578125" style="13" customWidth="1"/>
    <col min="4338" max="4338" width="11.28515625" style="13" customWidth="1"/>
    <col min="4339" max="4339" width="14.140625" style="13" customWidth="1"/>
    <col min="4340" max="4340" width="10.28515625" style="13" customWidth="1"/>
    <col min="4341" max="4341" width="17.140625" style="13" customWidth="1"/>
    <col min="4342" max="4342" width="12" style="13" customWidth="1"/>
    <col min="4343" max="4343" width="14.140625" style="13" customWidth="1"/>
    <col min="4344" max="4344" width="10.28515625" style="13" customWidth="1"/>
    <col min="4345" max="4345" width="17.140625" style="13" customWidth="1"/>
    <col min="4346" max="4346" width="12" style="13" customWidth="1"/>
    <col min="4347" max="4347" width="10.7109375" style="13" customWidth="1"/>
    <col min="4348" max="4350" width="0" style="13" hidden="1" customWidth="1"/>
    <col min="4351" max="4578" width="9.140625" style="13"/>
    <col min="4579" max="4579" width="5.140625" style="13" customWidth="1"/>
    <col min="4580" max="4580" width="32.42578125" style="13" customWidth="1"/>
    <col min="4581" max="4583" width="10.28515625" style="13" customWidth="1"/>
    <col min="4584" max="4585" width="12.42578125" style="13" customWidth="1"/>
    <col min="4586" max="4586" width="11.28515625" style="13" customWidth="1"/>
    <col min="4587" max="4587" width="12.42578125" style="13" customWidth="1"/>
    <col min="4588" max="4588" width="11.28515625" style="13" customWidth="1"/>
    <col min="4589" max="4589" width="12.42578125" style="13" customWidth="1"/>
    <col min="4590" max="4590" width="11.28515625" style="13" customWidth="1"/>
    <col min="4591" max="4591" width="12.42578125" style="13" customWidth="1"/>
    <col min="4592" max="4592" width="11.28515625" style="13" customWidth="1"/>
    <col min="4593" max="4593" width="12.42578125" style="13" customWidth="1"/>
    <col min="4594" max="4594" width="11.28515625" style="13" customWidth="1"/>
    <col min="4595" max="4595" width="14.140625" style="13" customWidth="1"/>
    <col min="4596" max="4596" width="10.28515625" style="13" customWidth="1"/>
    <col min="4597" max="4597" width="17.140625" style="13" customWidth="1"/>
    <col min="4598" max="4598" width="12" style="13" customWidth="1"/>
    <col min="4599" max="4599" width="14.140625" style="13" customWidth="1"/>
    <col min="4600" max="4600" width="10.28515625" style="13" customWidth="1"/>
    <col min="4601" max="4601" width="17.140625" style="13" customWidth="1"/>
    <col min="4602" max="4602" width="12" style="13" customWidth="1"/>
    <col min="4603" max="4603" width="10.7109375" style="13" customWidth="1"/>
    <col min="4604" max="4606" width="0" style="13" hidden="1" customWidth="1"/>
    <col min="4607" max="4834" width="9.140625" style="13"/>
    <col min="4835" max="4835" width="5.140625" style="13" customWidth="1"/>
    <col min="4836" max="4836" width="32.42578125" style="13" customWidth="1"/>
    <col min="4837" max="4839" width="10.28515625" style="13" customWidth="1"/>
    <col min="4840" max="4841" width="12.42578125" style="13" customWidth="1"/>
    <col min="4842" max="4842" width="11.28515625" style="13" customWidth="1"/>
    <col min="4843" max="4843" width="12.42578125" style="13" customWidth="1"/>
    <col min="4844" max="4844" width="11.28515625" style="13" customWidth="1"/>
    <col min="4845" max="4845" width="12.42578125" style="13" customWidth="1"/>
    <col min="4846" max="4846" width="11.28515625" style="13" customWidth="1"/>
    <col min="4847" max="4847" width="12.42578125" style="13" customWidth="1"/>
    <col min="4848" max="4848" width="11.28515625" style="13" customWidth="1"/>
    <col min="4849" max="4849" width="12.42578125" style="13" customWidth="1"/>
    <col min="4850" max="4850" width="11.28515625" style="13" customWidth="1"/>
    <col min="4851" max="4851" width="14.140625" style="13" customWidth="1"/>
    <col min="4852" max="4852" width="10.28515625" style="13" customWidth="1"/>
    <col min="4853" max="4853" width="17.140625" style="13" customWidth="1"/>
    <col min="4854" max="4854" width="12" style="13" customWidth="1"/>
    <col min="4855" max="4855" width="14.140625" style="13" customWidth="1"/>
    <col min="4856" max="4856" width="10.28515625" style="13" customWidth="1"/>
    <col min="4857" max="4857" width="17.140625" style="13" customWidth="1"/>
    <col min="4858" max="4858" width="12" style="13" customWidth="1"/>
    <col min="4859" max="4859" width="10.7109375" style="13" customWidth="1"/>
    <col min="4860" max="4862" width="0" style="13" hidden="1" customWidth="1"/>
    <col min="4863" max="5090" width="9.140625" style="13"/>
    <col min="5091" max="5091" width="5.140625" style="13" customWidth="1"/>
    <col min="5092" max="5092" width="32.42578125" style="13" customWidth="1"/>
    <col min="5093" max="5095" width="10.28515625" style="13" customWidth="1"/>
    <col min="5096" max="5097" width="12.42578125" style="13" customWidth="1"/>
    <col min="5098" max="5098" width="11.28515625" style="13" customWidth="1"/>
    <col min="5099" max="5099" width="12.42578125" style="13" customWidth="1"/>
    <col min="5100" max="5100" width="11.28515625" style="13" customWidth="1"/>
    <col min="5101" max="5101" width="12.42578125" style="13" customWidth="1"/>
    <col min="5102" max="5102" width="11.28515625" style="13" customWidth="1"/>
    <col min="5103" max="5103" width="12.42578125" style="13" customWidth="1"/>
    <col min="5104" max="5104" width="11.28515625" style="13" customWidth="1"/>
    <col min="5105" max="5105" width="12.42578125" style="13" customWidth="1"/>
    <col min="5106" max="5106" width="11.28515625" style="13" customWidth="1"/>
    <col min="5107" max="5107" width="14.140625" style="13" customWidth="1"/>
    <col min="5108" max="5108" width="10.28515625" style="13" customWidth="1"/>
    <col min="5109" max="5109" width="17.140625" style="13" customWidth="1"/>
    <col min="5110" max="5110" width="12" style="13" customWidth="1"/>
    <col min="5111" max="5111" width="14.140625" style="13" customWidth="1"/>
    <col min="5112" max="5112" width="10.28515625" style="13" customWidth="1"/>
    <col min="5113" max="5113" width="17.140625" style="13" customWidth="1"/>
    <col min="5114" max="5114" width="12" style="13" customWidth="1"/>
    <col min="5115" max="5115" width="10.7109375" style="13" customWidth="1"/>
    <col min="5116" max="5118" width="0" style="13" hidden="1" customWidth="1"/>
    <col min="5119" max="5346" width="9.140625" style="13"/>
    <col min="5347" max="5347" width="5.140625" style="13" customWidth="1"/>
    <col min="5348" max="5348" width="32.42578125" style="13" customWidth="1"/>
    <col min="5349" max="5351" width="10.28515625" style="13" customWidth="1"/>
    <col min="5352" max="5353" width="12.42578125" style="13" customWidth="1"/>
    <col min="5354" max="5354" width="11.28515625" style="13" customWidth="1"/>
    <col min="5355" max="5355" width="12.42578125" style="13" customWidth="1"/>
    <col min="5356" max="5356" width="11.28515625" style="13" customWidth="1"/>
    <col min="5357" max="5357" width="12.42578125" style="13" customWidth="1"/>
    <col min="5358" max="5358" width="11.28515625" style="13" customWidth="1"/>
    <col min="5359" max="5359" width="12.42578125" style="13" customWidth="1"/>
    <col min="5360" max="5360" width="11.28515625" style="13" customWidth="1"/>
    <col min="5361" max="5361" width="12.42578125" style="13" customWidth="1"/>
    <col min="5362" max="5362" width="11.28515625" style="13" customWidth="1"/>
    <col min="5363" max="5363" width="14.140625" style="13" customWidth="1"/>
    <col min="5364" max="5364" width="10.28515625" style="13" customWidth="1"/>
    <col min="5365" max="5365" width="17.140625" style="13" customWidth="1"/>
    <col min="5366" max="5366" width="12" style="13" customWidth="1"/>
    <col min="5367" max="5367" width="14.140625" style="13" customWidth="1"/>
    <col min="5368" max="5368" width="10.28515625" style="13" customWidth="1"/>
    <col min="5369" max="5369" width="17.140625" style="13" customWidth="1"/>
    <col min="5370" max="5370" width="12" style="13" customWidth="1"/>
    <col min="5371" max="5371" width="10.7109375" style="13" customWidth="1"/>
    <col min="5372" max="5374" width="0" style="13" hidden="1" customWidth="1"/>
    <col min="5375" max="5602" width="9.140625" style="13"/>
    <col min="5603" max="5603" width="5.140625" style="13" customWidth="1"/>
    <col min="5604" max="5604" width="32.42578125" style="13" customWidth="1"/>
    <col min="5605" max="5607" width="10.28515625" style="13" customWidth="1"/>
    <col min="5608" max="5609" width="12.42578125" style="13" customWidth="1"/>
    <col min="5610" max="5610" width="11.28515625" style="13" customWidth="1"/>
    <col min="5611" max="5611" width="12.42578125" style="13" customWidth="1"/>
    <col min="5612" max="5612" width="11.28515625" style="13" customWidth="1"/>
    <col min="5613" max="5613" width="12.42578125" style="13" customWidth="1"/>
    <col min="5614" max="5614" width="11.28515625" style="13" customWidth="1"/>
    <col min="5615" max="5615" width="12.42578125" style="13" customWidth="1"/>
    <col min="5616" max="5616" width="11.28515625" style="13" customWidth="1"/>
    <col min="5617" max="5617" width="12.42578125" style="13" customWidth="1"/>
    <col min="5618" max="5618" width="11.28515625" style="13" customWidth="1"/>
    <col min="5619" max="5619" width="14.140625" style="13" customWidth="1"/>
    <col min="5620" max="5620" width="10.28515625" style="13" customWidth="1"/>
    <col min="5621" max="5621" width="17.140625" style="13" customWidth="1"/>
    <col min="5622" max="5622" width="12" style="13" customWidth="1"/>
    <col min="5623" max="5623" width="14.140625" style="13" customWidth="1"/>
    <col min="5624" max="5624" width="10.28515625" style="13" customWidth="1"/>
    <col min="5625" max="5625" width="17.140625" style="13" customWidth="1"/>
    <col min="5626" max="5626" width="12" style="13" customWidth="1"/>
    <col min="5627" max="5627" width="10.7109375" style="13" customWidth="1"/>
    <col min="5628" max="5630" width="0" style="13" hidden="1" customWidth="1"/>
    <col min="5631" max="5858" width="9.140625" style="13"/>
    <col min="5859" max="5859" width="5.140625" style="13" customWidth="1"/>
    <col min="5860" max="5860" width="32.42578125" style="13" customWidth="1"/>
    <col min="5861" max="5863" width="10.28515625" style="13" customWidth="1"/>
    <col min="5864" max="5865" width="12.42578125" style="13" customWidth="1"/>
    <col min="5866" max="5866" width="11.28515625" style="13" customWidth="1"/>
    <col min="5867" max="5867" width="12.42578125" style="13" customWidth="1"/>
    <col min="5868" max="5868" width="11.28515625" style="13" customWidth="1"/>
    <col min="5869" max="5869" width="12.42578125" style="13" customWidth="1"/>
    <col min="5870" max="5870" width="11.28515625" style="13" customWidth="1"/>
    <col min="5871" max="5871" width="12.42578125" style="13" customWidth="1"/>
    <col min="5872" max="5872" width="11.28515625" style="13" customWidth="1"/>
    <col min="5873" max="5873" width="12.42578125" style="13" customWidth="1"/>
    <col min="5874" max="5874" width="11.28515625" style="13" customWidth="1"/>
    <col min="5875" max="5875" width="14.140625" style="13" customWidth="1"/>
    <col min="5876" max="5876" width="10.28515625" style="13" customWidth="1"/>
    <col min="5877" max="5877" width="17.140625" style="13" customWidth="1"/>
    <col min="5878" max="5878" width="12" style="13" customWidth="1"/>
    <col min="5879" max="5879" width="14.140625" style="13" customWidth="1"/>
    <col min="5880" max="5880" width="10.28515625" style="13" customWidth="1"/>
    <col min="5881" max="5881" width="17.140625" style="13" customWidth="1"/>
    <col min="5882" max="5882" width="12" style="13" customWidth="1"/>
    <col min="5883" max="5883" width="10.7109375" style="13" customWidth="1"/>
    <col min="5884" max="5886" width="0" style="13" hidden="1" customWidth="1"/>
    <col min="5887" max="6114" width="9.140625" style="13"/>
    <col min="6115" max="6115" width="5.140625" style="13" customWidth="1"/>
    <col min="6116" max="6116" width="32.42578125" style="13" customWidth="1"/>
    <col min="6117" max="6119" width="10.28515625" style="13" customWidth="1"/>
    <col min="6120" max="6121" width="12.42578125" style="13" customWidth="1"/>
    <col min="6122" max="6122" width="11.28515625" style="13" customWidth="1"/>
    <col min="6123" max="6123" width="12.42578125" style="13" customWidth="1"/>
    <col min="6124" max="6124" width="11.28515625" style="13" customWidth="1"/>
    <col min="6125" max="6125" width="12.42578125" style="13" customWidth="1"/>
    <col min="6126" max="6126" width="11.28515625" style="13" customWidth="1"/>
    <col min="6127" max="6127" width="12.42578125" style="13" customWidth="1"/>
    <col min="6128" max="6128" width="11.28515625" style="13" customWidth="1"/>
    <col min="6129" max="6129" width="12.42578125" style="13" customWidth="1"/>
    <col min="6130" max="6130" width="11.28515625" style="13" customWidth="1"/>
    <col min="6131" max="6131" width="14.140625" style="13" customWidth="1"/>
    <col min="6132" max="6132" width="10.28515625" style="13" customWidth="1"/>
    <col min="6133" max="6133" width="17.140625" style="13" customWidth="1"/>
    <col min="6134" max="6134" width="12" style="13" customWidth="1"/>
    <col min="6135" max="6135" width="14.140625" style="13" customWidth="1"/>
    <col min="6136" max="6136" width="10.28515625" style="13" customWidth="1"/>
    <col min="6137" max="6137" width="17.140625" style="13" customWidth="1"/>
    <col min="6138" max="6138" width="12" style="13" customWidth="1"/>
    <col min="6139" max="6139" width="10.7109375" style="13" customWidth="1"/>
    <col min="6140" max="6142" width="0" style="13" hidden="1" customWidth="1"/>
    <col min="6143" max="6370" width="9.140625" style="13"/>
    <col min="6371" max="6371" width="5.140625" style="13" customWidth="1"/>
    <col min="6372" max="6372" width="32.42578125" style="13" customWidth="1"/>
    <col min="6373" max="6375" width="10.28515625" style="13" customWidth="1"/>
    <col min="6376" max="6377" width="12.42578125" style="13" customWidth="1"/>
    <col min="6378" max="6378" width="11.28515625" style="13" customWidth="1"/>
    <col min="6379" max="6379" width="12.42578125" style="13" customWidth="1"/>
    <col min="6380" max="6380" width="11.28515625" style="13" customWidth="1"/>
    <col min="6381" max="6381" width="12.42578125" style="13" customWidth="1"/>
    <col min="6382" max="6382" width="11.28515625" style="13" customWidth="1"/>
    <col min="6383" max="6383" width="12.42578125" style="13" customWidth="1"/>
    <col min="6384" max="6384" width="11.28515625" style="13" customWidth="1"/>
    <col min="6385" max="6385" width="12.42578125" style="13" customWidth="1"/>
    <col min="6386" max="6386" width="11.28515625" style="13" customWidth="1"/>
    <col min="6387" max="6387" width="14.140625" style="13" customWidth="1"/>
    <col min="6388" max="6388" width="10.28515625" style="13" customWidth="1"/>
    <col min="6389" max="6389" width="17.140625" style="13" customWidth="1"/>
    <col min="6390" max="6390" width="12" style="13" customWidth="1"/>
    <col min="6391" max="6391" width="14.140625" style="13" customWidth="1"/>
    <col min="6392" max="6392" width="10.28515625" style="13" customWidth="1"/>
    <col min="6393" max="6393" width="17.140625" style="13" customWidth="1"/>
    <col min="6394" max="6394" width="12" style="13" customWidth="1"/>
    <col min="6395" max="6395" width="10.7109375" style="13" customWidth="1"/>
    <col min="6396" max="6398" width="0" style="13" hidden="1" customWidth="1"/>
    <col min="6399" max="6626" width="9.140625" style="13"/>
    <col min="6627" max="6627" width="5.140625" style="13" customWidth="1"/>
    <col min="6628" max="6628" width="32.42578125" style="13" customWidth="1"/>
    <col min="6629" max="6631" width="10.28515625" style="13" customWidth="1"/>
    <col min="6632" max="6633" width="12.42578125" style="13" customWidth="1"/>
    <col min="6634" max="6634" width="11.28515625" style="13" customWidth="1"/>
    <col min="6635" max="6635" width="12.42578125" style="13" customWidth="1"/>
    <col min="6636" max="6636" width="11.28515625" style="13" customWidth="1"/>
    <col min="6637" max="6637" width="12.42578125" style="13" customWidth="1"/>
    <col min="6638" max="6638" width="11.28515625" style="13" customWidth="1"/>
    <col min="6639" max="6639" width="12.42578125" style="13" customWidth="1"/>
    <col min="6640" max="6640" width="11.28515625" style="13" customWidth="1"/>
    <col min="6641" max="6641" width="12.42578125" style="13" customWidth="1"/>
    <col min="6642" max="6642" width="11.28515625" style="13" customWidth="1"/>
    <col min="6643" max="6643" width="14.140625" style="13" customWidth="1"/>
    <col min="6644" max="6644" width="10.28515625" style="13" customWidth="1"/>
    <col min="6645" max="6645" width="17.140625" style="13" customWidth="1"/>
    <col min="6646" max="6646" width="12" style="13" customWidth="1"/>
    <col min="6647" max="6647" width="14.140625" style="13" customWidth="1"/>
    <col min="6648" max="6648" width="10.28515625" style="13" customWidth="1"/>
    <col min="6649" max="6649" width="17.140625" style="13" customWidth="1"/>
    <col min="6650" max="6650" width="12" style="13" customWidth="1"/>
    <col min="6651" max="6651" width="10.7109375" style="13" customWidth="1"/>
    <col min="6652" max="6654" width="0" style="13" hidden="1" customWidth="1"/>
    <col min="6655" max="6882" width="9.140625" style="13"/>
    <col min="6883" max="6883" width="5.140625" style="13" customWidth="1"/>
    <col min="6884" max="6884" width="32.42578125" style="13" customWidth="1"/>
    <col min="6885" max="6887" width="10.28515625" style="13" customWidth="1"/>
    <col min="6888" max="6889" width="12.42578125" style="13" customWidth="1"/>
    <col min="6890" max="6890" width="11.28515625" style="13" customWidth="1"/>
    <col min="6891" max="6891" width="12.42578125" style="13" customWidth="1"/>
    <col min="6892" max="6892" width="11.28515625" style="13" customWidth="1"/>
    <col min="6893" max="6893" width="12.42578125" style="13" customWidth="1"/>
    <col min="6894" max="6894" width="11.28515625" style="13" customWidth="1"/>
    <col min="6895" max="6895" width="12.42578125" style="13" customWidth="1"/>
    <col min="6896" max="6896" width="11.28515625" style="13" customWidth="1"/>
    <col min="6897" max="6897" width="12.42578125" style="13" customWidth="1"/>
    <col min="6898" max="6898" width="11.28515625" style="13" customWidth="1"/>
    <col min="6899" max="6899" width="14.140625" style="13" customWidth="1"/>
    <col min="6900" max="6900" width="10.28515625" style="13" customWidth="1"/>
    <col min="6901" max="6901" width="17.140625" style="13" customWidth="1"/>
    <col min="6902" max="6902" width="12" style="13" customWidth="1"/>
    <col min="6903" max="6903" width="14.140625" style="13" customWidth="1"/>
    <col min="6904" max="6904" width="10.28515625" style="13" customWidth="1"/>
    <col min="6905" max="6905" width="17.140625" style="13" customWidth="1"/>
    <col min="6906" max="6906" width="12" style="13" customWidth="1"/>
    <col min="6907" max="6907" width="10.7109375" style="13" customWidth="1"/>
    <col min="6908" max="6910" width="0" style="13" hidden="1" customWidth="1"/>
    <col min="6911" max="7138" width="9.140625" style="13"/>
    <col min="7139" max="7139" width="5.140625" style="13" customWidth="1"/>
    <col min="7140" max="7140" width="32.42578125" style="13" customWidth="1"/>
    <col min="7141" max="7143" width="10.28515625" style="13" customWidth="1"/>
    <col min="7144" max="7145" width="12.42578125" style="13" customWidth="1"/>
    <col min="7146" max="7146" width="11.28515625" style="13" customWidth="1"/>
    <col min="7147" max="7147" width="12.42578125" style="13" customWidth="1"/>
    <col min="7148" max="7148" width="11.28515625" style="13" customWidth="1"/>
    <col min="7149" max="7149" width="12.42578125" style="13" customWidth="1"/>
    <col min="7150" max="7150" width="11.28515625" style="13" customWidth="1"/>
    <col min="7151" max="7151" width="12.42578125" style="13" customWidth="1"/>
    <col min="7152" max="7152" width="11.28515625" style="13" customWidth="1"/>
    <col min="7153" max="7153" width="12.42578125" style="13" customWidth="1"/>
    <col min="7154" max="7154" width="11.28515625" style="13" customWidth="1"/>
    <col min="7155" max="7155" width="14.140625" style="13" customWidth="1"/>
    <col min="7156" max="7156" width="10.28515625" style="13" customWidth="1"/>
    <col min="7157" max="7157" width="17.140625" style="13" customWidth="1"/>
    <col min="7158" max="7158" width="12" style="13" customWidth="1"/>
    <col min="7159" max="7159" width="14.140625" style="13" customWidth="1"/>
    <col min="7160" max="7160" width="10.28515625" style="13" customWidth="1"/>
    <col min="7161" max="7161" width="17.140625" style="13" customWidth="1"/>
    <col min="7162" max="7162" width="12" style="13" customWidth="1"/>
    <col min="7163" max="7163" width="10.7109375" style="13" customWidth="1"/>
    <col min="7164" max="7166" width="0" style="13" hidden="1" customWidth="1"/>
    <col min="7167" max="7394" width="9.140625" style="13"/>
    <col min="7395" max="7395" width="5.140625" style="13" customWidth="1"/>
    <col min="7396" max="7396" width="32.42578125" style="13" customWidth="1"/>
    <col min="7397" max="7399" width="10.28515625" style="13" customWidth="1"/>
    <col min="7400" max="7401" width="12.42578125" style="13" customWidth="1"/>
    <col min="7402" max="7402" width="11.28515625" style="13" customWidth="1"/>
    <col min="7403" max="7403" width="12.42578125" style="13" customWidth="1"/>
    <col min="7404" max="7404" width="11.28515625" style="13" customWidth="1"/>
    <col min="7405" max="7405" width="12.42578125" style="13" customWidth="1"/>
    <col min="7406" max="7406" width="11.28515625" style="13" customWidth="1"/>
    <col min="7407" max="7407" width="12.42578125" style="13" customWidth="1"/>
    <col min="7408" max="7408" width="11.28515625" style="13" customWidth="1"/>
    <col min="7409" max="7409" width="12.42578125" style="13" customWidth="1"/>
    <col min="7410" max="7410" width="11.28515625" style="13" customWidth="1"/>
    <col min="7411" max="7411" width="14.140625" style="13" customWidth="1"/>
    <col min="7412" max="7412" width="10.28515625" style="13" customWidth="1"/>
    <col min="7413" max="7413" width="17.140625" style="13" customWidth="1"/>
    <col min="7414" max="7414" width="12" style="13" customWidth="1"/>
    <col min="7415" max="7415" width="14.140625" style="13" customWidth="1"/>
    <col min="7416" max="7416" width="10.28515625" style="13" customWidth="1"/>
    <col min="7417" max="7417" width="17.140625" style="13" customWidth="1"/>
    <col min="7418" max="7418" width="12" style="13" customWidth="1"/>
    <col min="7419" max="7419" width="10.7109375" style="13" customWidth="1"/>
    <col min="7420" max="7422" width="0" style="13" hidden="1" customWidth="1"/>
    <col min="7423" max="7650" width="9.140625" style="13"/>
    <col min="7651" max="7651" width="5.140625" style="13" customWidth="1"/>
    <col min="7652" max="7652" width="32.42578125" style="13" customWidth="1"/>
    <col min="7653" max="7655" width="10.28515625" style="13" customWidth="1"/>
    <col min="7656" max="7657" width="12.42578125" style="13" customWidth="1"/>
    <col min="7658" max="7658" width="11.28515625" style="13" customWidth="1"/>
    <col min="7659" max="7659" width="12.42578125" style="13" customWidth="1"/>
    <col min="7660" max="7660" width="11.28515625" style="13" customWidth="1"/>
    <col min="7661" max="7661" width="12.42578125" style="13" customWidth="1"/>
    <col min="7662" max="7662" width="11.28515625" style="13" customWidth="1"/>
    <col min="7663" max="7663" width="12.42578125" style="13" customWidth="1"/>
    <col min="7664" max="7664" width="11.28515625" style="13" customWidth="1"/>
    <col min="7665" max="7665" width="12.42578125" style="13" customWidth="1"/>
    <col min="7666" max="7666" width="11.28515625" style="13" customWidth="1"/>
    <col min="7667" max="7667" width="14.140625" style="13" customWidth="1"/>
    <col min="7668" max="7668" width="10.28515625" style="13" customWidth="1"/>
    <col min="7669" max="7669" width="17.140625" style="13" customWidth="1"/>
    <col min="7670" max="7670" width="12" style="13" customWidth="1"/>
    <col min="7671" max="7671" width="14.140625" style="13" customWidth="1"/>
    <col min="7672" max="7672" width="10.28515625" style="13" customWidth="1"/>
    <col min="7673" max="7673" width="17.140625" style="13" customWidth="1"/>
    <col min="7674" max="7674" width="12" style="13" customWidth="1"/>
    <col min="7675" max="7675" width="10.7109375" style="13" customWidth="1"/>
    <col min="7676" max="7678" width="0" style="13" hidden="1" customWidth="1"/>
    <col min="7679" max="7906" width="9.140625" style="13"/>
    <col min="7907" max="7907" width="5.140625" style="13" customWidth="1"/>
    <col min="7908" max="7908" width="32.42578125" style="13" customWidth="1"/>
    <col min="7909" max="7911" width="10.28515625" style="13" customWidth="1"/>
    <col min="7912" max="7913" width="12.42578125" style="13" customWidth="1"/>
    <col min="7914" max="7914" width="11.28515625" style="13" customWidth="1"/>
    <col min="7915" max="7915" width="12.42578125" style="13" customWidth="1"/>
    <col min="7916" max="7916" width="11.28515625" style="13" customWidth="1"/>
    <col min="7917" max="7917" width="12.42578125" style="13" customWidth="1"/>
    <col min="7918" max="7918" width="11.28515625" style="13" customWidth="1"/>
    <col min="7919" max="7919" width="12.42578125" style="13" customWidth="1"/>
    <col min="7920" max="7920" width="11.28515625" style="13" customWidth="1"/>
    <col min="7921" max="7921" width="12.42578125" style="13" customWidth="1"/>
    <col min="7922" max="7922" width="11.28515625" style="13" customWidth="1"/>
    <col min="7923" max="7923" width="14.140625" style="13" customWidth="1"/>
    <col min="7924" max="7924" width="10.28515625" style="13" customWidth="1"/>
    <col min="7925" max="7925" width="17.140625" style="13" customWidth="1"/>
    <col min="7926" max="7926" width="12" style="13" customWidth="1"/>
    <col min="7927" max="7927" width="14.140625" style="13" customWidth="1"/>
    <col min="7928" max="7928" width="10.28515625" style="13" customWidth="1"/>
    <col min="7929" max="7929" width="17.140625" style="13" customWidth="1"/>
    <col min="7930" max="7930" width="12" style="13" customWidth="1"/>
    <col min="7931" max="7931" width="10.7109375" style="13" customWidth="1"/>
    <col min="7932" max="7934" width="0" style="13" hidden="1" customWidth="1"/>
    <col min="7935" max="8162" width="9.140625" style="13"/>
    <col min="8163" max="8163" width="5.140625" style="13" customWidth="1"/>
    <col min="8164" max="8164" width="32.42578125" style="13" customWidth="1"/>
    <col min="8165" max="8167" width="10.28515625" style="13" customWidth="1"/>
    <col min="8168" max="8169" width="12.42578125" style="13" customWidth="1"/>
    <col min="8170" max="8170" width="11.28515625" style="13" customWidth="1"/>
    <col min="8171" max="8171" width="12.42578125" style="13" customWidth="1"/>
    <col min="8172" max="8172" width="11.28515625" style="13" customWidth="1"/>
    <col min="8173" max="8173" width="12.42578125" style="13" customWidth="1"/>
    <col min="8174" max="8174" width="11.28515625" style="13" customWidth="1"/>
    <col min="8175" max="8175" width="12.42578125" style="13" customWidth="1"/>
    <col min="8176" max="8176" width="11.28515625" style="13" customWidth="1"/>
    <col min="8177" max="8177" width="12.42578125" style="13" customWidth="1"/>
    <col min="8178" max="8178" width="11.28515625" style="13" customWidth="1"/>
    <col min="8179" max="8179" width="14.140625" style="13" customWidth="1"/>
    <col min="8180" max="8180" width="10.28515625" style="13" customWidth="1"/>
    <col min="8181" max="8181" width="17.140625" style="13" customWidth="1"/>
    <col min="8182" max="8182" width="12" style="13" customWidth="1"/>
    <col min="8183" max="8183" width="14.140625" style="13" customWidth="1"/>
    <col min="8184" max="8184" width="10.28515625" style="13" customWidth="1"/>
    <col min="8185" max="8185" width="17.140625" style="13" customWidth="1"/>
    <col min="8186" max="8186" width="12" style="13" customWidth="1"/>
    <col min="8187" max="8187" width="10.7109375" style="13" customWidth="1"/>
    <col min="8188" max="8190" width="0" style="13" hidden="1" customWidth="1"/>
    <col min="8191" max="8418" width="9.140625" style="13"/>
    <col min="8419" max="8419" width="5.140625" style="13" customWidth="1"/>
    <col min="8420" max="8420" width="32.42578125" style="13" customWidth="1"/>
    <col min="8421" max="8423" width="10.28515625" style="13" customWidth="1"/>
    <col min="8424" max="8425" width="12.42578125" style="13" customWidth="1"/>
    <col min="8426" max="8426" width="11.28515625" style="13" customWidth="1"/>
    <col min="8427" max="8427" width="12.42578125" style="13" customWidth="1"/>
    <col min="8428" max="8428" width="11.28515625" style="13" customWidth="1"/>
    <col min="8429" max="8429" width="12.42578125" style="13" customWidth="1"/>
    <col min="8430" max="8430" width="11.28515625" style="13" customWidth="1"/>
    <col min="8431" max="8431" width="12.42578125" style="13" customWidth="1"/>
    <col min="8432" max="8432" width="11.28515625" style="13" customWidth="1"/>
    <col min="8433" max="8433" width="12.42578125" style="13" customWidth="1"/>
    <col min="8434" max="8434" width="11.28515625" style="13" customWidth="1"/>
    <col min="8435" max="8435" width="14.140625" style="13" customWidth="1"/>
    <col min="8436" max="8436" width="10.28515625" style="13" customWidth="1"/>
    <col min="8437" max="8437" width="17.140625" style="13" customWidth="1"/>
    <col min="8438" max="8438" width="12" style="13" customWidth="1"/>
    <col min="8439" max="8439" width="14.140625" style="13" customWidth="1"/>
    <col min="8440" max="8440" width="10.28515625" style="13" customWidth="1"/>
    <col min="8441" max="8441" width="17.140625" style="13" customWidth="1"/>
    <col min="8442" max="8442" width="12" style="13" customWidth="1"/>
    <col min="8443" max="8443" width="10.7109375" style="13" customWidth="1"/>
    <col min="8444" max="8446" width="0" style="13" hidden="1" customWidth="1"/>
    <col min="8447" max="8674" width="9.140625" style="13"/>
    <col min="8675" max="8675" width="5.140625" style="13" customWidth="1"/>
    <col min="8676" max="8676" width="32.42578125" style="13" customWidth="1"/>
    <col min="8677" max="8679" width="10.28515625" style="13" customWidth="1"/>
    <col min="8680" max="8681" width="12.42578125" style="13" customWidth="1"/>
    <col min="8682" max="8682" width="11.28515625" style="13" customWidth="1"/>
    <col min="8683" max="8683" width="12.42578125" style="13" customWidth="1"/>
    <col min="8684" max="8684" width="11.28515625" style="13" customWidth="1"/>
    <col min="8685" max="8685" width="12.42578125" style="13" customWidth="1"/>
    <col min="8686" max="8686" width="11.28515625" style="13" customWidth="1"/>
    <col min="8687" max="8687" width="12.42578125" style="13" customWidth="1"/>
    <col min="8688" max="8688" width="11.28515625" style="13" customWidth="1"/>
    <col min="8689" max="8689" width="12.42578125" style="13" customWidth="1"/>
    <col min="8690" max="8690" width="11.28515625" style="13" customWidth="1"/>
    <col min="8691" max="8691" width="14.140625" style="13" customWidth="1"/>
    <col min="8692" max="8692" width="10.28515625" style="13" customWidth="1"/>
    <col min="8693" max="8693" width="17.140625" style="13" customWidth="1"/>
    <col min="8694" max="8694" width="12" style="13" customWidth="1"/>
    <col min="8695" max="8695" width="14.140625" style="13" customWidth="1"/>
    <col min="8696" max="8696" width="10.28515625" style="13" customWidth="1"/>
    <col min="8697" max="8697" width="17.140625" style="13" customWidth="1"/>
    <col min="8698" max="8698" width="12" style="13" customWidth="1"/>
    <col min="8699" max="8699" width="10.7109375" style="13" customWidth="1"/>
    <col min="8700" max="8702" width="0" style="13" hidden="1" customWidth="1"/>
    <col min="8703" max="8930" width="9.140625" style="13"/>
    <col min="8931" max="8931" width="5.140625" style="13" customWidth="1"/>
    <col min="8932" max="8932" width="32.42578125" style="13" customWidth="1"/>
    <col min="8933" max="8935" width="10.28515625" style="13" customWidth="1"/>
    <col min="8936" max="8937" width="12.42578125" style="13" customWidth="1"/>
    <col min="8938" max="8938" width="11.28515625" style="13" customWidth="1"/>
    <col min="8939" max="8939" width="12.42578125" style="13" customWidth="1"/>
    <col min="8940" max="8940" width="11.28515625" style="13" customWidth="1"/>
    <col min="8941" max="8941" width="12.42578125" style="13" customWidth="1"/>
    <col min="8942" max="8942" width="11.28515625" style="13" customWidth="1"/>
    <col min="8943" max="8943" width="12.42578125" style="13" customWidth="1"/>
    <col min="8944" max="8944" width="11.28515625" style="13" customWidth="1"/>
    <col min="8945" max="8945" width="12.42578125" style="13" customWidth="1"/>
    <col min="8946" max="8946" width="11.28515625" style="13" customWidth="1"/>
    <col min="8947" max="8947" width="14.140625" style="13" customWidth="1"/>
    <col min="8948" max="8948" width="10.28515625" style="13" customWidth="1"/>
    <col min="8949" max="8949" width="17.140625" style="13" customWidth="1"/>
    <col min="8950" max="8950" width="12" style="13" customWidth="1"/>
    <col min="8951" max="8951" width="14.140625" style="13" customWidth="1"/>
    <col min="8952" max="8952" width="10.28515625" style="13" customWidth="1"/>
    <col min="8953" max="8953" width="17.140625" style="13" customWidth="1"/>
    <col min="8954" max="8954" width="12" style="13" customWidth="1"/>
    <col min="8955" max="8955" width="10.7109375" style="13" customWidth="1"/>
    <col min="8956" max="8958" width="0" style="13" hidden="1" customWidth="1"/>
    <col min="8959" max="9186" width="9.140625" style="13"/>
    <col min="9187" max="9187" width="5.140625" style="13" customWidth="1"/>
    <col min="9188" max="9188" width="32.42578125" style="13" customWidth="1"/>
    <col min="9189" max="9191" width="10.28515625" style="13" customWidth="1"/>
    <col min="9192" max="9193" width="12.42578125" style="13" customWidth="1"/>
    <col min="9194" max="9194" width="11.28515625" style="13" customWidth="1"/>
    <col min="9195" max="9195" width="12.42578125" style="13" customWidth="1"/>
    <col min="9196" max="9196" width="11.28515625" style="13" customWidth="1"/>
    <col min="9197" max="9197" width="12.42578125" style="13" customWidth="1"/>
    <col min="9198" max="9198" width="11.28515625" style="13" customWidth="1"/>
    <col min="9199" max="9199" width="12.42578125" style="13" customWidth="1"/>
    <col min="9200" max="9200" width="11.28515625" style="13" customWidth="1"/>
    <col min="9201" max="9201" width="12.42578125" style="13" customWidth="1"/>
    <col min="9202" max="9202" width="11.28515625" style="13" customWidth="1"/>
    <col min="9203" max="9203" width="14.140625" style="13" customWidth="1"/>
    <col min="9204" max="9204" width="10.28515625" style="13" customWidth="1"/>
    <col min="9205" max="9205" width="17.140625" style="13" customWidth="1"/>
    <col min="9206" max="9206" width="12" style="13" customWidth="1"/>
    <col min="9207" max="9207" width="14.140625" style="13" customWidth="1"/>
    <col min="9208" max="9208" width="10.28515625" style="13" customWidth="1"/>
    <col min="9209" max="9209" width="17.140625" style="13" customWidth="1"/>
    <col min="9210" max="9210" width="12" style="13" customWidth="1"/>
    <col min="9211" max="9211" width="10.7109375" style="13" customWidth="1"/>
    <col min="9212" max="9214" width="0" style="13" hidden="1" customWidth="1"/>
    <col min="9215" max="9442" width="9.140625" style="13"/>
    <col min="9443" max="9443" width="5.140625" style="13" customWidth="1"/>
    <col min="9444" max="9444" width="32.42578125" style="13" customWidth="1"/>
    <col min="9445" max="9447" width="10.28515625" style="13" customWidth="1"/>
    <col min="9448" max="9449" width="12.42578125" style="13" customWidth="1"/>
    <col min="9450" max="9450" width="11.28515625" style="13" customWidth="1"/>
    <col min="9451" max="9451" width="12.42578125" style="13" customWidth="1"/>
    <col min="9452" max="9452" width="11.28515625" style="13" customWidth="1"/>
    <col min="9453" max="9453" width="12.42578125" style="13" customWidth="1"/>
    <col min="9454" max="9454" width="11.28515625" style="13" customWidth="1"/>
    <col min="9455" max="9455" width="12.42578125" style="13" customWidth="1"/>
    <col min="9456" max="9456" width="11.28515625" style="13" customWidth="1"/>
    <col min="9457" max="9457" width="12.42578125" style="13" customWidth="1"/>
    <col min="9458" max="9458" width="11.28515625" style="13" customWidth="1"/>
    <col min="9459" max="9459" width="14.140625" style="13" customWidth="1"/>
    <col min="9460" max="9460" width="10.28515625" style="13" customWidth="1"/>
    <col min="9461" max="9461" width="17.140625" style="13" customWidth="1"/>
    <col min="9462" max="9462" width="12" style="13" customWidth="1"/>
    <col min="9463" max="9463" width="14.140625" style="13" customWidth="1"/>
    <col min="9464" max="9464" width="10.28515625" style="13" customWidth="1"/>
    <col min="9465" max="9465" width="17.140625" style="13" customWidth="1"/>
    <col min="9466" max="9466" width="12" style="13" customWidth="1"/>
    <col min="9467" max="9467" width="10.7109375" style="13" customWidth="1"/>
    <col min="9468" max="9470" width="0" style="13" hidden="1" customWidth="1"/>
    <col min="9471" max="9698" width="9.140625" style="13"/>
    <col min="9699" max="9699" width="5.140625" style="13" customWidth="1"/>
    <col min="9700" max="9700" width="32.42578125" style="13" customWidth="1"/>
    <col min="9701" max="9703" width="10.28515625" style="13" customWidth="1"/>
    <col min="9704" max="9705" width="12.42578125" style="13" customWidth="1"/>
    <col min="9706" max="9706" width="11.28515625" style="13" customWidth="1"/>
    <col min="9707" max="9707" width="12.42578125" style="13" customWidth="1"/>
    <col min="9708" max="9708" width="11.28515625" style="13" customWidth="1"/>
    <col min="9709" max="9709" width="12.42578125" style="13" customWidth="1"/>
    <col min="9710" max="9710" width="11.28515625" style="13" customWidth="1"/>
    <col min="9711" max="9711" width="12.42578125" style="13" customWidth="1"/>
    <col min="9712" max="9712" width="11.28515625" style="13" customWidth="1"/>
    <col min="9713" max="9713" width="12.42578125" style="13" customWidth="1"/>
    <col min="9714" max="9714" width="11.28515625" style="13" customWidth="1"/>
    <col min="9715" max="9715" width="14.140625" style="13" customWidth="1"/>
    <col min="9716" max="9716" width="10.28515625" style="13" customWidth="1"/>
    <col min="9717" max="9717" width="17.140625" style="13" customWidth="1"/>
    <col min="9718" max="9718" width="12" style="13" customWidth="1"/>
    <col min="9719" max="9719" width="14.140625" style="13" customWidth="1"/>
    <col min="9720" max="9720" width="10.28515625" style="13" customWidth="1"/>
    <col min="9721" max="9721" width="17.140625" style="13" customWidth="1"/>
    <col min="9722" max="9722" width="12" style="13" customWidth="1"/>
    <col min="9723" max="9723" width="10.7109375" style="13" customWidth="1"/>
    <col min="9724" max="9726" width="0" style="13" hidden="1" customWidth="1"/>
    <col min="9727" max="9954" width="9.140625" style="13"/>
    <col min="9955" max="9955" width="5.140625" style="13" customWidth="1"/>
    <col min="9956" max="9956" width="32.42578125" style="13" customWidth="1"/>
    <col min="9957" max="9959" width="10.28515625" style="13" customWidth="1"/>
    <col min="9960" max="9961" width="12.42578125" style="13" customWidth="1"/>
    <col min="9962" max="9962" width="11.28515625" style="13" customWidth="1"/>
    <col min="9963" max="9963" width="12.42578125" style="13" customWidth="1"/>
    <col min="9964" max="9964" width="11.28515625" style="13" customWidth="1"/>
    <col min="9965" max="9965" width="12.42578125" style="13" customWidth="1"/>
    <col min="9966" max="9966" width="11.28515625" style="13" customWidth="1"/>
    <col min="9967" max="9967" width="12.42578125" style="13" customWidth="1"/>
    <col min="9968" max="9968" width="11.28515625" style="13" customWidth="1"/>
    <col min="9969" max="9969" width="12.42578125" style="13" customWidth="1"/>
    <col min="9970" max="9970" width="11.28515625" style="13" customWidth="1"/>
    <col min="9971" max="9971" width="14.140625" style="13" customWidth="1"/>
    <col min="9972" max="9972" width="10.28515625" style="13" customWidth="1"/>
    <col min="9973" max="9973" width="17.140625" style="13" customWidth="1"/>
    <col min="9974" max="9974" width="12" style="13" customWidth="1"/>
    <col min="9975" max="9975" width="14.140625" style="13" customWidth="1"/>
    <col min="9976" max="9976" width="10.28515625" style="13" customWidth="1"/>
    <col min="9977" max="9977" width="17.140625" style="13" customWidth="1"/>
    <col min="9978" max="9978" width="12" style="13" customWidth="1"/>
    <col min="9979" max="9979" width="10.7109375" style="13" customWidth="1"/>
    <col min="9980" max="9982" width="0" style="13" hidden="1" customWidth="1"/>
    <col min="9983" max="10210" width="9.140625" style="13"/>
    <col min="10211" max="10211" width="5.140625" style="13" customWidth="1"/>
    <col min="10212" max="10212" width="32.42578125" style="13" customWidth="1"/>
    <col min="10213" max="10215" width="10.28515625" style="13" customWidth="1"/>
    <col min="10216" max="10217" width="12.42578125" style="13" customWidth="1"/>
    <col min="10218" max="10218" width="11.28515625" style="13" customWidth="1"/>
    <col min="10219" max="10219" width="12.42578125" style="13" customWidth="1"/>
    <col min="10220" max="10220" width="11.28515625" style="13" customWidth="1"/>
    <col min="10221" max="10221" width="12.42578125" style="13" customWidth="1"/>
    <col min="10222" max="10222" width="11.28515625" style="13" customWidth="1"/>
    <col min="10223" max="10223" width="12.42578125" style="13" customWidth="1"/>
    <col min="10224" max="10224" width="11.28515625" style="13" customWidth="1"/>
    <col min="10225" max="10225" width="12.42578125" style="13" customWidth="1"/>
    <col min="10226" max="10226" width="11.28515625" style="13" customWidth="1"/>
    <col min="10227" max="10227" width="14.140625" style="13" customWidth="1"/>
    <col min="10228" max="10228" width="10.28515625" style="13" customWidth="1"/>
    <col min="10229" max="10229" width="17.140625" style="13" customWidth="1"/>
    <col min="10230" max="10230" width="12" style="13" customWidth="1"/>
    <col min="10231" max="10231" width="14.140625" style="13" customWidth="1"/>
    <col min="10232" max="10232" width="10.28515625" style="13" customWidth="1"/>
    <col min="10233" max="10233" width="17.140625" style="13" customWidth="1"/>
    <col min="10234" max="10234" width="12" style="13" customWidth="1"/>
    <col min="10235" max="10235" width="10.7109375" style="13" customWidth="1"/>
    <col min="10236" max="10238" width="0" style="13" hidden="1" customWidth="1"/>
    <col min="10239" max="10466" width="9.140625" style="13"/>
    <col min="10467" max="10467" width="5.140625" style="13" customWidth="1"/>
    <col min="10468" max="10468" width="32.42578125" style="13" customWidth="1"/>
    <col min="10469" max="10471" width="10.28515625" style="13" customWidth="1"/>
    <col min="10472" max="10473" width="12.42578125" style="13" customWidth="1"/>
    <col min="10474" max="10474" width="11.28515625" style="13" customWidth="1"/>
    <col min="10475" max="10475" width="12.42578125" style="13" customWidth="1"/>
    <col min="10476" max="10476" width="11.28515625" style="13" customWidth="1"/>
    <col min="10477" max="10477" width="12.42578125" style="13" customWidth="1"/>
    <col min="10478" max="10478" width="11.28515625" style="13" customWidth="1"/>
    <col min="10479" max="10479" width="12.42578125" style="13" customWidth="1"/>
    <col min="10480" max="10480" width="11.28515625" style="13" customWidth="1"/>
    <col min="10481" max="10481" width="12.42578125" style="13" customWidth="1"/>
    <col min="10482" max="10482" width="11.28515625" style="13" customWidth="1"/>
    <col min="10483" max="10483" width="14.140625" style="13" customWidth="1"/>
    <col min="10484" max="10484" width="10.28515625" style="13" customWidth="1"/>
    <col min="10485" max="10485" width="17.140625" style="13" customWidth="1"/>
    <col min="10486" max="10486" width="12" style="13" customWidth="1"/>
    <col min="10487" max="10487" width="14.140625" style="13" customWidth="1"/>
    <col min="10488" max="10488" width="10.28515625" style="13" customWidth="1"/>
    <col min="10489" max="10489" width="17.140625" style="13" customWidth="1"/>
    <col min="10490" max="10490" width="12" style="13" customWidth="1"/>
    <col min="10491" max="10491" width="10.7109375" style="13" customWidth="1"/>
    <col min="10492" max="10494" width="0" style="13" hidden="1" customWidth="1"/>
    <col min="10495" max="10722" width="9.140625" style="13"/>
    <col min="10723" max="10723" width="5.140625" style="13" customWidth="1"/>
    <col min="10724" max="10724" width="32.42578125" style="13" customWidth="1"/>
    <col min="10725" max="10727" width="10.28515625" style="13" customWidth="1"/>
    <col min="10728" max="10729" width="12.42578125" style="13" customWidth="1"/>
    <col min="10730" max="10730" width="11.28515625" style="13" customWidth="1"/>
    <col min="10731" max="10731" width="12.42578125" style="13" customWidth="1"/>
    <col min="10732" max="10732" width="11.28515625" style="13" customWidth="1"/>
    <col min="10733" max="10733" width="12.42578125" style="13" customWidth="1"/>
    <col min="10734" max="10734" width="11.28515625" style="13" customWidth="1"/>
    <col min="10735" max="10735" width="12.42578125" style="13" customWidth="1"/>
    <col min="10736" max="10736" width="11.28515625" style="13" customWidth="1"/>
    <col min="10737" max="10737" width="12.42578125" style="13" customWidth="1"/>
    <col min="10738" max="10738" width="11.28515625" style="13" customWidth="1"/>
    <col min="10739" max="10739" width="14.140625" style="13" customWidth="1"/>
    <col min="10740" max="10740" width="10.28515625" style="13" customWidth="1"/>
    <col min="10741" max="10741" width="17.140625" style="13" customWidth="1"/>
    <col min="10742" max="10742" width="12" style="13" customWidth="1"/>
    <col min="10743" max="10743" width="14.140625" style="13" customWidth="1"/>
    <col min="10744" max="10744" width="10.28515625" style="13" customWidth="1"/>
    <col min="10745" max="10745" width="17.140625" style="13" customWidth="1"/>
    <col min="10746" max="10746" width="12" style="13" customWidth="1"/>
    <col min="10747" max="10747" width="10.7109375" style="13" customWidth="1"/>
    <col min="10748" max="10750" width="0" style="13" hidden="1" customWidth="1"/>
    <col min="10751" max="10978" width="9.140625" style="13"/>
    <col min="10979" max="10979" width="5.140625" style="13" customWidth="1"/>
    <col min="10980" max="10980" width="32.42578125" style="13" customWidth="1"/>
    <col min="10981" max="10983" width="10.28515625" style="13" customWidth="1"/>
    <col min="10984" max="10985" width="12.42578125" style="13" customWidth="1"/>
    <col min="10986" max="10986" width="11.28515625" style="13" customWidth="1"/>
    <col min="10987" max="10987" width="12.42578125" style="13" customWidth="1"/>
    <col min="10988" max="10988" width="11.28515625" style="13" customWidth="1"/>
    <col min="10989" max="10989" width="12.42578125" style="13" customWidth="1"/>
    <col min="10990" max="10990" width="11.28515625" style="13" customWidth="1"/>
    <col min="10991" max="10991" width="12.42578125" style="13" customWidth="1"/>
    <col min="10992" max="10992" width="11.28515625" style="13" customWidth="1"/>
    <col min="10993" max="10993" width="12.42578125" style="13" customWidth="1"/>
    <col min="10994" max="10994" width="11.28515625" style="13" customWidth="1"/>
    <col min="10995" max="10995" width="14.140625" style="13" customWidth="1"/>
    <col min="10996" max="10996" width="10.28515625" style="13" customWidth="1"/>
    <col min="10997" max="10997" width="17.140625" style="13" customWidth="1"/>
    <col min="10998" max="10998" width="12" style="13" customWidth="1"/>
    <col min="10999" max="10999" width="14.140625" style="13" customWidth="1"/>
    <col min="11000" max="11000" width="10.28515625" style="13" customWidth="1"/>
    <col min="11001" max="11001" width="17.140625" style="13" customWidth="1"/>
    <col min="11002" max="11002" width="12" style="13" customWidth="1"/>
    <col min="11003" max="11003" width="10.7109375" style="13" customWidth="1"/>
    <col min="11004" max="11006" width="0" style="13" hidden="1" customWidth="1"/>
    <col min="11007" max="11234" width="9.140625" style="13"/>
    <col min="11235" max="11235" width="5.140625" style="13" customWidth="1"/>
    <col min="11236" max="11236" width="32.42578125" style="13" customWidth="1"/>
    <col min="11237" max="11239" width="10.28515625" style="13" customWidth="1"/>
    <col min="11240" max="11241" width="12.42578125" style="13" customWidth="1"/>
    <col min="11242" max="11242" width="11.28515625" style="13" customWidth="1"/>
    <col min="11243" max="11243" width="12.42578125" style="13" customWidth="1"/>
    <col min="11244" max="11244" width="11.28515625" style="13" customWidth="1"/>
    <col min="11245" max="11245" width="12.42578125" style="13" customWidth="1"/>
    <col min="11246" max="11246" width="11.28515625" style="13" customWidth="1"/>
    <col min="11247" max="11247" width="12.42578125" style="13" customWidth="1"/>
    <col min="11248" max="11248" width="11.28515625" style="13" customWidth="1"/>
    <col min="11249" max="11249" width="12.42578125" style="13" customWidth="1"/>
    <col min="11250" max="11250" width="11.28515625" style="13" customWidth="1"/>
    <col min="11251" max="11251" width="14.140625" style="13" customWidth="1"/>
    <col min="11252" max="11252" width="10.28515625" style="13" customWidth="1"/>
    <col min="11253" max="11253" width="17.140625" style="13" customWidth="1"/>
    <col min="11254" max="11254" width="12" style="13" customWidth="1"/>
    <col min="11255" max="11255" width="14.140625" style="13" customWidth="1"/>
    <col min="11256" max="11256" width="10.28515625" style="13" customWidth="1"/>
    <col min="11257" max="11257" width="17.140625" style="13" customWidth="1"/>
    <col min="11258" max="11258" width="12" style="13" customWidth="1"/>
    <col min="11259" max="11259" width="10.7109375" style="13" customWidth="1"/>
    <col min="11260" max="11262" width="0" style="13" hidden="1" customWidth="1"/>
    <col min="11263" max="11490" width="9.140625" style="13"/>
    <col min="11491" max="11491" width="5.140625" style="13" customWidth="1"/>
    <col min="11492" max="11492" width="32.42578125" style="13" customWidth="1"/>
    <col min="11493" max="11495" width="10.28515625" style="13" customWidth="1"/>
    <col min="11496" max="11497" width="12.42578125" style="13" customWidth="1"/>
    <col min="11498" max="11498" width="11.28515625" style="13" customWidth="1"/>
    <col min="11499" max="11499" width="12.42578125" style="13" customWidth="1"/>
    <col min="11500" max="11500" width="11.28515625" style="13" customWidth="1"/>
    <col min="11501" max="11501" width="12.42578125" style="13" customWidth="1"/>
    <col min="11502" max="11502" width="11.28515625" style="13" customWidth="1"/>
    <col min="11503" max="11503" width="12.42578125" style="13" customWidth="1"/>
    <col min="11504" max="11504" width="11.28515625" style="13" customWidth="1"/>
    <col min="11505" max="11505" width="12.42578125" style="13" customWidth="1"/>
    <col min="11506" max="11506" width="11.28515625" style="13" customWidth="1"/>
    <col min="11507" max="11507" width="14.140625" style="13" customWidth="1"/>
    <col min="11508" max="11508" width="10.28515625" style="13" customWidth="1"/>
    <col min="11509" max="11509" width="17.140625" style="13" customWidth="1"/>
    <col min="11510" max="11510" width="12" style="13" customWidth="1"/>
    <col min="11511" max="11511" width="14.140625" style="13" customWidth="1"/>
    <col min="11512" max="11512" width="10.28515625" style="13" customWidth="1"/>
    <col min="11513" max="11513" width="17.140625" style="13" customWidth="1"/>
    <col min="11514" max="11514" width="12" style="13" customWidth="1"/>
    <col min="11515" max="11515" width="10.7109375" style="13" customWidth="1"/>
    <col min="11516" max="11518" width="0" style="13" hidden="1" customWidth="1"/>
    <col min="11519" max="11746" width="9.140625" style="13"/>
    <col min="11747" max="11747" width="5.140625" style="13" customWidth="1"/>
    <col min="11748" max="11748" width="32.42578125" style="13" customWidth="1"/>
    <col min="11749" max="11751" width="10.28515625" style="13" customWidth="1"/>
    <col min="11752" max="11753" width="12.42578125" style="13" customWidth="1"/>
    <col min="11754" max="11754" width="11.28515625" style="13" customWidth="1"/>
    <col min="11755" max="11755" width="12.42578125" style="13" customWidth="1"/>
    <col min="11756" max="11756" width="11.28515625" style="13" customWidth="1"/>
    <col min="11757" max="11757" width="12.42578125" style="13" customWidth="1"/>
    <col min="11758" max="11758" width="11.28515625" style="13" customWidth="1"/>
    <col min="11759" max="11759" width="12.42578125" style="13" customWidth="1"/>
    <col min="11760" max="11760" width="11.28515625" style="13" customWidth="1"/>
    <col min="11761" max="11761" width="12.42578125" style="13" customWidth="1"/>
    <col min="11762" max="11762" width="11.28515625" style="13" customWidth="1"/>
    <col min="11763" max="11763" width="14.140625" style="13" customWidth="1"/>
    <col min="11764" max="11764" width="10.28515625" style="13" customWidth="1"/>
    <col min="11765" max="11765" width="17.140625" style="13" customWidth="1"/>
    <col min="11766" max="11766" width="12" style="13" customWidth="1"/>
    <col min="11767" max="11767" width="14.140625" style="13" customWidth="1"/>
    <col min="11768" max="11768" width="10.28515625" style="13" customWidth="1"/>
    <col min="11769" max="11769" width="17.140625" style="13" customWidth="1"/>
    <col min="11770" max="11770" width="12" style="13" customWidth="1"/>
    <col min="11771" max="11771" width="10.7109375" style="13" customWidth="1"/>
    <col min="11772" max="11774" width="0" style="13" hidden="1" customWidth="1"/>
    <col min="11775" max="12002" width="9.140625" style="13"/>
    <col min="12003" max="12003" width="5.140625" style="13" customWidth="1"/>
    <col min="12004" max="12004" width="32.42578125" style="13" customWidth="1"/>
    <col min="12005" max="12007" width="10.28515625" style="13" customWidth="1"/>
    <col min="12008" max="12009" width="12.42578125" style="13" customWidth="1"/>
    <col min="12010" max="12010" width="11.28515625" style="13" customWidth="1"/>
    <col min="12011" max="12011" width="12.42578125" style="13" customWidth="1"/>
    <col min="12012" max="12012" width="11.28515625" style="13" customWidth="1"/>
    <col min="12013" max="12013" width="12.42578125" style="13" customWidth="1"/>
    <col min="12014" max="12014" width="11.28515625" style="13" customWidth="1"/>
    <col min="12015" max="12015" width="12.42578125" style="13" customWidth="1"/>
    <col min="12016" max="12016" width="11.28515625" style="13" customWidth="1"/>
    <col min="12017" max="12017" width="12.42578125" style="13" customWidth="1"/>
    <col min="12018" max="12018" width="11.28515625" style="13" customWidth="1"/>
    <col min="12019" max="12019" width="14.140625" style="13" customWidth="1"/>
    <col min="12020" max="12020" width="10.28515625" style="13" customWidth="1"/>
    <col min="12021" max="12021" width="17.140625" style="13" customWidth="1"/>
    <col min="12022" max="12022" width="12" style="13" customWidth="1"/>
    <col min="12023" max="12023" width="14.140625" style="13" customWidth="1"/>
    <col min="12024" max="12024" width="10.28515625" style="13" customWidth="1"/>
    <col min="12025" max="12025" width="17.140625" style="13" customWidth="1"/>
    <col min="12026" max="12026" width="12" style="13" customWidth="1"/>
    <col min="12027" max="12027" width="10.7109375" style="13" customWidth="1"/>
    <col min="12028" max="12030" width="0" style="13" hidden="1" customWidth="1"/>
    <col min="12031" max="12258" width="9.140625" style="13"/>
    <col min="12259" max="12259" width="5.140625" style="13" customWidth="1"/>
    <col min="12260" max="12260" width="32.42578125" style="13" customWidth="1"/>
    <col min="12261" max="12263" width="10.28515625" style="13" customWidth="1"/>
    <col min="12264" max="12265" width="12.42578125" style="13" customWidth="1"/>
    <col min="12266" max="12266" width="11.28515625" style="13" customWidth="1"/>
    <col min="12267" max="12267" width="12.42578125" style="13" customWidth="1"/>
    <col min="12268" max="12268" width="11.28515625" style="13" customWidth="1"/>
    <col min="12269" max="12269" width="12.42578125" style="13" customWidth="1"/>
    <col min="12270" max="12270" width="11.28515625" style="13" customWidth="1"/>
    <col min="12271" max="12271" width="12.42578125" style="13" customWidth="1"/>
    <col min="12272" max="12272" width="11.28515625" style="13" customWidth="1"/>
    <col min="12273" max="12273" width="12.42578125" style="13" customWidth="1"/>
    <col min="12274" max="12274" width="11.28515625" style="13" customWidth="1"/>
    <col min="12275" max="12275" width="14.140625" style="13" customWidth="1"/>
    <col min="12276" max="12276" width="10.28515625" style="13" customWidth="1"/>
    <col min="12277" max="12277" width="17.140625" style="13" customWidth="1"/>
    <col min="12278" max="12278" width="12" style="13" customWidth="1"/>
    <col min="12279" max="12279" width="14.140625" style="13" customWidth="1"/>
    <col min="12280" max="12280" width="10.28515625" style="13" customWidth="1"/>
    <col min="12281" max="12281" width="17.140625" style="13" customWidth="1"/>
    <col min="12282" max="12282" width="12" style="13" customWidth="1"/>
    <col min="12283" max="12283" width="10.7109375" style="13" customWidth="1"/>
    <col min="12284" max="12286" width="0" style="13" hidden="1" customWidth="1"/>
    <col min="12287" max="12514" width="9.140625" style="13"/>
    <col min="12515" max="12515" width="5.140625" style="13" customWidth="1"/>
    <col min="12516" max="12516" width="32.42578125" style="13" customWidth="1"/>
    <col min="12517" max="12519" width="10.28515625" style="13" customWidth="1"/>
    <col min="12520" max="12521" width="12.42578125" style="13" customWidth="1"/>
    <col min="12522" max="12522" width="11.28515625" style="13" customWidth="1"/>
    <col min="12523" max="12523" width="12.42578125" style="13" customWidth="1"/>
    <col min="12524" max="12524" width="11.28515625" style="13" customWidth="1"/>
    <col min="12525" max="12525" width="12.42578125" style="13" customWidth="1"/>
    <col min="12526" max="12526" width="11.28515625" style="13" customWidth="1"/>
    <col min="12527" max="12527" width="12.42578125" style="13" customWidth="1"/>
    <col min="12528" max="12528" width="11.28515625" style="13" customWidth="1"/>
    <col min="12529" max="12529" width="12.42578125" style="13" customWidth="1"/>
    <col min="12530" max="12530" width="11.28515625" style="13" customWidth="1"/>
    <col min="12531" max="12531" width="14.140625" style="13" customWidth="1"/>
    <col min="12532" max="12532" width="10.28515625" style="13" customWidth="1"/>
    <col min="12533" max="12533" width="17.140625" style="13" customWidth="1"/>
    <col min="12534" max="12534" width="12" style="13" customWidth="1"/>
    <col min="12535" max="12535" width="14.140625" style="13" customWidth="1"/>
    <col min="12536" max="12536" width="10.28515625" style="13" customWidth="1"/>
    <col min="12537" max="12537" width="17.140625" style="13" customWidth="1"/>
    <col min="12538" max="12538" width="12" style="13" customWidth="1"/>
    <col min="12539" max="12539" width="10.7109375" style="13" customWidth="1"/>
    <col min="12540" max="12542" width="0" style="13" hidden="1" customWidth="1"/>
    <col min="12543" max="12770" width="9.140625" style="13"/>
    <col min="12771" max="12771" width="5.140625" style="13" customWidth="1"/>
    <col min="12772" max="12772" width="32.42578125" style="13" customWidth="1"/>
    <col min="12773" max="12775" width="10.28515625" style="13" customWidth="1"/>
    <col min="12776" max="12777" width="12.42578125" style="13" customWidth="1"/>
    <col min="12778" max="12778" width="11.28515625" style="13" customWidth="1"/>
    <col min="12779" max="12779" width="12.42578125" style="13" customWidth="1"/>
    <col min="12780" max="12780" width="11.28515625" style="13" customWidth="1"/>
    <col min="12781" max="12781" width="12.42578125" style="13" customWidth="1"/>
    <col min="12782" max="12782" width="11.28515625" style="13" customWidth="1"/>
    <col min="12783" max="12783" width="12.42578125" style="13" customWidth="1"/>
    <col min="12784" max="12784" width="11.28515625" style="13" customWidth="1"/>
    <col min="12785" max="12785" width="12.42578125" style="13" customWidth="1"/>
    <col min="12786" max="12786" width="11.28515625" style="13" customWidth="1"/>
    <col min="12787" max="12787" width="14.140625" style="13" customWidth="1"/>
    <col min="12788" max="12788" width="10.28515625" style="13" customWidth="1"/>
    <col min="12789" max="12789" width="17.140625" style="13" customWidth="1"/>
    <col min="12790" max="12790" width="12" style="13" customWidth="1"/>
    <col min="12791" max="12791" width="14.140625" style="13" customWidth="1"/>
    <col min="12792" max="12792" width="10.28515625" style="13" customWidth="1"/>
    <col min="12793" max="12793" width="17.140625" style="13" customWidth="1"/>
    <col min="12794" max="12794" width="12" style="13" customWidth="1"/>
    <col min="12795" max="12795" width="10.7109375" style="13" customWidth="1"/>
    <col min="12796" max="12798" width="0" style="13" hidden="1" customWidth="1"/>
    <col min="12799" max="13026" width="9.140625" style="13"/>
    <col min="13027" max="13027" width="5.140625" style="13" customWidth="1"/>
    <col min="13028" max="13028" width="32.42578125" style="13" customWidth="1"/>
    <col min="13029" max="13031" width="10.28515625" style="13" customWidth="1"/>
    <col min="13032" max="13033" width="12.42578125" style="13" customWidth="1"/>
    <col min="13034" max="13034" width="11.28515625" style="13" customWidth="1"/>
    <col min="13035" max="13035" width="12.42578125" style="13" customWidth="1"/>
    <col min="13036" max="13036" width="11.28515625" style="13" customWidth="1"/>
    <col min="13037" max="13037" width="12.42578125" style="13" customWidth="1"/>
    <col min="13038" max="13038" width="11.28515625" style="13" customWidth="1"/>
    <col min="13039" max="13039" width="12.42578125" style="13" customWidth="1"/>
    <col min="13040" max="13040" width="11.28515625" style="13" customWidth="1"/>
    <col min="13041" max="13041" width="12.42578125" style="13" customWidth="1"/>
    <col min="13042" max="13042" width="11.28515625" style="13" customWidth="1"/>
    <col min="13043" max="13043" width="14.140625" style="13" customWidth="1"/>
    <col min="13044" max="13044" width="10.28515625" style="13" customWidth="1"/>
    <col min="13045" max="13045" width="17.140625" style="13" customWidth="1"/>
    <col min="13046" max="13046" width="12" style="13" customWidth="1"/>
    <col min="13047" max="13047" width="14.140625" style="13" customWidth="1"/>
    <col min="13048" max="13048" width="10.28515625" style="13" customWidth="1"/>
    <col min="13049" max="13049" width="17.140625" style="13" customWidth="1"/>
    <col min="13050" max="13050" width="12" style="13" customWidth="1"/>
    <col min="13051" max="13051" width="10.7109375" style="13" customWidth="1"/>
    <col min="13052" max="13054" width="0" style="13" hidden="1" customWidth="1"/>
    <col min="13055" max="13282" width="9.140625" style="13"/>
    <col min="13283" max="13283" width="5.140625" style="13" customWidth="1"/>
    <col min="13284" max="13284" width="32.42578125" style="13" customWidth="1"/>
    <col min="13285" max="13287" width="10.28515625" style="13" customWidth="1"/>
    <col min="13288" max="13289" width="12.42578125" style="13" customWidth="1"/>
    <col min="13290" max="13290" width="11.28515625" style="13" customWidth="1"/>
    <col min="13291" max="13291" width="12.42578125" style="13" customWidth="1"/>
    <col min="13292" max="13292" width="11.28515625" style="13" customWidth="1"/>
    <col min="13293" max="13293" width="12.42578125" style="13" customWidth="1"/>
    <col min="13294" max="13294" width="11.28515625" style="13" customWidth="1"/>
    <col min="13295" max="13295" width="12.42578125" style="13" customWidth="1"/>
    <col min="13296" max="13296" width="11.28515625" style="13" customWidth="1"/>
    <col min="13297" max="13297" width="12.42578125" style="13" customWidth="1"/>
    <col min="13298" max="13298" width="11.28515625" style="13" customWidth="1"/>
    <col min="13299" max="13299" width="14.140625" style="13" customWidth="1"/>
    <col min="13300" max="13300" width="10.28515625" style="13" customWidth="1"/>
    <col min="13301" max="13301" width="17.140625" style="13" customWidth="1"/>
    <col min="13302" max="13302" width="12" style="13" customWidth="1"/>
    <col min="13303" max="13303" width="14.140625" style="13" customWidth="1"/>
    <col min="13304" max="13304" width="10.28515625" style="13" customWidth="1"/>
    <col min="13305" max="13305" width="17.140625" style="13" customWidth="1"/>
    <col min="13306" max="13306" width="12" style="13" customWidth="1"/>
    <col min="13307" max="13307" width="10.7109375" style="13" customWidth="1"/>
    <col min="13308" max="13310" width="0" style="13" hidden="1" customWidth="1"/>
    <col min="13311" max="13538" width="9.140625" style="13"/>
    <col min="13539" max="13539" width="5.140625" style="13" customWidth="1"/>
    <col min="13540" max="13540" width="32.42578125" style="13" customWidth="1"/>
    <col min="13541" max="13543" width="10.28515625" style="13" customWidth="1"/>
    <col min="13544" max="13545" width="12.42578125" style="13" customWidth="1"/>
    <col min="13546" max="13546" width="11.28515625" style="13" customWidth="1"/>
    <col min="13547" max="13547" width="12.42578125" style="13" customWidth="1"/>
    <col min="13548" max="13548" width="11.28515625" style="13" customWidth="1"/>
    <col min="13549" max="13549" width="12.42578125" style="13" customWidth="1"/>
    <col min="13550" max="13550" width="11.28515625" style="13" customWidth="1"/>
    <col min="13551" max="13551" width="12.42578125" style="13" customWidth="1"/>
    <col min="13552" max="13552" width="11.28515625" style="13" customWidth="1"/>
    <col min="13553" max="13553" width="12.42578125" style="13" customWidth="1"/>
    <col min="13554" max="13554" width="11.28515625" style="13" customWidth="1"/>
    <col min="13555" max="13555" width="14.140625" style="13" customWidth="1"/>
    <col min="13556" max="13556" width="10.28515625" style="13" customWidth="1"/>
    <col min="13557" max="13557" width="17.140625" style="13" customWidth="1"/>
    <col min="13558" max="13558" width="12" style="13" customWidth="1"/>
    <col min="13559" max="13559" width="14.140625" style="13" customWidth="1"/>
    <col min="13560" max="13560" width="10.28515625" style="13" customWidth="1"/>
    <col min="13561" max="13561" width="17.140625" style="13" customWidth="1"/>
    <col min="13562" max="13562" width="12" style="13" customWidth="1"/>
    <col min="13563" max="13563" width="10.7109375" style="13" customWidth="1"/>
    <col min="13564" max="13566" width="0" style="13" hidden="1" customWidth="1"/>
    <col min="13567" max="13794" width="9.140625" style="13"/>
    <col min="13795" max="13795" width="5.140625" style="13" customWidth="1"/>
    <col min="13796" max="13796" width="32.42578125" style="13" customWidth="1"/>
    <col min="13797" max="13799" width="10.28515625" style="13" customWidth="1"/>
    <col min="13800" max="13801" width="12.42578125" style="13" customWidth="1"/>
    <col min="13802" max="13802" width="11.28515625" style="13" customWidth="1"/>
    <col min="13803" max="13803" width="12.42578125" style="13" customWidth="1"/>
    <col min="13804" max="13804" width="11.28515625" style="13" customWidth="1"/>
    <col min="13805" max="13805" width="12.42578125" style="13" customWidth="1"/>
    <col min="13806" max="13806" width="11.28515625" style="13" customWidth="1"/>
    <col min="13807" max="13807" width="12.42578125" style="13" customWidth="1"/>
    <col min="13808" max="13808" width="11.28515625" style="13" customWidth="1"/>
    <col min="13809" max="13809" width="12.42578125" style="13" customWidth="1"/>
    <col min="13810" max="13810" width="11.28515625" style="13" customWidth="1"/>
    <col min="13811" max="13811" width="14.140625" style="13" customWidth="1"/>
    <col min="13812" max="13812" width="10.28515625" style="13" customWidth="1"/>
    <col min="13813" max="13813" width="17.140625" style="13" customWidth="1"/>
    <col min="13814" max="13814" width="12" style="13" customWidth="1"/>
    <col min="13815" max="13815" width="14.140625" style="13" customWidth="1"/>
    <col min="13816" max="13816" width="10.28515625" style="13" customWidth="1"/>
    <col min="13817" max="13817" width="17.140625" style="13" customWidth="1"/>
    <col min="13818" max="13818" width="12" style="13" customWidth="1"/>
    <col min="13819" max="13819" width="10.7109375" style="13" customWidth="1"/>
    <col min="13820" max="13822" width="0" style="13" hidden="1" customWidth="1"/>
    <col min="13823" max="14050" width="9.140625" style="13"/>
    <col min="14051" max="14051" width="5.140625" style="13" customWidth="1"/>
    <col min="14052" max="14052" width="32.42578125" style="13" customWidth="1"/>
    <col min="14053" max="14055" width="10.28515625" style="13" customWidth="1"/>
    <col min="14056" max="14057" width="12.42578125" style="13" customWidth="1"/>
    <col min="14058" max="14058" width="11.28515625" style="13" customWidth="1"/>
    <col min="14059" max="14059" width="12.42578125" style="13" customWidth="1"/>
    <col min="14060" max="14060" width="11.28515625" style="13" customWidth="1"/>
    <col min="14061" max="14061" width="12.42578125" style="13" customWidth="1"/>
    <col min="14062" max="14062" width="11.28515625" style="13" customWidth="1"/>
    <col min="14063" max="14063" width="12.42578125" style="13" customWidth="1"/>
    <col min="14064" max="14064" width="11.28515625" style="13" customWidth="1"/>
    <col min="14065" max="14065" width="12.42578125" style="13" customWidth="1"/>
    <col min="14066" max="14066" width="11.28515625" style="13" customWidth="1"/>
    <col min="14067" max="14067" width="14.140625" style="13" customWidth="1"/>
    <col min="14068" max="14068" width="10.28515625" style="13" customWidth="1"/>
    <col min="14069" max="14069" width="17.140625" style="13" customWidth="1"/>
    <col min="14070" max="14070" width="12" style="13" customWidth="1"/>
    <col min="14071" max="14071" width="14.140625" style="13" customWidth="1"/>
    <col min="14072" max="14072" width="10.28515625" style="13" customWidth="1"/>
    <col min="14073" max="14073" width="17.140625" style="13" customWidth="1"/>
    <col min="14074" max="14074" width="12" style="13" customWidth="1"/>
    <col min="14075" max="14075" width="10.7109375" style="13" customWidth="1"/>
    <col min="14076" max="14078" width="0" style="13" hidden="1" customWidth="1"/>
    <col min="14079" max="14306" width="9.140625" style="13"/>
    <col min="14307" max="14307" width="5.140625" style="13" customWidth="1"/>
    <col min="14308" max="14308" width="32.42578125" style="13" customWidth="1"/>
    <col min="14309" max="14311" width="10.28515625" style="13" customWidth="1"/>
    <col min="14312" max="14313" width="12.42578125" style="13" customWidth="1"/>
    <col min="14314" max="14314" width="11.28515625" style="13" customWidth="1"/>
    <col min="14315" max="14315" width="12.42578125" style="13" customWidth="1"/>
    <col min="14316" max="14316" width="11.28515625" style="13" customWidth="1"/>
    <col min="14317" max="14317" width="12.42578125" style="13" customWidth="1"/>
    <col min="14318" max="14318" width="11.28515625" style="13" customWidth="1"/>
    <col min="14319" max="14319" width="12.42578125" style="13" customWidth="1"/>
    <col min="14320" max="14320" width="11.28515625" style="13" customWidth="1"/>
    <col min="14321" max="14321" width="12.42578125" style="13" customWidth="1"/>
    <col min="14322" max="14322" width="11.28515625" style="13" customWidth="1"/>
    <col min="14323" max="14323" width="14.140625" style="13" customWidth="1"/>
    <col min="14324" max="14324" width="10.28515625" style="13" customWidth="1"/>
    <col min="14325" max="14325" width="17.140625" style="13" customWidth="1"/>
    <col min="14326" max="14326" width="12" style="13" customWidth="1"/>
    <col min="14327" max="14327" width="14.140625" style="13" customWidth="1"/>
    <col min="14328" max="14328" width="10.28515625" style="13" customWidth="1"/>
    <col min="14329" max="14329" width="17.140625" style="13" customWidth="1"/>
    <col min="14330" max="14330" width="12" style="13" customWidth="1"/>
    <col min="14331" max="14331" width="10.7109375" style="13" customWidth="1"/>
    <col min="14332" max="14334" width="0" style="13" hidden="1" customWidth="1"/>
    <col min="14335" max="14562" width="9.140625" style="13"/>
    <col min="14563" max="14563" width="5.140625" style="13" customWidth="1"/>
    <col min="14564" max="14564" width="32.42578125" style="13" customWidth="1"/>
    <col min="14565" max="14567" width="10.28515625" style="13" customWidth="1"/>
    <col min="14568" max="14569" width="12.42578125" style="13" customWidth="1"/>
    <col min="14570" max="14570" width="11.28515625" style="13" customWidth="1"/>
    <col min="14571" max="14571" width="12.42578125" style="13" customWidth="1"/>
    <col min="14572" max="14572" width="11.28515625" style="13" customWidth="1"/>
    <col min="14573" max="14573" width="12.42578125" style="13" customWidth="1"/>
    <col min="14574" max="14574" width="11.28515625" style="13" customWidth="1"/>
    <col min="14575" max="14575" width="12.42578125" style="13" customWidth="1"/>
    <col min="14576" max="14576" width="11.28515625" style="13" customWidth="1"/>
    <col min="14577" max="14577" width="12.42578125" style="13" customWidth="1"/>
    <col min="14578" max="14578" width="11.28515625" style="13" customWidth="1"/>
    <col min="14579" max="14579" width="14.140625" style="13" customWidth="1"/>
    <col min="14580" max="14580" width="10.28515625" style="13" customWidth="1"/>
    <col min="14581" max="14581" width="17.140625" style="13" customWidth="1"/>
    <col min="14582" max="14582" width="12" style="13" customWidth="1"/>
    <col min="14583" max="14583" width="14.140625" style="13" customWidth="1"/>
    <col min="14584" max="14584" width="10.28515625" style="13" customWidth="1"/>
    <col min="14585" max="14585" width="17.140625" style="13" customWidth="1"/>
    <col min="14586" max="14586" width="12" style="13" customWidth="1"/>
    <col min="14587" max="14587" width="10.7109375" style="13" customWidth="1"/>
    <col min="14588" max="14590" width="0" style="13" hidden="1" customWidth="1"/>
    <col min="14591" max="14818" width="9.140625" style="13"/>
    <col min="14819" max="14819" width="5.140625" style="13" customWidth="1"/>
    <col min="14820" max="14820" width="32.42578125" style="13" customWidth="1"/>
    <col min="14821" max="14823" width="10.28515625" style="13" customWidth="1"/>
    <col min="14824" max="14825" width="12.42578125" style="13" customWidth="1"/>
    <col min="14826" max="14826" width="11.28515625" style="13" customWidth="1"/>
    <col min="14827" max="14827" width="12.42578125" style="13" customWidth="1"/>
    <col min="14828" max="14828" width="11.28515625" style="13" customWidth="1"/>
    <col min="14829" max="14829" width="12.42578125" style="13" customWidth="1"/>
    <col min="14830" max="14830" width="11.28515625" style="13" customWidth="1"/>
    <col min="14831" max="14831" width="12.42578125" style="13" customWidth="1"/>
    <col min="14832" max="14832" width="11.28515625" style="13" customWidth="1"/>
    <col min="14833" max="14833" width="12.42578125" style="13" customWidth="1"/>
    <col min="14834" max="14834" width="11.28515625" style="13" customWidth="1"/>
    <col min="14835" max="14835" width="14.140625" style="13" customWidth="1"/>
    <col min="14836" max="14836" width="10.28515625" style="13" customWidth="1"/>
    <col min="14837" max="14837" width="17.140625" style="13" customWidth="1"/>
    <col min="14838" max="14838" width="12" style="13" customWidth="1"/>
    <col min="14839" max="14839" width="14.140625" style="13" customWidth="1"/>
    <col min="14840" max="14840" width="10.28515625" style="13" customWidth="1"/>
    <col min="14841" max="14841" width="17.140625" style="13" customWidth="1"/>
    <col min="14842" max="14842" width="12" style="13" customWidth="1"/>
    <col min="14843" max="14843" width="10.7109375" style="13" customWidth="1"/>
    <col min="14844" max="14846" width="0" style="13" hidden="1" customWidth="1"/>
    <col min="14847" max="15074" width="9.140625" style="13"/>
    <col min="15075" max="15075" width="5.140625" style="13" customWidth="1"/>
    <col min="15076" max="15076" width="32.42578125" style="13" customWidth="1"/>
    <col min="15077" max="15079" width="10.28515625" style="13" customWidth="1"/>
    <col min="15080" max="15081" width="12.42578125" style="13" customWidth="1"/>
    <col min="15082" max="15082" width="11.28515625" style="13" customWidth="1"/>
    <col min="15083" max="15083" width="12.42578125" style="13" customWidth="1"/>
    <col min="15084" max="15084" width="11.28515625" style="13" customWidth="1"/>
    <col min="15085" max="15085" width="12.42578125" style="13" customWidth="1"/>
    <col min="15086" max="15086" width="11.28515625" style="13" customWidth="1"/>
    <col min="15087" max="15087" width="12.42578125" style="13" customWidth="1"/>
    <col min="15088" max="15088" width="11.28515625" style="13" customWidth="1"/>
    <col min="15089" max="15089" width="12.42578125" style="13" customWidth="1"/>
    <col min="15090" max="15090" width="11.28515625" style="13" customWidth="1"/>
    <col min="15091" max="15091" width="14.140625" style="13" customWidth="1"/>
    <col min="15092" max="15092" width="10.28515625" style="13" customWidth="1"/>
    <col min="15093" max="15093" width="17.140625" style="13" customWidth="1"/>
    <col min="15094" max="15094" width="12" style="13" customWidth="1"/>
    <col min="15095" max="15095" width="14.140625" style="13" customWidth="1"/>
    <col min="15096" max="15096" width="10.28515625" style="13" customWidth="1"/>
    <col min="15097" max="15097" width="17.140625" style="13" customWidth="1"/>
    <col min="15098" max="15098" width="12" style="13" customWidth="1"/>
    <col min="15099" max="15099" width="10.7109375" style="13" customWidth="1"/>
    <col min="15100" max="15102" width="0" style="13" hidden="1" customWidth="1"/>
    <col min="15103" max="15330" width="9.140625" style="13"/>
    <col min="15331" max="15331" width="5.140625" style="13" customWidth="1"/>
    <col min="15332" max="15332" width="32.42578125" style="13" customWidth="1"/>
    <col min="15333" max="15335" width="10.28515625" style="13" customWidth="1"/>
    <col min="15336" max="15337" width="12.42578125" style="13" customWidth="1"/>
    <col min="15338" max="15338" width="11.28515625" style="13" customWidth="1"/>
    <col min="15339" max="15339" width="12.42578125" style="13" customWidth="1"/>
    <col min="15340" max="15340" width="11.28515625" style="13" customWidth="1"/>
    <col min="15341" max="15341" width="12.42578125" style="13" customWidth="1"/>
    <col min="15342" max="15342" width="11.28515625" style="13" customWidth="1"/>
    <col min="15343" max="15343" width="12.42578125" style="13" customWidth="1"/>
    <col min="15344" max="15344" width="11.28515625" style="13" customWidth="1"/>
    <col min="15345" max="15345" width="12.42578125" style="13" customWidth="1"/>
    <col min="15346" max="15346" width="11.28515625" style="13" customWidth="1"/>
    <col min="15347" max="15347" width="14.140625" style="13" customWidth="1"/>
    <col min="15348" max="15348" width="10.28515625" style="13" customWidth="1"/>
    <col min="15349" max="15349" width="17.140625" style="13" customWidth="1"/>
    <col min="15350" max="15350" width="12" style="13" customWidth="1"/>
    <col min="15351" max="15351" width="14.140625" style="13" customWidth="1"/>
    <col min="15352" max="15352" width="10.28515625" style="13" customWidth="1"/>
    <col min="15353" max="15353" width="17.140625" style="13" customWidth="1"/>
    <col min="15354" max="15354" width="12" style="13" customWidth="1"/>
    <col min="15355" max="15355" width="10.7109375" style="13" customWidth="1"/>
    <col min="15356" max="15358" width="0" style="13" hidden="1" customWidth="1"/>
    <col min="15359" max="15586" width="9.140625" style="13"/>
    <col min="15587" max="15587" width="5.140625" style="13" customWidth="1"/>
    <col min="15588" max="15588" width="32.42578125" style="13" customWidth="1"/>
    <col min="15589" max="15591" width="10.28515625" style="13" customWidth="1"/>
    <col min="15592" max="15593" width="12.42578125" style="13" customWidth="1"/>
    <col min="15594" max="15594" width="11.28515625" style="13" customWidth="1"/>
    <col min="15595" max="15595" width="12.42578125" style="13" customWidth="1"/>
    <col min="15596" max="15596" width="11.28515625" style="13" customWidth="1"/>
    <col min="15597" max="15597" width="12.42578125" style="13" customWidth="1"/>
    <col min="15598" max="15598" width="11.28515625" style="13" customWidth="1"/>
    <col min="15599" max="15599" width="12.42578125" style="13" customWidth="1"/>
    <col min="15600" max="15600" width="11.28515625" style="13" customWidth="1"/>
    <col min="15601" max="15601" width="12.42578125" style="13" customWidth="1"/>
    <col min="15602" max="15602" width="11.28515625" style="13" customWidth="1"/>
    <col min="15603" max="15603" width="14.140625" style="13" customWidth="1"/>
    <col min="15604" max="15604" width="10.28515625" style="13" customWidth="1"/>
    <col min="15605" max="15605" width="17.140625" style="13" customWidth="1"/>
    <col min="15606" max="15606" width="12" style="13" customWidth="1"/>
    <col min="15607" max="15607" width="14.140625" style="13" customWidth="1"/>
    <col min="15608" max="15608" width="10.28515625" style="13" customWidth="1"/>
    <col min="15609" max="15609" width="17.140625" style="13" customWidth="1"/>
    <col min="15610" max="15610" width="12" style="13" customWidth="1"/>
    <col min="15611" max="15611" width="10.7109375" style="13" customWidth="1"/>
    <col min="15612" max="15614" width="0" style="13" hidden="1" customWidth="1"/>
    <col min="15615" max="15842" width="9.140625" style="13"/>
    <col min="15843" max="15843" width="5.140625" style="13" customWidth="1"/>
    <col min="15844" max="15844" width="32.42578125" style="13" customWidth="1"/>
    <col min="15845" max="15847" width="10.28515625" style="13" customWidth="1"/>
    <col min="15848" max="15849" width="12.42578125" style="13" customWidth="1"/>
    <col min="15850" max="15850" width="11.28515625" style="13" customWidth="1"/>
    <col min="15851" max="15851" width="12.42578125" style="13" customWidth="1"/>
    <col min="15852" max="15852" width="11.28515625" style="13" customWidth="1"/>
    <col min="15853" max="15853" width="12.42578125" style="13" customWidth="1"/>
    <col min="15854" max="15854" width="11.28515625" style="13" customWidth="1"/>
    <col min="15855" max="15855" width="12.42578125" style="13" customWidth="1"/>
    <col min="15856" max="15856" width="11.28515625" style="13" customWidth="1"/>
    <col min="15857" max="15857" width="12.42578125" style="13" customWidth="1"/>
    <col min="15858" max="15858" width="11.28515625" style="13" customWidth="1"/>
    <col min="15859" max="15859" width="14.140625" style="13" customWidth="1"/>
    <col min="15860" max="15860" width="10.28515625" style="13" customWidth="1"/>
    <col min="15861" max="15861" width="17.140625" style="13" customWidth="1"/>
    <col min="15862" max="15862" width="12" style="13" customWidth="1"/>
    <col min="15863" max="15863" width="14.140625" style="13" customWidth="1"/>
    <col min="15864" max="15864" width="10.28515625" style="13" customWidth="1"/>
    <col min="15865" max="15865" width="17.140625" style="13" customWidth="1"/>
    <col min="15866" max="15866" width="12" style="13" customWidth="1"/>
    <col min="15867" max="15867" width="10.7109375" style="13" customWidth="1"/>
    <col min="15868" max="15870" width="0" style="13" hidden="1" customWidth="1"/>
    <col min="15871" max="16098" width="9.140625" style="13"/>
    <col min="16099" max="16099" width="5.140625" style="13" customWidth="1"/>
    <col min="16100" max="16100" width="32.42578125" style="13" customWidth="1"/>
    <col min="16101" max="16103" width="10.28515625" style="13" customWidth="1"/>
    <col min="16104" max="16105" width="12.42578125" style="13" customWidth="1"/>
    <col min="16106" max="16106" width="11.28515625" style="13" customWidth="1"/>
    <col min="16107" max="16107" width="12.42578125" style="13" customWidth="1"/>
    <col min="16108" max="16108" width="11.28515625" style="13" customWidth="1"/>
    <col min="16109" max="16109" width="12.42578125" style="13" customWidth="1"/>
    <col min="16110" max="16110" width="11.28515625" style="13" customWidth="1"/>
    <col min="16111" max="16111" width="12.42578125" style="13" customWidth="1"/>
    <col min="16112" max="16112" width="11.28515625" style="13" customWidth="1"/>
    <col min="16113" max="16113" width="12.42578125" style="13" customWidth="1"/>
    <col min="16114" max="16114" width="11.28515625" style="13" customWidth="1"/>
    <col min="16115" max="16115" width="14.140625" style="13" customWidth="1"/>
    <col min="16116" max="16116" width="10.28515625" style="13" customWidth="1"/>
    <col min="16117" max="16117" width="17.140625" style="13" customWidth="1"/>
    <col min="16118" max="16118" width="12" style="13" customWidth="1"/>
    <col min="16119" max="16119" width="14.140625" style="13" customWidth="1"/>
    <col min="16120" max="16120" width="10.28515625" style="13" customWidth="1"/>
    <col min="16121" max="16121" width="17.140625" style="13" customWidth="1"/>
    <col min="16122" max="16122" width="12" style="13" customWidth="1"/>
    <col min="16123" max="16123" width="10.7109375" style="13" customWidth="1"/>
    <col min="16124" max="16126" width="0" style="13" hidden="1" customWidth="1"/>
    <col min="16127" max="16384" width="9.140625" style="13"/>
  </cols>
  <sheetData>
    <row r="1" spans="1:14" ht="29.25" customHeight="1">
      <c r="A1" s="1711" t="s">
        <v>2494</v>
      </c>
      <c r="B1" s="1711"/>
      <c r="C1" s="1711"/>
      <c r="D1" s="1711"/>
      <c r="E1" s="1711"/>
      <c r="F1" s="1711"/>
      <c r="G1" s="1711"/>
      <c r="H1" s="1711"/>
      <c r="I1" s="1711"/>
      <c r="J1" s="1711"/>
      <c r="K1" s="1711"/>
      <c r="L1" s="1711"/>
      <c r="M1" s="1711"/>
    </row>
    <row r="2" spans="1:14" ht="27.75" customHeight="1">
      <c r="A2" s="1243" t="s">
        <v>2609</v>
      </c>
      <c r="B2" s="205"/>
      <c r="C2" s="205"/>
      <c r="D2" s="205"/>
      <c r="E2" s="205"/>
      <c r="F2" s="205"/>
      <c r="G2" s="205"/>
      <c r="H2" s="205"/>
      <c r="I2" s="205"/>
      <c r="J2" s="205"/>
      <c r="K2" s="205"/>
      <c r="L2" s="205"/>
      <c r="M2" s="205"/>
    </row>
    <row r="3" spans="1:14" s="15" customFormat="1" ht="20.25" customHeight="1">
      <c r="A3" s="1725" t="s">
        <v>3</v>
      </c>
      <c r="B3" s="1725"/>
      <c r="C3" s="1725"/>
      <c r="D3" s="1725"/>
      <c r="E3" s="1725"/>
      <c r="F3" s="1725"/>
      <c r="G3" s="1725"/>
      <c r="H3" s="1725"/>
      <c r="I3" s="1725"/>
      <c r="J3" s="1725"/>
      <c r="K3" s="1725"/>
      <c r="L3" s="1725"/>
      <c r="M3" s="1725"/>
    </row>
    <row r="4" spans="1:14" s="206" customFormat="1" ht="30" customHeight="1">
      <c r="A4" s="1712" t="s">
        <v>22</v>
      </c>
      <c r="B4" s="1712" t="s">
        <v>23</v>
      </c>
      <c r="C4" s="1712" t="s">
        <v>24</v>
      </c>
      <c r="D4" s="1712" t="s">
        <v>290</v>
      </c>
      <c r="E4" s="1712" t="s">
        <v>1986</v>
      </c>
      <c r="F4" s="1715" t="s">
        <v>1987</v>
      </c>
      <c r="G4" s="1716"/>
      <c r="H4" s="1717"/>
      <c r="I4" s="1719" t="s">
        <v>279</v>
      </c>
      <c r="J4" s="1723"/>
      <c r="K4" s="1719" t="s">
        <v>280</v>
      </c>
      <c r="L4" s="1720"/>
      <c r="M4" s="1712" t="s">
        <v>2554</v>
      </c>
      <c r="N4" s="1710" t="s">
        <v>7</v>
      </c>
    </row>
    <row r="5" spans="1:14" s="206" customFormat="1" ht="45" customHeight="1">
      <c r="A5" s="1713"/>
      <c r="B5" s="1713"/>
      <c r="C5" s="1713"/>
      <c r="D5" s="1713"/>
      <c r="E5" s="1713"/>
      <c r="F5" s="1712" t="s">
        <v>30</v>
      </c>
      <c r="G5" s="1715" t="s">
        <v>31</v>
      </c>
      <c r="H5" s="1717"/>
      <c r="I5" s="1721"/>
      <c r="J5" s="1724"/>
      <c r="K5" s="1721"/>
      <c r="L5" s="1722"/>
      <c r="M5" s="1713"/>
      <c r="N5" s="1710"/>
    </row>
    <row r="6" spans="1:14" s="206" customFormat="1" ht="33.75" customHeight="1">
      <c r="A6" s="1713"/>
      <c r="B6" s="1713"/>
      <c r="C6" s="1713"/>
      <c r="D6" s="1713"/>
      <c r="E6" s="1713"/>
      <c r="F6" s="1713"/>
      <c r="G6" s="1712" t="s">
        <v>32</v>
      </c>
      <c r="H6" s="1712" t="s">
        <v>278</v>
      </c>
      <c r="I6" s="1712" t="s">
        <v>283</v>
      </c>
      <c r="J6" s="1712" t="s">
        <v>278</v>
      </c>
      <c r="K6" s="1712" t="s">
        <v>9</v>
      </c>
      <c r="L6" s="1712" t="s">
        <v>278</v>
      </c>
      <c r="M6" s="1713"/>
      <c r="N6" s="1710"/>
    </row>
    <row r="7" spans="1:14" s="206" customFormat="1" ht="33.75" customHeight="1">
      <c r="A7" s="1713"/>
      <c r="B7" s="1713"/>
      <c r="C7" s="1713"/>
      <c r="D7" s="1713"/>
      <c r="E7" s="1713"/>
      <c r="F7" s="1713"/>
      <c r="G7" s="1713"/>
      <c r="H7" s="1713"/>
      <c r="I7" s="1713"/>
      <c r="J7" s="1713"/>
      <c r="K7" s="1713"/>
      <c r="L7" s="1713"/>
      <c r="M7" s="1713"/>
      <c r="N7" s="1710"/>
    </row>
    <row r="8" spans="1:14" s="206" customFormat="1">
      <c r="A8" s="1714"/>
      <c r="B8" s="1714"/>
      <c r="C8" s="1714"/>
      <c r="D8" s="1714"/>
      <c r="E8" s="1714"/>
      <c r="F8" s="1714"/>
      <c r="G8" s="1714"/>
      <c r="H8" s="1714"/>
      <c r="I8" s="1714"/>
      <c r="J8" s="1714"/>
      <c r="K8" s="1714"/>
      <c r="L8" s="1714"/>
      <c r="M8" s="1714"/>
      <c r="N8" s="1710"/>
    </row>
    <row r="9" spans="1:14" s="20" customFormat="1" ht="24" customHeight="1">
      <c r="A9" s="95">
        <v>1</v>
      </c>
      <c r="B9" s="95">
        <f>A9+1</f>
        <v>2</v>
      </c>
      <c r="C9" s="95">
        <f>B9+1</f>
        <v>3</v>
      </c>
      <c r="D9" s="95">
        <f t="shared" ref="D9:L9" si="0">C9+1</f>
        <v>4</v>
      </c>
      <c r="E9" s="95">
        <f t="shared" si="0"/>
        <v>5</v>
      </c>
      <c r="F9" s="95">
        <f t="shared" si="0"/>
        <v>6</v>
      </c>
      <c r="G9" s="95">
        <f t="shared" si="0"/>
        <v>7</v>
      </c>
      <c r="H9" s="95">
        <f t="shared" si="0"/>
        <v>8</v>
      </c>
      <c r="I9" s="95">
        <f t="shared" si="0"/>
        <v>9</v>
      </c>
      <c r="J9" s="95">
        <f t="shared" si="0"/>
        <v>10</v>
      </c>
      <c r="K9" s="95">
        <f t="shared" si="0"/>
        <v>11</v>
      </c>
      <c r="L9" s="95">
        <f t="shared" si="0"/>
        <v>12</v>
      </c>
      <c r="M9" s="95">
        <v>9</v>
      </c>
      <c r="N9" s="95">
        <v>10</v>
      </c>
    </row>
    <row r="10" spans="1:14" s="20" customFormat="1" ht="27" customHeight="1">
      <c r="A10" s="1227"/>
      <c r="B10" s="1228" t="s">
        <v>13</v>
      </c>
      <c r="C10" s="1227"/>
      <c r="D10" s="1227"/>
      <c r="E10" s="1227"/>
      <c r="F10" s="1227"/>
      <c r="G10" s="204"/>
      <c r="H10" s="204"/>
      <c r="I10" s="204">
        <f t="shared" ref="I10:L10" si="1">SUBTOTAL(109,I11:I13)</f>
        <v>164316</v>
      </c>
      <c r="J10" s="204">
        <f t="shared" si="1"/>
        <v>164316</v>
      </c>
      <c r="K10" s="204">
        <f t="shared" si="1"/>
        <v>40000</v>
      </c>
      <c r="L10" s="204">
        <f t="shared" si="1"/>
        <v>40000</v>
      </c>
      <c r="M10" s="204">
        <f>M11</f>
        <v>37050</v>
      </c>
      <c r="N10" s="1231"/>
    </row>
    <row r="11" spans="1:14" ht="86.25" customHeight="1">
      <c r="A11" s="1537"/>
      <c r="B11" s="1538" t="s">
        <v>2493</v>
      </c>
      <c r="C11" s="1229"/>
      <c r="D11" s="1229"/>
      <c r="E11" s="1229"/>
      <c r="F11" s="1229"/>
      <c r="G11" s="204"/>
      <c r="H11" s="204"/>
      <c r="I11" s="204">
        <v>164316</v>
      </c>
      <c r="J11" s="204">
        <v>164316</v>
      </c>
      <c r="K11" s="204">
        <v>40000</v>
      </c>
      <c r="L11" s="204">
        <v>40000</v>
      </c>
      <c r="M11" s="204">
        <f>23896+6297+6857</f>
        <v>37050</v>
      </c>
      <c r="N11" s="1218"/>
    </row>
    <row r="12" spans="1:14">
      <c r="A12" s="13"/>
      <c r="B12" s="202"/>
      <c r="C12" s="13"/>
      <c r="D12" s="13"/>
      <c r="E12" s="13"/>
      <c r="F12" s="200"/>
      <c r="G12" s="13"/>
      <c r="H12" s="13"/>
      <c r="I12" s="13"/>
      <c r="J12" s="13"/>
      <c r="K12" s="13"/>
      <c r="L12" s="13"/>
      <c r="M12" s="13"/>
    </row>
    <row r="13" spans="1:14">
      <c r="A13" s="13"/>
      <c r="B13" s="202"/>
      <c r="C13" s="13"/>
      <c r="D13" s="13"/>
      <c r="E13" s="13"/>
      <c r="F13" s="200"/>
      <c r="G13" s="13"/>
      <c r="H13" s="13"/>
      <c r="I13" s="13"/>
      <c r="J13" s="13"/>
      <c r="K13" s="13"/>
      <c r="L13" s="13"/>
      <c r="M13" s="13"/>
    </row>
    <row r="14" spans="1:14">
      <c r="A14" s="13"/>
      <c r="B14" s="202"/>
      <c r="C14" s="13"/>
      <c r="D14" s="13"/>
      <c r="E14" s="13"/>
      <c r="F14" s="200"/>
      <c r="G14" s="13"/>
      <c r="H14" s="13"/>
      <c r="I14" s="13"/>
      <c r="J14" s="13"/>
      <c r="K14" s="13"/>
      <c r="L14" s="13"/>
      <c r="M14" s="13"/>
    </row>
    <row r="15" spans="1:14">
      <c r="A15" s="13"/>
      <c r="B15" s="202"/>
      <c r="C15" s="13"/>
      <c r="D15" s="13"/>
      <c r="E15" s="13"/>
      <c r="F15" s="200"/>
      <c r="G15" s="13"/>
      <c r="H15" s="13"/>
      <c r="I15" s="13"/>
      <c r="J15" s="13"/>
      <c r="K15" s="13"/>
      <c r="L15" s="13"/>
      <c r="M15" s="13"/>
    </row>
    <row r="16" spans="1:14">
      <c r="A16" s="13"/>
      <c r="B16" s="202"/>
      <c r="C16" s="13"/>
      <c r="D16" s="13"/>
      <c r="E16" s="13"/>
      <c r="F16" s="200"/>
      <c r="G16" s="13"/>
      <c r="H16" s="13"/>
      <c r="I16" s="13"/>
      <c r="J16" s="13"/>
      <c r="K16" s="13"/>
      <c r="L16" s="13"/>
      <c r="M16" s="13"/>
    </row>
    <row r="17" spans="1:13">
      <c r="A17" s="13"/>
      <c r="B17" s="202"/>
      <c r="C17" s="13"/>
      <c r="D17" s="13"/>
      <c r="E17" s="13"/>
      <c r="F17" s="200"/>
      <c r="G17" s="13"/>
      <c r="H17" s="13"/>
      <c r="I17" s="13"/>
      <c r="J17" s="13"/>
      <c r="K17" s="13"/>
      <c r="L17" s="13"/>
      <c r="M17" s="13"/>
    </row>
    <row r="18" spans="1:13">
      <c r="A18" s="13"/>
      <c r="B18" s="202"/>
      <c r="C18" s="13"/>
      <c r="D18" s="13"/>
      <c r="E18" s="13"/>
      <c r="F18" s="200"/>
      <c r="G18" s="13"/>
      <c r="H18" s="13"/>
      <c r="I18" s="13"/>
      <c r="J18" s="13"/>
      <c r="K18" s="13"/>
      <c r="L18" s="13"/>
      <c r="M18" s="13"/>
    </row>
    <row r="19" spans="1:13">
      <c r="A19" s="13"/>
      <c r="B19" s="202"/>
      <c r="C19" s="13"/>
      <c r="D19" s="13"/>
      <c r="E19" s="13"/>
      <c r="F19" s="200"/>
      <c r="G19" s="13"/>
      <c r="H19" s="13"/>
      <c r="I19" s="13"/>
      <c r="J19" s="13"/>
      <c r="K19" s="13"/>
      <c r="L19" s="13"/>
      <c r="M19" s="13"/>
    </row>
    <row r="20" spans="1:13">
      <c r="A20" s="13"/>
      <c r="B20" s="202"/>
      <c r="C20" s="13"/>
      <c r="D20" s="13"/>
      <c r="E20" s="13"/>
      <c r="F20" s="200"/>
      <c r="G20" s="13"/>
      <c r="H20" s="13"/>
      <c r="I20" s="13"/>
      <c r="J20" s="13"/>
      <c r="K20" s="13"/>
      <c r="L20" s="13"/>
      <c r="M20" s="13"/>
    </row>
    <row r="21" spans="1:13">
      <c r="A21" s="13"/>
      <c r="B21" s="202"/>
      <c r="C21" s="13"/>
      <c r="D21" s="13"/>
      <c r="E21" s="13"/>
      <c r="F21" s="200"/>
      <c r="G21" s="13"/>
      <c r="H21" s="13"/>
      <c r="I21" s="13"/>
      <c r="J21" s="13"/>
      <c r="K21" s="13"/>
      <c r="L21" s="13"/>
      <c r="M21" s="13"/>
    </row>
    <row r="22" spans="1:13">
      <c r="A22" s="13"/>
      <c r="B22" s="202"/>
      <c r="C22" s="13"/>
      <c r="D22" s="13"/>
      <c r="E22" s="13"/>
      <c r="F22" s="200"/>
      <c r="G22" s="13"/>
      <c r="H22" s="13"/>
      <c r="I22" s="13"/>
      <c r="J22" s="13"/>
      <c r="K22" s="13"/>
      <c r="L22" s="13"/>
      <c r="M22" s="13"/>
    </row>
    <row r="23" spans="1:13">
      <c r="A23" s="13"/>
      <c r="B23" s="202"/>
      <c r="C23" s="13"/>
      <c r="D23" s="13"/>
      <c r="E23" s="13"/>
      <c r="F23" s="200"/>
      <c r="G23" s="13"/>
      <c r="H23" s="13"/>
      <c r="I23" s="13"/>
      <c r="J23" s="13"/>
      <c r="K23" s="13"/>
      <c r="L23" s="13"/>
      <c r="M23" s="13"/>
    </row>
    <row r="24" spans="1:13">
      <c r="A24" s="13"/>
      <c r="B24" s="202"/>
      <c r="C24" s="13"/>
      <c r="D24" s="13"/>
      <c r="E24" s="13"/>
      <c r="F24" s="200"/>
      <c r="G24" s="13"/>
      <c r="H24" s="13"/>
      <c r="I24" s="13"/>
      <c r="J24" s="13"/>
      <c r="K24" s="13"/>
      <c r="L24" s="13"/>
      <c r="M24" s="13"/>
    </row>
    <row r="25" spans="1:13">
      <c r="A25" s="13"/>
      <c r="B25" s="202"/>
      <c r="C25" s="13"/>
      <c r="D25" s="13"/>
      <c r="E25" s="13"/>
      <c r="F25" s="200"/>
      <c r="G25" s="13"/>
      <c r="H25" s="13"/>
      <c r="I25" s="13"/>
      <c r="J25" s="13"/>
      <c r="K25" s="13"/>
      <c r="L25" s="13"/>
      <c r="M25" s="13"/>
    </row>
    <row r="26" spans="1:13">
      <c r="A26" s="13"/>
      <c r="B26" s="202"/>
      <c r="C26" s="13"/>
      <c r="D26" s="13"/>
      <c r="E26" s="13"/>
      <c r="F26" s="200"/>
      <c r="G26" s="13"/>
      <c r="H26" s="13"/>
      <c r="I26" s="13"/>
      <c r="J26" s="13"/>
      <c r="K26" s="13"/>
      <c r="L26" s="13"/>
      <c r="M26" s="13"/>
    </row>
    <row r="27" spans="1:13">
      <c r="A27" s="13"/>
      <c r="B27" s="202"/>
      <c r="C27" s="13"/>
      <c r="D27" s="13"/>
      <c r="E27" s="13"/>
      <c r="F27" s="200"/>
      <c r="G27" s="13"/>
      <c r="H27" s="13"/>
      <c r="I27" s="13"/>
      <c r="J27" s="13"/>
      <c r="K27" s="13"/>
      <c r="L27" s="13"/>
      <c r="M27" s="13"/>
    </row>
    <row r="28" spans="1:13">
      <c r="A28" s="13"/>
      <c r="B28" s="202"/>
      <c r="C28" s="13"/>
      <c r="D28" s="13"/>
      <c r="E28" s="13"/>
      <c r="F28" s="200"/>
      <c r="G28" s="13"/>
      <c r="H28" s="13"/>
      <c r="I28" s="13"/>
      <c r="J28" s="13"/>
      <c r="K28" s="13"/>
      <c r="L28" s="13"/>
      <c r="M28" s="13"/>
    </row>
    <row r="29" spans="1:13">
      <c r="A29" s="13"/>
      <c r="B29" s="202"/>
      <c r="C29" s="13"/>
      <c r="D29" s="13"/>
      <c r="E29" s="13"/>
      <c r="F29" s="200"/>
      <c r="G29" s="13"/>
      <c r="H29" s="13"/>
      <c r="I29" s="13"/>
      <c r="J29" s="13"/>
      <c r="K29" s="13"/>
      <c r="L29" s="13"/>
      <c r="M29" s="13"/>
    </row>
    <row r="30" spans="1:13">
      <c r="A30" s="13"/>
      <c r="B30" s="202"/>
      <c r="C30" s="13"/>
      <c r="D30" s="13"/>
      <c r="E30" s="13"/>
      <c r="F30" s="200"/>
      <c r="G30" s="13"/>
      <c r="H30" s="13"/>
      <c r="I30" s="13"/>
      <c r="J30" s="13"/>
      <c r="K30" s="13"/>
      <c r="L30" s="13"/>
      <c r="M30" s="13"/>
    </row>
    <row r="31" spans="1:13">
      <c r="A31" s="13"/>
      <c r="B31" s="202"/>
      <c r="C31" s="13"/>
      <c r="D31" s="13"/>
      <c r="E31" s="13"/>
      <c r="F31" s="200"/>
      <c r="G31" s="13"/>
      <c r="H31" s="13"/>
      <c r="I31" s="13"/>
      <c r="J31" s="13"/>
      <c r="K31" s="13"/>
      <c r="L31" s="13"/>
      <c r="M31" s="13"/>
    </row>
    <row r="32" spans="1:13">
      <c r="A32" s="13"/>
      <c r="B32" s="202"/>
      <c r="C32" s="13"/>
      <c r="D32" s="13"/>
      <c r="E32" s="13"/>
      <c r="F32" s="200"/>
      <c r="G32" s="13"/>
      <c r="H32" s="13"/>
      <c r="I32" s="13"/>
      <c r="J32" s="13"/>
      <c r="K32" s="13"/>
      <c r="L32" s="13"/>
      <c r="M32" s="13"/>
    </row>
    <row r="33" spans="1:13">
      <c r="A33" s="13"/>
      <c r="B33" s="202"/>
      <c r="C33" s="13"/>
      <c r="D33" s="13"/>
      <c r="E33" s="13"/>
      <c r="F33" s="200"/>
      <c r="G33" s="13"/>
      <c r="H33" s="13"/>
      <c r="I33" s="13"/>
      <c r="J33" s="13"/>
      <c r="K33" s="13"/>
      <c r="L33" s="13"/>
      <c r="M33" s="13"/>
    </row>
    <row r="34" spans="1:13">
      <c r="A34" s="13"/>
      <c r="B34" s="202"/>
      <c r="C34" s="13"/>
      <c r="D34" s="13"/>
      <c r="E34" s="13"/>
      <c r="F34" s="200"/>
      <c r="G34" s="13"/>
      <c r="H34" s="13"/>
      <c r="I34" s="13"/>
      <c r="J34" s="13"/>
      <c r="K34" s="13"/>
      <c r="L34" s="13"/>
      <c r="M34" s="13"/>
    </row>
    <row r="35" spans="1:13">
      <c r="A35" s="13"/>
      <c r="B35" s="202"/>
      <c r="C35" s="13"/>
      <c r="D35" s="13"/>
      <c r="E35" s="13"/>
      <c r="F35" s="200"/>
      <c r="G35" s="13"/>
      <c r="H35" s="13"/>
      <c r="I35" s="13"/>
      <c r="J35" s="13"/>
      <c r="K35" s="13"/>
      <c r="L35" s="13"/>
      <c r="M35" s="13"/>
    </row>
    <row r="36" spans="1:13">
      <c r="A36" s="13"/>
      <c r="B36" s="202"/>
      <c r="C36" s="13"/>
      <c r="D36" s="13"/>
      <c r="E36" s="13"/>
      <c r="F36" s="200"/>
      <c r="G36" s="13"/>
      <c r="H36" s="13"/>
      <c r="I36" s="13"/>
      <c r="J36" s="13"/>
      <c r="K36" s="13"/>
      <c r="L36" s="13"/>
      <c r="M36" s="13"/>
    </row>
    <row r="37" spans="1:13">
      <c r="A37" s="13"/>
      <c r="B37" s="202"/>
      <c r="C37" s="13"/>
      <c r="D37" s="13"/>
      <c r="E37" s="13"/>
      <c r="F37" s="200"/>
      <c r="G37" s="13"/>
      <c r="H37" s="13"/>
      <c r="I37" s="13"/>
      <c r="J37" s="13"/>
      <c r="K37" s="13"/>
      <c r="L37" s="13"/>
      <c r="M37" s="13"/>
    </row>
    <row r="38" spans="1:13">
      <c r="A38" s="13"/>
      <c r="B38" s="202"/>
      <c r="C38" s="13"/>
      <c r="D38" s="13"/>
      <c r="E38" s="13"/>
      <c r="F38" s="200"/>
      <c r="G38" s="13"/>
      <c r="H38" s="13"/>
      <c r="I38" s="13"/>
      <c r="J38" s="13"/>
      <c r="K38" s="13"/>
      <c r="L38" s="13"/>
      <c r="M38" s="13"/>
    </row>
    <row r="39" spans="1:13">
      <c r="A39" s="13"/>
      <c r="B39" s="202"/>
      <c r="C39" s="13"/>
      <c r="D39" s="13"/>
      <c r="E39" s="13"/>
      <c r="F39" s="200"/>
      <c r="G39" s="13"/>
      <c r="H39" s="13"/>
      <c r="I39" s="13"/>
      <c r="J39" s="13"/>
      <c r="K39" s="13"/>
      <c r="L39" s="13"/>
      <c r="M39" s="13"/>
    </row>
    <row r="40" spans="1:13">
      <c r="A40" s="13"/>
      <c r="B40" s="202"/>
      <c r="C40" s="13"/>
      <c r="D40" s="13"/>
      <c r="E40" s="13"/>
      <c r="F40" s="200"/>
      <c r="G40" s="13"/>
      <c r="H40" s="13"/>
      <c r="I40" s="13"/>
      <c r="J40" s="13"/>
      <c r="K40" s="13"/>
      <c r="L40" s="13"/>
      <c r="M40" s="13"/>
    </row>
    <row r="41" spans="1:13">
      <c r="A41" s="13"/>
      <c r="B41" s="202"/>
      <c r="C41" s="13"/>
      <c r="D41" s="13"/>
      <c r="E41" s="13"/>
      <c r="F41" s="200"/>
      <c r="G41" s="13"/>
      <c r="H41" s="13"/>
      <c r="I41" s="13"/>
      <c r="J41" s="13"/>
      <c r="K41" s="13"/>
      <c r="L41" s="13"/>
      <c r="M41" s="13"/>
    </row>
    <row r="42" spans="1:13">
      <c r="A42" s="13"/>
      <c r="B42" s="202"/>
      <c r="C42" s="13"/>
      <c r="D42" s="13"/>
      <c r="E42" s="13"/>
      <c r="F42" s="200"/>
      <c r="G42" s="13"/>
      <c r="H42" s="13"/>
      <c r="I42" s="13"/>
      <c r="J42" s="13"/>
      <c r="K42" s="13"/>
      <c r="L42" s="13"/>
      <c r="M42" s="13"/>
    </row>
    <row r="43" spans="1:13">
      <c r="A43" s="13"/>
      <c r="B43" s="202"/>
      <c r="C43" s="13"/>
      <c r="D43" s="13"/>
      <c r="E43" s="13"/>
      <c r="F43" s="200"/>
      <c r="G43" s="13"/>
      <c r="H43" s="13"/>
      <c r="I43" s="13"/>
      <c r="J43" s="13"/>
      <c r="K43" s="13"/>
      <c r="L43" s="13"/>
      <c r="M43" s="13"/>
    </row>
    <row r="44" spans="1:13">
      <c r="A44" s="13"/>
      <c r="B44" s="202"/>
      <c r="C44" s="13"/>
      <c r="D44" s="13"/>
      <c r="E44" s="13"/>
      <c r="F44" s="200"/>
      <c r="G44" s="13"/>
      <c r="H44" s="13"/>
      <c r="I44" s="13"/>
      <c r="J44" s="13"/>
      <c r="K44" s="13"/>
      <c r="L44" s="13"/>
      <c r="M44" s="13"/>
    </row>
    <row r="45" spans="1:13">
      <c r="A45" s="13"/>
      <c r="B45" s="202"/>
      <c r="C45" s="13"/>
      <c r="D45" s="13"/>
      <c r="E45" s="13"/>
      <c r="F45" s="200"/>
      <c r="G45" s="13"/>
      <c r="H45" s="13"/>
      <c r="I45" s="13"/>
      <c r="J45" s="13"/>
      <c r="K45" s="13"/>
      <c r="L45" s="13"/>
      <c r="M45" s="13"/>
    </row>
    <row r="46" spans="1:13">
      <c r="A46" s="13"/>
      <c r="B46" s="202"/>
      <c r="C46" s="13"/>
      <c r="D46" s="13"/>
      <c r="E46" s="13"/>
      <c r="F46" s="200"/>
      <c r="G46" s="13"/>
      <c r="H46" s="13"/>
      <c r="I46" s="13"/>
      <c r="J46" s="13"/>
      <c r="K46" s="13"/>
      <c r="L46" s="13"/>
      <c r="M46" s="13"/>
    </row>
    <row r="47" spans="1:13">
      <c r="A47" s="13"/>
      <c r="B47" s="202"/>
      <c r="C47" s="13"/>
      <c r="D47" s="13"/>
      <c r="E47" s="13"/>
      <c r="F47" s="200"/>
      <c r="G47" s="13"/>
      <c r="H47" s="13"/>
      <c r="I47" s="13"/>
      <c r="J47" s="13"/>
      <c r="K47" s="13"/>
      <c r="L47" s="13"/>
      <c r="M47" s="13"/>
    </row>
    <row r="48" spans="1:13">
      <c r="A48" s="13"/>
      <c r="B48" s="202"/>
      <c r="C48" s="13"/>
      <c r="D48" s="13"/>
      <c r="E48" s="13"/>
      <c r="F48" s="200"/>
      <c r="G48" s="13"/>
      <c r="H48" s="13"/>
      <c r="I48" s="13"/>
      <c r="J48" s="13"/>
      <c r="K48" s="13"/>
      <c r="L48" s="13"/>
      <c r="M48" s="13"/>
    </row>
    <row r="49" spans="1:13">
      <c r="A49" s="13"/>
      <c r="B49" s="202"/>
      <c r="C49" s="13"/>
      <c r="D49" s="13"/>
      <c r="E49" s="13"/>
      <c r="F49" s="200"/>
      <c r="G49" s="13"/>
      <c r="H49" s="13"/>
      <c r="I49" s="13"/>
      <c r="J49" s="13"/>
      <c r="K49" s="13"/>
      <c r="L49" s="13"/>
      <c r="M49" s="13"/>
    </row>
    <row r="50" spans="1:13">
      <c r="A50" s="13"/>
      <c r="B50" s="202"/>
      <c r="C50" s="13"/>
      <c r="D50" s="13"/>
      <c r="E50" s="13"/>
      <c r="F50" s="200"/>
      <c r="G50" s="13"/>
      <c r="H50" s="13"/>
      <c r="I50" s="13"/>
      <c r="J50" s="13"/>
      <c r="K50" s="13"/>
      <c r="L50" s="13"/>
      <c r="M50" s="13"/>
    </row>
    <row r="51" spans="1:13">
      <c r="A51" s="13"/>
      <c r="B51" s="202"/>
      <c r="C51" s="13"/>
      <c r="D51" s="13"/>
      <c r="E51" s="13"/>
      <c r="F51" s="200"/>
      <c r="G51" s="13"/>
      <c r="H51" s="13"/>
      <c r="I51" s="13"/>
      <c r="J51" s="13"/>
      <c r="K51" s="13"/>
      <c r="L51" s="13"/>
      <c r="M51" s="13"/>
    </row>
    <row r="52" spans="1:13">
      <c r="A52" s="13"/>
      <c r="B52" s="202"/>
      <c r="C52" s="13"/>
      <c r="D52" s="13"/>
      <c r="E52" s="13"/>
      <c r="F52" s="200"/>
      <c r="G52" s="13"/>
      <c r="H52" s="13"/>
      <c r="I52" s="13"/>
      <c r="J52" s="13"/>
      <c r="K52" s="13"/>
      <c r="L52" s="13"/>
      <c r="M52" s="13"/>
    </row>
    <row r="53" spans="1:13">
      <c r="A53" s="13"/>
      <c r="B53" s="202"/>
      <c r="C53" s="13"/>
      <c r="D53" s="13"/>
      <c r="E53" s="13"/>
      <c r="F53" s="200"/>
      <c r="G53" s="13"/>
      <c r="H53" s="13"/>
      <c r="I53" s="13"/>
      <c r="J53" s="13"/>
      <c r="K53" s="13"/>
      <c r="L53" s="13"/>
      <c r="M53" s="13"/>
    </row>
    <row r="54" spans="1:13">
      <c r="A54" s="13"/>
      <c r="B54" s="202"/>
      <c r="C54" s="13"/>
      <c r="D54" s="13"/>
      <c r="E54" s="13"/>
      <c r="F54" s="200"/>
      <c r="G54" s="13"/>
      <c r="H54" s="13"/>
      <c r="I54" s="13"/>
      <c r="J54" s="13"/>
      <c r="K54" s="13"/>
      <c r="L54" s="13"/>
      <c r="M54" s="13"/>
    </row>
    <row r="55" spans="1:13">
      <c r="A55" s="13"/>
      <c r="B55" s="202"/>
      <c r="C55" s="13"/>
      <c r="D55" s="13"/>
      <c r="E55" s="13"/>
      <c r="F55" s="200"/>
      <c r="G55" s="13"/>
      <c r="H55" s="13"/>
      <c r="I55" s="13"/>
      <c r="J55" s="13"/>
      <c r="K55" s="13"/>
      <c r="L55" s="13"/>
      <c r="M55" s="13"/>
    </row>
    <row r="56" spans="1:13">
      <c r="A56" s="13"/>
      <c r="B56" s="202"/>
      <c r="C56" s="13"/>
      <c r="D56" s="13"/>
      <c r="E56" s="13"/>
      <c r="F56" s="200"/>
      <c r="G56" s="13"/>
      <c r="H56" s="13"/>
      <c r="I56" s="13"/>
      <c r="J56" s="13"/>
      <c r="K56" s="13"/>
      <c r="L56" s="13"/>
      <c r="M56" s="13"/>
    </row>
    <row r="57" spans="1:13">
      <c r="A57" s="13"/>
      <c r="B57" s="202"/>
      <c r="C57" s="13"/>
      <c r="D57" s="13"/>
      <c r="E57" s="13"/>
      <c r="F57" s="200"/>
      <c r="G57" s="13"/>
      <c r="H57" s="13"/>
      <c r="I57" s="13"/>
      <c r="J57" s="13"/>
      <c r="K57" s="13"/>
      <c r="L57" s="13"/>
      <c r="M57" s="13"/>
    </row>
    <row r="58" spans="1:13">
      <c r="A58" s="13"/>
      <c r="B58" s="202"/>
      <c r="C58" s="13"/>
      <c r="D58" s="13"/>
      <c r="E58" s="13"/>
      <c r="F58" s="200"/>
      <c r="G58" s="13"/>
      <c r="H58" s="13"/>
      <c r="I58" s="13"/>
      <c r="J58" s="13"/>
      <c r="K58" s="13"/>
      <c r="L58" s="13"/>
      <c r="M58" s="13"/>
    </row>
    <row r="59" spans="1:13">
      <c r="A59" s="13"/>
      <c r="B59" s="202"/>
      <c r="C59" s="13"/>
      <c r="D59" s="13"/>
      <c r="E59" s="13"/>
      <c r="F59" s="200"/>
      <c r="G59" s="13"/>
      <c r="H59" s="13"/>
      <c r="I59" s="13"/>
      <c r="J59" s="13"/>
      <c r="K59" s="13"/>
      <c r="L59" s="13"/>
      <c r="M59" s="13"/>
    </row>
    <row r="60" spans="1:13">
      <c r="A60" s="13"/>
      <c r="B60" s="202"/>
      <c r="C60" s="13"/>
      <c r="D60" s="13"/>
      <c r="E60" s="13"/>
      <c r="F60" s="200"/>
      <c r="G60" s="13"/>
      <c r="H60" s="13"/>
      <c r="I60" s="13"/>
      <c r="J60" s="13"/>
      <c r="K60" s="13"/>
      <c r="L60" s="13"/>
      <c r="M60" s="13"/>
    </row>
    <row r="61" spans="1:13">
      <c r="A61" s="13"/>
      <c r="B61" s="202"/>
      <c r="C61" s="13"/>
      <c r="D61" s="13"/>
      <c r="E61" s="13"/>
      <c r="F61" s="200"/>
      <c r="G61" s="13"/>
      <c r="H61" s="13"/>
      <c r="I61" s="13"/>
      <c r="J61" s="13"/>
      <c r="K61" s="13"/>
      <c r="L61" s="13"/>
      <c r="M61" s="13"/>
    </row>
    <row r="62" spans="1:13">
      <c r="A62" s="13"/>
      <c r="B62" s="202"/>
      <c r="C62" s="13"/>
      <c r="D62" s="13"/>
      <c r="E62" s="13"/>
      <c r="F62" s="200"/>
      <c r="G62" s="13"/>
      <c r="H62" s="13"/>
      <c r="I62" s="13"/>
      <c r="J62" s="13"/>
      <c r="K62" s="13"/>
      <c r="L62" s="13"/>
      <c r="M62" s="13"/>
    </row>
    <row r="63" spans="1:13">
      <c r="A63" s="13"/>
      <c r="B63" s="202"/>
      <c r="C63" s="13"/>
      <c r="D63" s="13"/>
      <c r="E63" s="13"/>
      <c r="F63" s="200"/>
      <c r="G63" s="13"/>
      <c r="H63" s="13"/>
      <c r="I63" s="13"/>
      <c r="J63" s="13"/>
      <c r="K63" s="13"/>
      <c r="L63" s="13"/>
      <c r="M63" s="13"/>
    </row>
    <row r="64" spans="1:13">
      <c r="A64" s="13"/>
      <c r="B64" s="202"/>
      <c r="C64" s="13"/>
      <c r="D64" s="13"/>
      <c r="E64" s="13"/>
      <c r="F64" s="200"/>
      <c r="G64" s="13"/>
      <c r="H64" s="13"/>
      <c r="I64" s="13"/>
      <c r="J64" s="13"/>
      <c r="K64" s="13"/>
      <c r="L64" s="13"/>
      <c r="M64" s="13"/>
    </row>
    <row r="65" spans="1:13">
      <c r="A65" s="13"/>
      <c r="B65" s="202"/>
      <c r="C65" s="13"/>
      <c r="D65" s="13"/>
      <c r="E65" s="13"/>
      <c r="F65" s="200"/>
      <c r="G65" s="13"/>
      <c r="H65" s="13"/>
      <c r="I65" s="13"/>
      <c r="J65" s="13"/>
      <c r="K65" s="13"/>
      <c r="L65" s="13"/>
      <c r="M65" s="13"/>
    </row>
    <row r="66" spans="1:13">
      <c r="A66" s="13"/>
      <c r="B66" s="202"/>
      <c r="C66" s="13"/>
      <c r="D66" s="13"/>
      <c r="E66" s="13"/>
      <c r="F66" s="200"/>
      <c r="G66" s="13"/>
      <c r="H66" s="13"/>
      <c r="I66" s="13"/>
      <c r="J66" s="13"/>
      <c r="K66" s="13"/>
      <c r="L66" s="13"/>
      <c r="M66" s="13"/>
    </row>
    <row r="67" spans="1:13">
      <c r="A67" s="13"/>
      <c r="B67" s="202"/>
      <c r="C67" s="13"/>
      <c r="D67" s="13"/>
      <c r="E67" s="13"/>
      <c r="F67" s="200"/>
      <c r="G67" s="13"/>
      <c r="H67" s="13"/>
      <c r="I67" s="13"/>
      <c r="J67" s="13"/>
      <c r="K67" s="13"/>
      <c r="L67" s="13"/>
      <c r="M67" s="13"/>
    </row>
    <row r="68" spans="1:13">
      <c r="A68" s="13"/>
      <c r="B68" s="202"/>
      <c r="C68" s="13"/>
      <c r="D68" s="13"/>
      <c r="E68" s="13"/>
      <c r="F68" s="200"/>
      <c r="G68" s="13"/>
      <c r="H68" s="13"/>
      <c r="I68" s="13"/>
      <c r="J68" s="13"/>
      <c r="K68" s="13"/>
      <c r="L68" s="13"/>
      <c r="M68" s="13"/>
    </row>
    <row r="69" spans="1:13">
      <c r="A69" s="13"/>
      <c r="B69" s="202"/>
      <c r="C69" s="13"/>
      <c r="D69" s="13"/>
      <c r="E69" s="13"/>
      <c r="F69" s="200"/>
      <c r="G69" s="13"/>
      <c r="H69" s="13"/>
      <c r="I69" s="13"/>
      <c r="J69" s="13"/>
      <c r="K69" s="13"/>
      <c r="L69" s="13"/>
      <c r="M69" s="13"/>
    </row>
    <row r="70" spans="1:13">
      <c r="A70" s="13"/>
      <c r="B70" s="202"/>
      <c r="C70" s="13"/>
      <c r="D70" s="13"/>
      <c r="E70" s="13"/>
      <c r="F70" s="200"/>
      <c r="G70" s="13"/>
      <c r="H70" s="13"/>
      <c r="I70" s="13"/>
      <c r="J70" s="13"/>
      <c r="K70" s="13"/>
      <c r="L70" s="13"/>
      <c r="M70" s="13"/>
    </row>
    <row r="71" spans="1:13">
      <c r="A71" s="13"/>
      <c r="B71" s="202"/>
      <c r="C71" s="13"/>
      <c r="D71" s="13"/>
      <c r="E71" s="13"/>
      <c r="F71" s="200"/>
      <c r="G71" s="13"/>
      <c r="H71" s="13"/>
      <c r="I71" s="13"/>
      <c r="J71" s="13"/>
      <c r="K71" s="13"/>
      <c r="L71" s="13"/>
      <c r="M71" s="13"/>
    </row>
    <row r="72" spans="1:13">
      <c r="A72" s="13"/>
      <c r="B72" s="202"/>
      <c r="C72" s="13"/>
      <c r="D72" s="13"/>
      <c r="E72" s="13"/>
      <c r="F72" s="200"/>
      <c r="G72" s="13"/>
      <c r="H72" s="13"/>
      <c r="I72" s="13"/>
      <c r="J72" s="13"/>
      <c r="K72" s="13"/>
      <c r="L72" s="13"/>
      <c r="M72" s="13"/>
    </row>
    <row r="73" spans="1:13">
      <c r="A73" s="13"/>
      <c r="B73" s="202"/>
      <c r="C73" s="13"/>
      <c r="D73" s="13"/>
      <c r="E73" s="13"/>
      <c r="F73" s="200"/>
      <c r="G73" s="13"/>
      <c r="H73" s="13"/>
      <c r="I73" s="13"/>
      <c r="J73" s="13"/>
      <c r="K73" s="13"/>
      <c r="L73" s="13"/>
      <c r="M73" s="13"/>
    </row>
    <row r="74" spans="1:13">
      <c r="A74" s="13"/>
      <c r="B74" s="202"/>
      <c r="C74" s="13"/>
      <c r="D74" s="13"/>
      <c r="E74" s="13"/>
      <c r="F74" s="200"/>
      <c r="G74" s="13"/>
      <c r="H74" s="13"/>
      <c r="I74" s="13"/>
      <c r="J74" s="13"/>
      <c r="K74" s="13"/>
      <c r="L74" s="13"/>
      <c r="M74" s="13"/>
    </row>
    <row r="75" spans="1:13">
      <c r="A75" s="13"/>
      <c r="B75" s="202"/>
      <c r="C75" s="13"/>
      <c r="D75" s="13"/>
      <c r="E75" s="13"/>
      <c r="F75" s="200"/>
      <c r="G75" s="13"/>
      <c r="H75" s="13"/>
      <c r="I75" s="13"/>
      <c r="J75" s="13"/>
      <c r="K75" s="13"/>
      <c r="L75" s="13"/>
      <c r="M75" s="13"/>
    </row>
    <row r="76" spans="1:13">
      <c r="A76" s="13"/>
      <c r="B76" s="202"/>
      <c r="C76" s="13"/>
      <c r="D76" s="13"/>
      <c r="E76" s="13"/>
      <c r="F76" s="200"/>
      <c r="G76" s="13"/>
      <c r="H76" s="13"/>
      <c r="I76" s="13"/>
      <c r="J76" s="13"/>
      <c r="K76" s="13"/>
      <c r="L76" s="13"/>
      <c r="M76" s="13"/>
    </row>
    <row r="77" spans="1:13">
      <c r="A77" s="13"/>
      <c r="B77" s="202"/>
      <c r="C77" s="13"/>
      <c r="D77" s="13"/>
      <c r="E77" s="13"/>
      <c r="F77" s="200"/>
      <c r="G77" s="13"/>
      <c r="H77" s="13"/>
      <c r="I77" s="13"/>
      <c r="J77" s="13"/>
      <c r="K77" s="13"/>
      <c r="L77" s="13"/>
      <c r="M77" s="13"/>
    </row>
    <row r="78" spans="1:13">
      <c r="A78" s="13"/>
      <c r="B78" s="202"/>
      <c r="C78" s="13"/>
      <c r="D78" s="13"/>
      <c r="E78" s="13"/>
      <c r="F78" s="200"/>
      <c r="G78" s="13"/>
      <c r="H78" s="13"/>
      <c r="I78" s="13"/>
      <c r="J78" s="13"/>
      <c r="K78" s="13"/>
      <c r="L78" s="13"/>
      <c r="M78" s="13"/>
    </row>
    <row r="79" spans="1:13">
      <c r="A79" s="13"/>
      <c r="B79" s="202"/>
      <c r="C79" s="13"/>
      <c r="D79" s="13"/>
      <c r="E79" s="13"/>
      <c r="F79" s="200"/>
      <c r="G79" s="13"/>
      <c r="H79" s="13"/>
      <c r="I79" s="13"/>
      <c r="J79" s="13"/>
      <c r="K79" s="13"/>
      <c r="L79" s="13"/>
      <c r="M79" s="13"/>
    </row>
    <row r="80" spans="1:13">
      <c r="A80" s="13"/>
      <c r="B80" s="202"/>
      <c r="C80" s="13"/>
      <c r="D80" s="13"/>
      <c r="E80" s="13"/>
      <c r="F80" s="200"/>
      <c r="G80" s="13"/>
      <c r="H80" s="13"/>
      <c r="I80" s="13"/>
      <c r="J80" s="13"/>
      <c r="K80" s="13"/>
      <c r="L80" s="13"/>
      <c r="M80" s="13"/>
    </row>
    <row r="81" spans="1:13">
      <c r="A81" s="13"/>
      <c r="B81" s="202"/>
      <c r="C81" s="13"/>
      <c r="D81" s="13"/>
      <c r="E81" s="13"/>
      <c r="F81" s="200"/>
      <c r="G81" s="13"/>
      <c r="H81" s="13"/>
      <c r="I81" s="13"/>
      <c r="J81" s="13"/>
      <c r="K81" s="13"/>
      <c r="L81" s="13"/>
      <c r="M81" s="13"/>
    </row>
    <row r="82" spans="1:13">
      <c r="A82" s="13"/>
      <c r="B82" s="202"/>
      <c r="C82" s="13"/>
      <c r="D82" s="13"/>
      <c r="E82" s="13"/>
      <c r="F82" s="200"/>
      <c r="G82" s="13"/>
      <c r="H82" s="13"/>
      <c r="I82" s="13"/>
      <c r="J82" s="13"/>
      <c r="K82" s="13"/>
      <c r="L82" s="13"/>
      <c r="M82" s="13"/>
    </row>
    <row r="83" spans="1:13">
      <c r="A83" s="13"/>
      <c r="B83" s="202"/>
      <c r="C83" s="13"/>
      <c r="D83" s="13"/>
      <c r="E83" s="13"/>
      <c r="F83" s="200"/>
      <c r="G83" s="13"/>
      <c r="H83" s="13"/>
      <c r="I83" s="13"/>
      <c r="J83" s="13"/>
      <c r="K83" s="13"/>
      <c r="L83" s="13"/>
      <c r="M83" s="13"/>
    </row>
    <row r="84" spans="1:13">
      <c r="A84" s="13"/>
      <c r="B84" s="202"/>
      <c r="C84" s="13"/>
      <c r="D84" s="13"/>
      <c r="E84" s="13"/>
      <c r="F84" s="200"/>
      <c r="G84" s="13"/>
      <c r="H84" s="13"/>
      <c r="I84" s="13"/>
      <c r="J84" s="13"/>
      <c r="K84" s="13"/>
      <c r="L84" s="13"/>
      <c r="M84" s="13"/>
    </row>
  </sheetData>
  <mergeCells count="20">
    <mergeCell ref="A1:M1"/>
    <mergeCell ref="A3:M3"/>
    <mergeCell ref="A4:A8"/>
    <mergeCell ref="B4:B8"/>
    <mergeCell ref="C4:C8"/>
    <mergeCell ref="D4:D8"/>
    <mergeCell ref="E4:E8"/>
    <mergeCell ref="F4:H4"/>
    <mergeCell ref="I4:J5"/>
    <mergeCell ref="K4:L5"/>
    <mergeCell ref="J6:J8"/>
    <mergeCell ref="M4:M8"/>
    <mergeCell ref="F5:F8"/>
    <mergeCell ref="G5:H5"/>
    <mergeCell ref="G6:G8"/>
    <mergeCell ref="N4:N8"/>
    <mergeCell ref="H6:H8"/>
    <mergeCell ref="I6:I8"/>
    <mergeCell ref="K6:K8"/>
    <mergeCell ref="L6:L8"/>
  </mergeCells>
  <printOptions horizontalCentered="1"/>
  <pageMargins left="1.91" right="0.70866141732283472" top="0.74803149606299213" bottom="0.74803149606299213" header="0.31496062992125984" footer="0.31496062992125984"/>
  <pageSetup paperSize="9" scale="60" orientation="landscape" r:id="rId1"/>
  <headerFooter>
    <oddFoote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2"/>
  <sheetViews>
    <sheetView zoomScale="55" zoomScaleNormal="55" workbookViewId="0">
      <pane xSplit="2" ySplit="10" topLeftCell="C26" activePane="bottomRight" state="frozen"/>
      <selection pane="topRight" activeCell="C1" sqref="C1"/>
      <selection pane="bottomLeft" activeCell="A11" sqref="A11"/>
      <selection pane="bottomRight" activeCell="P10" sqref="P10"/>
    </sheetView>
  </sheetViews>
  <sheetFormatPr defaultRowHeight="18.75"/>
  <cols>
    <col min="1" max="1" width="10.140625" style="40" customWidth="1"/>
    <col min="2" max="2" width="39.5703125" style="203" customWidth="1"/>
    <col min="3" max="3" width="10.5703125" style="44" customWidth="1"/>
    <col min="4" max="4" width="9.5703125" style="44" customWidth="1"/>
    <col min="5" max="5" width="9.85546875" style="44" customWidth="1"/>
    <col min="6" max="6" width="27.28515625" style="201" customWidth="1"/>
    <col min="7" max="7" width="13.5703125" style="3" customWidth="1"/>
    <col min="8" max="8" width="12.42578125" style="3" customWidth="1"/>
    <col min="9" max="9" width="11" style="3" hidden="1" customWidth="1"/>
    <col min="10" max="10" width="13.28515625" style="3" hidden="1" customWidth="1"/>
    <col min="11" max="11" width="11" style="3" hidden="1" customWidth="1"/>
    <col min="12" max="13" width="12.42578125" style="3" hidden="1" customWidth="1"/>
    <col min="14" max="14" width="11" style="3" customWidth="1"/>
    <col min="15" max="15" width="12.85546875" style="3" customWidth="1"/>
    <col min="16" max="16" width="12.28515625" style="3" customWidth="1"/>
    <col min="17" max="17" width="13.5703125" style="13" customWidth="1"/>
    <col min="18" max="224" width="9.140625" style="13"/>
    <col min="225" max="225" width="5.140625" style="13" customWidth="1"/>
    <col min="226" max="226" width="32.42578125" style="13" customWidth="1"/>
    <col min="227" max="229" width="10.28515625" style="13" customWidth="1"/>
    <col min="230" max="231" width="12.42578125" style="13" customWidth="1"/>
    <col min="232" max="232" width="11.28515625" style="13" customWidth="1"/>
    <col min="233" max="233" width="12.42578125" style="13" customWidth="1"/>
    <col min="234" max="234" width="11.28515625" style="13" customWidth="1"/>
    <col min="235" max="235" width="12.42578125" style="13" customWidth="1"/>
    <col min="236" max="236" width="11.28515625" style="13" customWidth="1"/>
    <col min="237" max="237" width="12.42578125" style="13" customWidth="1"/>
    <col min="238" max="238" width="11.28515625" style="13" customWidth="1"/>
    <col min="239" max="239" width="12.42578125" style="13" customWidth="1"/>
    <col min="240" max="240" width="11.28515625" style="13" customWidth="1"/>
    <col min="241" max="241" width="14.140625" style="13" customWidth="1"/>
    <col min="242" max="242" width="10.28515625" style="13" customWidth="1"/>
    <col min="243" max="243" width="17.140625" style="13" customWidth="1"/>
    <col min="244" max="244" width="12" style="13" customWidth="1"/>
    <col min="245" max="245" width="14.140625" style="13" customWidth="1"/>
    <col min="246" max="246" width="10.28515625" style="13" customWidth="1"/>
    <col min="247" max="247" width="17.140625" style="13" customWidth="1"/>
    <col min="248" max="248" width="12" style="13" customWidth="1"/>
    <col min="249" max="249" width="10.7109375" style="13" customWidth="1"/>
    <col min="250" max="252" width="0" style="13" hidden="1" customWidth="1"/>
    <col min="253" max="480" width="9.140625" style="13"/>
    <col min="481" max="481" width="5.140625" style="13" customWidth="1"/>
    <col min="482" max="482" width="32.42578125" style="13" customWidth="1"/>
    <col min="483" max="485" width="10.28515625" style="13" customWidth="1"/>
    <col min="486" max="487" width="12.42578125" style="13" customWidth="1"/>
    <col min="488" max="488" width="11.28515625" style="13" customWidth="1"/>
    <col min="489" max="489" width="12.42578125" style="13" customWidth="1"/>
    <col min="490" max="490" width="11.28515625" style="13" customWidth="1"/>
    <col min="491" max="491" width="12.42578125" style="13" customWidth="1"/>
    <col min="492" max="492" width="11.28515625" style="13" customWidth="1"/>
    <col min="493" max="493" width="12.42578125" style="13" customWidth="1"/>
    <col min="494" max="494" width="11.28515625" style="13" customWidth="1"/>
    <col min="495" max="495" width="12.42578125" style="13" customWidth="1"/>
    <col min="496" max="496" width="11.28515625" style="13" customWidth="1"/>
    <col min="497" max="497" width="14.140625" style="13" customWidth="1"/>
    <col min="498" max="498" width="10.28515625" style="13" customWidth="1"/>
    <col min="499" max="499" width="17.140625" style="13" customWidth="1"/>
    <col min="500" max="500" width="12" style="13" customWidth="1"/>
    <col min="501" max="501" width="14.140625" style="13" customWidth="1"/>
    <col min="502" max="502" width="10.28515625" style="13" customWidth="1"/>
    <col min="503" max="503" width="17.140625" style="13" customWidth="1"/>
    <col min="504" max="504" width="12" style="13" customWidth="1"/>
    <col min="505" max="505" width="10.7109375" style="13" customWidth="1"/>
    <col min="506" max="508" width="0" style="13" hidden="1" customWidth="1"/>
    <col min="509" max="736" width="9.140625" style="13"/>
    <col min="737" max="737" width="5.140625" style="13" customWidth="1"/>
    <col min="738" max="738" width="32.42578125" style="13" customWidth="1"/>
    <col min="739" max="741" width="10.28515625" style="13" customWidth="1"/>
    <col min="742" max="743" width="12.42578125" style="13" customWidth="1"/>
    <col min="744" max="744" width="11.28515625" style="13" customWidth="1"/>
    <col min="745" max="745" width="12.42578125" style="13" customWidth="1"/>
    <col min="746" max="746" width="11.28515625" style="13" customWidth="1"/>
    <col min="747" max="747" width="12.42578125" style="13" customWidth="1"/>
    <col min="748" max="748" width="11.28515625" style="13" customWidth="1"/>
    <col min="749" max="749" width="12.42578125" style="13" customWidth="1"/>
    <col min="750" max="750" width="11.28515625" style="13" customWidth="1"/>
    <col min="751" max="751" width="12.42578125" style="13" customWidth="1"/>
    <col min="752" max="752" width="11.28515625" style="13" customWidth="1"/>
    <col min="753" max="753" width="14.140625" style="13" customWidth="1"/>
    <col min="754" max="754" width="10.28515625" style="13" customWidth="1"/>
    <col min="755" max="755" width="17.140625" style="13" customWidth="1"/>
    <col min="756" max="756" width="12" style="13" customWidth="1"/>
    <col min="757" max="757" width="14.140625" style="13" customWidth="1"/>
    <col min="758" max="758" width="10.28515625" style="13" customWidth="1"/>
    <col min="759" max="759" width="17.140625" style="13" customWidth="1"/>
    <col min="760" max="760" width="12" style="13" customWidth="1"/>
    <col min="761" max="761" width="10.7109375" style="13" customWidth="1"/>
    <col min="762" max="764" width="0" style="13" hidden="1" customWidth="1"/>
    <col min="765" max="992" width="9.140625" style="13"/>
    <col min="993" max="993" width="5.140625" style="13" customWidth="1"/>
    <col min="994" max="994" width="32.42578125" style="13" customWidth="1"/>
    <col min="995" max="997" width="10.28515625" style="13" customWidth="1"/>
    <col min="998" max="999" width="12.42578125" style="13" customWidth="1"/>
    <col min="1000" max="1000" width="11.28515625" style="13" customWidth="1"/>
    <col min="1001" max="1001" width="12.42578125" style="13" customWidth="1"/>
    <col min="1002" max="1002" width="11.28515625" style="13" customWidth="1"/>
    <col min="1003" max="1003" width="12.42578125" style="13" customWidth="1"/>
    <col min="1004" max="1004" width="11.28515625" style="13" customWidth="1"/>
    <col min="1005" max="1005" width="12.42578125" style="13" customWidth="1"/>
    <col min="1006" max="1006" width="11.28515625" style="13" customWidth="1"/>
    <col min="1007" max="1007" width="12.42578125" style="13" customWidth="1"/>
    <col min="1008" max="1008" width="11.28515625" style="13" customWidth="1"/>
    <col min="1009" max="1009" width="14.140625" style="13" customWidth="1"/>
    <col min="1010" max="1010" width="10.28515625" style="13" customWidth="1"/>
    <col min="1011" max="1011" width="17.140625" style="13" customWidth="1"/>
    <col min="1012" max="1012" width="12" style="13" customWidth="1"/>
    <col min="1013" max="1013" width="14.140625" style="13" customWidth="1"/>
    <col min="1014" max="1014" width="10.28515625" style="13" customWidth="1"/>
    <col min="1015" max="1015" width="17.140625" style="13" customWidth="1"/>
    <col min="1016" max="1016" width="12" style="13" customWidth="1"/>
    <col min="1017" max="1017" width="10.7109375" style="13" customWidth="1"/>
    <col min="1018" max="1020" width="0" style="13" hidden="1" customWidth="1"/>
    <col min="1021" max="1248" width="9.140625" style="13"/>
    <col min="1249" max="1249" width="5.140625" style="13" customWidth="1"/>
    <col min="1250" max="1250" width="32.42578125" style="13" customWidth="1"/>
    <col min="1251" max="1253" width="10.28515625" style="13" customWidth="1"/>
    <col min="1254" max="1255" width="12.42578125" style="13" customWidth="1"/>
    <col min="1256" max="1256" width="11.28515625" style="13" customWidth="1"/>
    <col min="1257" max="1257" width="12.42578125" style="13" customWidth="1"/>
    <col min="1258" max="1258" width="11.28515625" style="13" customWidth="1"/>
    <col min="1259" max="1259" width="12.42578125" style="13" customWidth="1"/>
    <col min="1260" max="1260" width="11.28515625" style="13" customWidth="1"/>
    <col min="1261" max="1261" width="12.42578125" style="13" customWidth="1"/>
    <col min="1262" max="1262" width="11.28515625" style="13" customWidth="1"/>
    <col min="1263" max="1263" width="12.42578125" style="13" customWidth="1"/>
    <col min="1264" max="1264" width="11.28515625" style="13" customWidth="1"/>
    <col min="1265" max="1265" width="14.140625" style="13" customWidth="1"/>
    <col min="1266" max="1266" width="10.28515625" style="13" customWidth="1"/>
    <col min="1267" max="1267" width="17.140625" style="13" customWidth="1"/>
    <col min="1268" max="1268" width="12" style="13" customWidth="1"/>
    <col min="1269" max="1269" width="14.140625" style="13" customWidth="1"/>
    <col min="1270" max="1270" width="10.28515625" style="13" customWidth="1"/>
    <col min="1271" max="1271" width="17.140625" style="13" customWidth="1"/>
    <col min="1272" max="1272" width="12" style="13" customWidth="1"/>
    <col min="1273" max="1273" width="10.7109375" style="13" customWidth="1"/>
    <col min="1274" max="1276" width="0" style="13" hidden="1" customWidth="1"/>
    <col min="1277" max="1504" width="9.140625" style="13"/>
    <col min="1505" max="1505" width="5.140625" style="13" customWidth="1"/>
    <col min="1506" max="1506" width="32.42578125" style="13" customWidth="1"/>
    <col min="1507" max="1509" width="10.28515625" style="13" customWidth="1"/>
    <col min="1510" max="1511" width="12.42578125" style="13" customWidth="1"/>
    <col min="1512" max="1512" width="11.28515625" style="13" customWidth="1"/>
    <col min="1513" max="1513" width="12.42578125" style="13" customWidth="1"/>
    <col min="1514" max="1514" width="11.28515625" style="13" customWidth="1"/>
    <col min="1515" max="1515" width="12.42578125" style="13" customWidth="1"/>
    <col min="1516" max="1516" width="11.28515625" style="13" customWidth="1"/>
    <col min="1517" max="1517" width="12.42578125" style="13" customWidth="1"/>
    <col min="1518" max="1518" width="11.28515625" style="13" customWidth="1"/>
    <col min="1519" max="1519" width="12.42578125" style="13" customWidth="1"/>
    <col min="1520" max="1520" width="11.28515625" style="13" customWidth="1"/>
    <col min="1521" max="1521" width="14.140625" style="13" customWidth="1"/>
    <col min="1522" max="1522" width="10.28515625" style="13" customWidth="1"/>
    <col min="1523" max="1523" width="17.140625" style="13" customWidth="1"/>
    <col min="1524" max="1524" width="12" style="13" customWidth="1"/>
    <col min="1525" max="1525" width="14.140625" style="13" customWidth="1"/>
    <col min="1526" max="1526" width="10.28515625" style="13" customWidth="1"/>
    <col min="1527" max="1527" width="17.140625" style="13" customWidth="1"/>
    <col min="1528" max="1528" width="12" style="13" customWidth="1"/>
    <col min="1529" max="1529" width="10.7109375" style="13" customWidth="1"/>
    <col min="1530" max="1532" width="0" style="13" hidden="1" customWidth="1"/>
    <col min="1533" max="1760" width="9.140625" style="13"/>
    <col min="1761" max="1761" width="5.140625" style="13" customWidth="1"/>
    <col min="1762" max="1762" width="32.42578125" style="13" customWidth="1"/>
    <col min="1763" max="1765" width="10.28515625" style="13" customWidth="1"/>
    <col min="1766" max="1767" width="12.42578125" style="13" customWidth="1"/>
    <col min="1768" max="1768" width="11.28515625" style="13" customWidth="1"/>
    <col min="1769" max="1769" width="12.42578125" style="13" customWidth="1"/>
    <col min="1770" max="1770" width="11.28515625" style="13" customWidth="1"/>
    <col min="1771" max="1771" width="12.42578125" style="13" customWidth="1"/>
    <col min="1772" max="1772" width="11.28515625" style="13" customWidth="1"/>
    <col min="1773" max="1773" width="12.42578125" style="13" customWidth="1"/>
    <col min="1774" max="1774" width="11.28515625" style="13" customWidth="1"/>
    <col min="1775" max="1775" width="12.42578125" style="13" customWidth="1"/>
    <col min="1776" max="1776" width="11.28515625" style="13" customWidth="1"/>
    <col min="1777" max="1777" width="14.140625" style="13" customWidth="1"/>
    <col min="1778" max="1778" width="10.28515625" style="13" customWidth="1"/>
    <col min="1779" max="1779" width="17.140625" style="13" customWidth="1"/>
    <col min="1780" max="1780" width="12" style="13" customWidth="1"/>
    <col min="1781" max="1781" width="14.140625" style="13" customWidth="1"/>
    <col min="1782" max="1782" width="10.28515625" style="13" customWidth="1"/>
    <col min="1783" max="1783" width="17.140625" style="13" customWidth="1"/>
    <col min="1784" max="1784" width="12" style="13" customWidth="1"/>
    <col min="1785" max="1785" width="10.7109375" style="13" customWidth="1"/>
    <col min="1786" max="1788" width="0" style="13" hidden="1" customWidth="1"/>
    <col min="1789" max="2016" width="9.140625" style="13"/>
    <col min="2017" max="2017" width="5.140625" style="13" customWidth="1"/>
    <col min="2018" max="2018" width="32.42578125" style="13" customWidth="1"/>
    <col min="2019" max="2021" width="10.28515625" style="13" customWidth="1"/>
    <col min="2022" max="2023" width="12.42578125" style="13" customWidth="1"/>
    <col min="2024" max="2024" width="11.28515625" style="13" customWidth="1"/>
    <col min="2025" max="2025" width="12.42578125" style="13" customWidth="1"/>
    <col min="2026" max="2026" width="11.28515625" style="13" customWidth="1"/>
    <col min="2027" max="2027" width="12.42578125" style="13" customWidth="1"/>
    <col min="2028" max="2028" width="11.28515625" style="13" customWidth="1"/>
    <col min="2029" max="2029" width="12.42578125" style="13" customWidth="1"/>
    <col min="2030" max="2030" width="11.28515625" style="13" customWidth="1"/>
    <col min="2031" max="2031" width="12.42578125" style="13" customWidth="1"/>
    <col min="2032" max="2032" width="11.28515625" style="13" customWidth="1"/>
    <col min="2033" max="2033" width="14.140625" style="13" customWidth="1"/>
    <col min="2034" max="2034" width="10.28515625" style="13" customWidth="1"/>
    <col min="2035" max="2035" width="17.140625" style="13" customWidth="1"/>
    <col min="2036" max="2036" width="12" style="13" customWidth="1"/>
    <col min="2037" max="2037" width="14.140625" style="13" customWidth="1"/>
    <col min="2038" max="2038" width="10.28515625" style="13" customWidth="1"/>
    <col min="2039" max="2039" width="17.140625" style="13" customWidth="1"/>
    <col min="2040" max="2040" width="12" style="13" customWidth="1"/>
    <col min="2041" max="2041" width="10.7109375" style="13" customWidth="1"/>
    <col min="2042" max="2044" width="0" style="13" hidden="1" customWidth="1"/>
    <col min="2045" max="2272" width="9.140625" style="13"/>
    <col min="2273" max="2273" width="5.140625" style="13" customWidth="1"/>
    <col min="2274" max="2274" width="32.42578125" style="13" customWidth="1"/>
    <col min="2275" max="2277" width="10.28515625" style="13" customWidth="1"/>
    <col min="2278" max="2279" width="12.42578125" style="13" customWidth="1"/>
    <col min="2280" max="2280" width="11.28515625" style="13" customWidth="1"/>
    <col min="2281" max="2281" width="12.42578125" style="13" customWidth="1"/>
    <col min="2282" max="2282" width="11.28515625" style="13" customWidth="1"/>
    <col min="2283" max="2283" width="12.42578125" style="13" customWidth="1"/>
    <col min="2284" max="2284" width="11.28515625" style="13" customWidth="1"/>
    <col min="2285" max="2285" width="12.42578125" style="13" customWidth="1"/>
    <col min="2286" max="2286" width="11.28515625" style="13" customWidth="1"/>
    <col min="2287" max="2287" width="12.42578125" style="13" customWidth="1"/>
    <col min="2288" max="2288" width="11.28515625" style="13" customWidth="1"/>
    <col min="2289" max="2289" width="14.140625" style="13" customWidth="1"/>
    <col min="2290" max="2290" width="10.28515625" style="13" customWidth="1"/>
    <col min="2291" max="2291" width="17.140625" style="13" customWidth="1"/>
    <col min="2292" max="2292" width="12" style="13" customWidth="1"/>
    <col min="2293" max="2293" width="14.140625" style="13" customWidth="1"/>
    <col min="2294" max="2294" width="10.28515625" style="13" customWidth="1"/>
    <col min="2295" max="2295" width="17.140625" style="13" customWidth="1"/>
    <col min="2296" max="2296" width="12" style="13" customWidth="1"/>
    <col min="2297" max="2297" width="10.7109375" style="13" customWidth="1"/>
    <col min="2298" max="2300" width="0" style="13" hidden="1" customWidth="1"/>
    <col min="2301" max="2528" width="9.140625" style="13"/>
    <col min="2529" max="2529" width="5.140625" style="13" customWidth="1"/>
    <col min="2530" max="2530" width="32.42578125" style="13" customWidth="1"/>
    <col min="2531" max="2533" width="10.28515625" style="13" customWidth="1"/>
    <col min="2534" max="2535" width="12.42578125" style="13" customWidth="1"/>
    <col min="2536" max="2536" width="11.28515625" style="13" customWidth="1"/>
    <col min="2537" max="2537" width="12.42578125" style="13" customWidth="1"/>
    <col min="2538" max="2538" width="11.28515625" style="13" customWidth="1"/>
    <col min="2539" max="2539" width="12.42578125" style="13" customWidth="1"/>
    <col min="2540" max="2540" width="11.28515625" style="13" customWidth="1"/>
    <col min="2541" max="2541" width="12.42578125" style="13" customWidth="1"/>
    <col min="2542" max="2542" width="11.28515625" style="13" customWidth="1"/>
    <col min="2543" max="2543" width="12.42578125" style="13" customWidth="1"/>
    <col min="2544" max="2544" width="11.28515625" style="13" customWidth="1"/>
    <col min="2545" max="2545" width="14.140625" style="13" customWidth="1"/>
    <col min="2546" max="2546" width="10.28515625" style="13" customWidth="1"/>
    <col min="2547" max="2547" width="17.140625" style="13" customWidth="1"/>
    <col min="2548" max="2548" width="12" style="13" customWidth="1"/>
    <col min="2549" max="2549" width="14.140625" style="13" customWidth="1"/>
    <col min="2550" max="2550" width="10.28515625" style="13" customWidth="1"/>
    <col min="2551" max="2551" width="17.140625" style="13" customWidth="1"/>
    <col min="2552" max="2552" width="12" style="13" customWidth="1"/>
    <col min="2553" max="2553" width="10.7109375" style="13" customWidth="1"/>
    <col min="2554" max="2556" width="0" style="13" hidden="1" customWidth="1"/>
    <col min="2557" max="2784" width="9.140625" style="13"/>
    <col min="2785" max="2785" width="5.140625" style="13" customWidth="1"/>
    <col min="2786" max="2786" width="32.42578125" style="13" customWidth="1"/>
    <col min="2787" max="2789" width="10.28515625" style="13" customWidth="1"/>
    <col min="2790" max="2791" width="12.42578125" style="13" customWidth="1"/>
    <col min="2792" max="2792" width="11.28515625" style="13" customWidth="1"/>
    <col min="2793" max="2793" width="12.42578125" style="13" customWidth="1"/>
    <col min="2794" max="2794" width="11.28515625" style="13" customWidth="1"/>
    <col min="2795" max="2795" width="12.42578125" style="13" customWidth="1"/>
    <col min="2796" max="2796" width="11.28515625" style="13" customWidth="1"/>
    <col min="2797" max="2797" width="12.42578125" style="13" customWidth="1"/>
    <col min="2798" max="2798" width="11.28515625" style="13" customWidth="1"/>
    <col min="2799" max="2799" width="12.42578125" style="13" customWidth="1"/>
    <col min="2800" max="2800" width="11.28515625" style="13" customWidth="1"/>
    <col min="2801" max="2801" width="14.140625" style="13" customWidth="1"/>
    <col min="2802" max="2802" width="10.28515625" style="13" customWidth="1"/>
    <col min="2803" max="2803" width="17.140625" style="13" customWidth="1"/>
    <col min="2804" max="2804" width="12" style="13" customWidth="1"/>
    <col min="2805" max="2805" width="14.140625" style="13" customWidth="1"/>
    <col min="2806" max="2806" width="10.28515625" style="13" customWidth="1"/>
    <col min="2807" max="2807" width="17.140625" style="13" customWidth="1"/>
    <col min="2808" max="2808" width="12" style="13" customWidth="1"/>
    <col min="2809" max="2809" width="10.7109375" style="13" customWidth="1"/>
    <col min="2810" max="2812" width="0" style="13" hidden="1" customWidth="1"/>
    <col min="2813" max="3040" width="9.140625" style="13"/>
    <col min="3041" max="3041" width="5.140625" style="13" customWidth="1"/>
    <col min="3042" max="3042" width="32.42578125" style="13" customWidth="1"/>
    <col min="3043" max="3045" width="10.28515625" style="13" customWidth="1"/>
    <col min="3046" max="3047" width="12.42578125" style="13" customWidth="1"/>
    <col min="3048" max="3048" width="11.28515625" style="13" customWidth="1"/>
    <col min="3049" max="3049" width="12.42578125" style="13" customWidth="1"/>
    <col min="3050" max="3050" width="11.28515625" style="13" customWidth="1"/>
    <col min="3051" max="3051" width="12.42578125" style="13" customWidth="1"/>
    <col min="3052" max="3052" width="11.28515625" style="13" customWidth="1"/>
    <col min="3053" max="3053" width="12.42578125" style="13" customWidth="1"/>
    <col min="3054" max="3054" width="11.28515625" style="13" customWidth="1"/>
    <col min="3055" max="3055" width="12.42578125" style="13" customWidth="1"/>
    <col min="3056" max="3056" width="11.28515625" style="13" customWidth="1"/>
    <col min="3057" max="3057" width="14.140625" style="13" customWidth="1"/>
    <col min="3058" max="3058" width="10.28515625" style="13" customWidth="1"/>
    <col min="3059" max="3059" width="17.140625" style="13" customWidth="1"/>
    <col min="3060" max="3060" width="12" style="13" customWidth="1"/>
    <col min="3061" max="3061" width="14.140625" style="13" customWidth="1"/>
    <col min="3062" max="3062" width="10.28515625" style="13" customWidth="1"/>
    <col min="3063" max="3063" width="17.140625" style="13" customWidth="1"/>
    <col min="3064" max="3064" width="12" style="13" customWidth="1"/>
    <col min="3065" max="3065" width="10.7109375" style="13" customWidth="1"/>
    <col min="3066" max="3068" width="0" style="13" hidden="1" customWidth="1"/>
    <col min="3069" max="3296" width="9.140625" style="13"/>
    <col min="3297" max="3297" width="5.140625" style="13" customWidth="1"/>
    <col min="3298" max="3298" width="32.42578125" style="13" customWidth="1"/>
    <col min="3299" max="3301" width="10.28515625" style="13" customWidth="1"/>
    <col min="3302" max="3303" width="12.42578125" style="13" customWidth="1"/>
    <col min="3304" max="3304" width="11.28515625" style="13" customWidth="1"/>
    <col min="3305" max="3305" width="12.42578125" style="13" customWidth="1"/>
    <col min="3306" max="3306" width="11.28515625" style="13" customWidth="1"/>
    <col min="3307" max="3307" width="12.42578125" style="13" customWidth="1"/>
    <col min="3308" max="3308" width="11.28515625" style="13" customWidth="1"/>
    <col min="3309" max="3309" width="12.42578125" style="13" customWidth="1"/>
    <col min="3310" max="3310" width="11.28515625" style="13" customWidth="1"/>
    <col min="3311" max="3311" width="12.42578125" style="13" customWidth="1"/>
    <col min="3312" max="3312" width="11.28515625" style="13" customWidth="1"/>
    <col min="3313" max="3313" width="14.140625" style="13" customWidth="1"/>
    <col min="3314" max="3314" width="10.28515625" style="13" customWidth="1"/>
    <col min="3315" max="3315" width="17.140625" style="13" customWidth="1"/>
    <col min="3316" max="3316" width="12" style="13" customWidth="1"/>
    <col min="3317" max="3317" width="14.140625" style="13" customWidth="1"/>
    <col min="3318" max="3318" width="10.28515625" style="13" customWidth="1"/>
    <col min="3319" max="3319" width="17.140625" style="13" customWidth="1"/>
    <col min="3320" max="3320" width="12" style="13" customWidth="1"/>
    <col min="3321" max="3321" width="10.7109375" style="13" customWidth="1"/>
    <col min="3322" max="3324" width="0" style="13" hidden="1" customWidth="1"/>
    <col min="3325" max="3552" width="9.140625" style="13"/>
    <col min="3553" max="3553" width="5.140625" style="13" customWidth="1"/>
    <col min="3554" max="3554" width="32.42578125" style="13" customWidth="1"/>
    <col min="3555" max="3557" width="10.28515625" style="13" customWidth="1"/>
    <col min="3558" max="3559" width="12.42578125" style="13" customWidth="1"/>
    <col min="3560" max="3560" width="11.28515625" style="13" customWidth="1"/>
    <col min="3561" max="3561" width="12.42578125" style="13" customWidth="1"/>
    <col min="3562" max="3562" width="11.28515625" style="13" customWidth="1"/>
    <col min="3563" max="3563" width="12.42578125" style="13" customWidth="1"/>
    <col min="3564" max="3564" width="11.28515625" style="13" customWidth="1"/>
    <col min="3565" max="3565" width="12.42578125" style="13" customWidth="1"/>
    <col min="3566" max="3566" width="11.28515625" style="13" customWidth="1"/>
    <col min="3567" max="3567" width="12.42578125" style="13" customWidth="1"/>
    <col min="3568" max="3568" width="11.28515625" style="13" customWidth="1"/>
    <col min="3569" max="3569" width="14.140625" style="13" customWidth="1"/>
    <col min="3570" max="3570" width="10.28515625" style="13" customWidth="1"/>
    <col min="3571" max="3571" width="17.140625" style="13" customWidth="1"/>
    <col min="3572" max="3572" width="12" style="13" customWidth="1"/>
    <col min="3573" max="3573" width="14.140625" style="13" customWidth="1"/>
    <col min="3574" max="3574" width="10.28515625" style="13" customWidth="1"/>
    <col min="3575" max="3575" width="17.140625" style="13" customWidth="1"/>
    <col min="3576" max="3576" width="12" style="13" customWidth="1"/>
    <col min="3577" max="3577" width="10.7109375" style="13" customWidth="1"/>
    <col min="3578" max="3580" width="0" style="13" hidden="1" customWidth="1"/>
    <col min="3581" max="3808" width="9.140625" style="13"/>
    <col min="3809" max="3809" width="5.140625" style="13" customWidth="1"/>
    <col min="3810" max="3810" width="32.42578125" style="13" customWidth="1"/>
    <col min="3811" max="3813" width="10.28515625" style="13" customWidth="1"/>
    <col min="3814" max="3815" width="12.42578125" style="13" customWidth="1"/>
    <col min="3816" max="3816" width="11.28515625" style="13" customWidth="1"/>
    <col min="3817" max="3817" width="12.42578125" style="13" customWidth="1"/>
    <col min="3818" max="3818" width="11.28515625" style="13" customWidth="1"/>
    <col min="3819" max="3819" width="12.42578125" style="13" customWidth="1"/>
    <col min="3820" max="3820" width="11.28515625" style="13" customWidth="1"/>
    <col min="3821" max="3821" width="12.42578125" style="13" customWidth="1"/>
    <col min="3822" max="3822" width="11.28515625" style="13" customWidth="1"/>
    <col min="3823" max="3823" width="12.42578125" style="13" customWidth="1"/>
    <col min="3824" max="3824" width="11.28515625" style="13" customWidth="1"/>
    <col min="3825" max="3825" width="14.140625" style="13" customWidth="1"/>
    <col min="3826" max="3826" width="10.28515625" style="13" customWidth="1"/>
    <col min="3827" max="3827" width="17.140625" style="13" customWidth="1"/>
    <col min="3828" max="3828" width="12" style="13" customWidth="1"/>
    <col min="3829" max="3829" width="14.140625" style="13" customWidth="1"/>
    <col min="3830" max="3830" width="10.28515625" style="13" customWidth="1"/>
    <col min="3831" max="3831" width="17.140625" style="13" customWidth="1"/>
    <col min="3832" max="3832" width="12" style="13" customWidth="1"/>
    <col min="3833" max="3833" width="10.7109375" style="13" customWidth="1"/>
    <col min="3834" max="3836" width="0" style="13" hidden="1" customWidth="1"/>
    <col min="3837" max="4064" width="9.140625" style="13"/>
    <col min="4065" max="4065" width="5.140625" style="13" customWidth="1"/>
    <col min="4066" max="4066" width="32.42578125" style="13" customWidth="1"/>
    <col min="4067" max="4069" width="10.28515625" style="13" customWidth="1"/>
    <col min="4070" max="4071" width="12.42578125" style="13" customWidth="1"/>
    <col min="4072" max="4072" width="11.28515625" style="13" customWidth="1"/>
    <col min="4073" max="4073" width="12.42578125" style="13" customWidth="1"/>
    <col min="4074" max="4074" width="11.28515625" style="13" customWidth="1"/>
    <col min="4075" max="4075" width="12.42578125" style="13" customWidth="1"/>
    <col min="4076" max="4076" width="11.28515625" style="13" customWidth="1"/>
    <col min="4077" max="4077" width="12.42578125" style="13" customWidth="1"/>
    <col min="4078" max="4078" width="11.28515625" style="13" customWidth="1"/>
    <col min="4079" max="4079" width="12.42578125" style="13" customWidth="1"/>
    <col min="4080" max="4080" width="11.28515625" style="13" customWidth="1"/>
    <col min="4081" max="4081" width="14.140625" style="13" customWidth="1"/>
    <col min="4082" max="4082" width="10.28515625" style="13" customWidth="1"/>
    <col min="4083" max="4083" width="17.140625" style="13" customWidth="1"/>
    <col min="4084" max="4084" width="12" style="13" customWidth="1"/>
    <col min="4085" max="4085" width="14.140625" style="13" customWidth="1"/>
    <col min="4086" max="4086" width="10.28515625" style="13" customWidth="1"/>
    <col min="4087" max="4087" width="17.140625" style="13" customWidth="1"/>
    <col min="4088" max="4088" width="12" style="13" customWidth="1"/>
    <col min="4089" max="4089" width="10.7109375" style="13" customWidth="1"/>
    <col min="4090" max="4092" width="0" style="13" hidden="1" customWidth="1"/>
    <col min="4093" max="4320" width="9.140625" style="13"/>
    <col min="4321" max="4321" width="5.140625" style="13" customWidth="1"/>
    <col min="4322" max="4322" width="32.42578125" style="13" customWidth="1"/>
    <col min="4323" max="4325" width="10.28515625" style="13" customWidth="1"/>
    <col min="4326" max="4327" width="12.42578125" style="13" customWidth="1"/>
    <col min="4328" max="4328" width="11.28515625" style="13" customWidth="1"/>
    <col min="4329" max="4329" width="12.42578125" style="13" customWidth="1"/>
    <col min="4330" max="4330" width="11.28515625" style="13" customWidth="1"/>
    <col min="4331" max="4331" width="12.42578125" style="13" customWidth="1"/>
    <col min="4332" max="4332" width="11.28515625" style="13" customWidth="1"/>
    <col min="4333" max="4333" width="12.42578125" style="13" customWidth="1"/>
    <col min="4334" max="4334" width="11.28515625" style="13" customWidth="1"/>
    <col min="4335" max="4335" width="12.42578125" style="13" customWidth="1"/>
    <col min="4336" max="4336" width="11.28515625" style="13" customWidth="1"/>
    <col min="4337" max="4337" width="14.140625" style="13" customWidth="1"/>
    <col min="4338" max="4338" width="10.28515625" style="13" customWidth="1"/>
    <col min="4339" max="4339" width="17.140625" style="13" customWidth="1"/>
    <col min="4340" max="4340" width="12" style="13" customWidth="1"/>
    <col min="4341" max="4341" width="14.140625" style="13" customWidth="1"/>
    <col min="4342" max="4342" width="10.28515625" style="13" customWidth="1"/>
    <col min="4343" max="4343" width="17.140625" style="13" customWidth="1"/>
    <col min="4344" max="4344" width="12" style="13" customWidth="1"/>
    <col min="4345" max="4345" width="10.7109375" style="13" customWidth="1"/>
    <col min="4346" max="4348" width="0" style="13" hidden="1" customWidth="1"/>
    <col min="4349" max="4576" width="9.140625" style="13"/>
    <col min="4577" max="4577" width="5.140625" style="13" customWidth="1"/>
    <col min="4578" max="4578" width="32.42578125" style="13" customWidth="1"/>
    <col min="4579" max="4581" width="10.28515625" style="13" customWidth="1"/>
    <col min="4582" max="4583" width="12.42578125" style="13" customWidth="1"/>
    <col min="4584" max="4584" width="11.28515625" style="13" customWidth="1"/>
    <col min="4585" max="4585" width="12.42578125" style="13" customWidth="1"/>
    <col min="4586" max="4586" width="11.28515625" style="13" customWidth="1"/>
    <col min="4587" max="4587" width="12.42578125" style="13" customWidth="1"/>
    <col min="4588" max="4588" width="11.28515625" style="13" customWidth="1"/>
    <col min="4589" max="4589" width="12.42578125" style="13" customWidth="1"/>
    <col min="4590" max="4590" width="11.28515625" style="13" customWidth="1"/>
    <col min="4591" max="4591" width="12.42578125" style="13" customWidth="1"/>
    <col min="4592" max="4592" width="11.28515625" style="13" customWidth="1"/>
    <col min="4593" max="4593" width="14.140625" style="13" customWidth="1"/>
    <col min="4594" max="4594" width="10.28515625" style="13" customWidth="1"/>
    <col min="4595" max="4595" width="17.140625" style="13" customWidth="1"/>
    <col min="4596" max="4596" width="12" style="13" customWidth="1"/>
    <col min="4597" max="4597" width="14.140625" style="13" customWidth="1"/>
    <col min="4598" max="4598" width="10.28515625" style="13" customWidth="1"/>
    <col min="4599" max="4599" width="17.140625" style="13" customWidth="1"/>
    <col min="4600" max="4600" width="12" style="13" customWidth="1"/>
    <col min="4601" max="4601" width="10.7109375" style="13" customWidth="1"/>
    <col min="4602" max="4604" width="0" style="13" hidden="1" customWidth="1"/>
    <col min="4605" max="4832" width="9.140625" style="13"/>
    <col min="4833" max="4833" width="5.140625" style="13" customWidth="1"/>
    <col min="4834" max="4834" width="32.42578125" style="13" customWidth="1"/>
    <col min="4835" max="4837" width="10.28515625" style="13" customWidth="1"/>
    <col min="4838" max="4839" width="12.42578125" style="13" customWidth="1"/>
    <col min="4840" max="4840" width="11.28515625" style="13" customWidth="1"/>
    <col min="4841" max="4841" width="12.42578125" style="13" customWidth="1"/>
    <col min="4842" max="4842" width="11.28515625" style="13" customWidth="1"/>
    <col min="4843" max="4843" width="12.42578125" style="13" customWidth="1"/>
    <col min="4844" max="4844" width="11.28515625" style="13" customWidth="1"/>
    <col min="4845" max="4845" width="12.42578125" style="13" customWidth="1"/>
    <col min="4846" max="4846" width="11.28515625" style="13" customWidth="1"/>
    <col min="4847" max="4847" width="12.42578125" style="13" customWidth="1"/>
    <col min="4848" max="4848" width="11.28515625" style="13" customWidth="1"/>
    <col min="4849" max="4849" width="14.140625" style="13" customWidth="1"/>
    <col min="4850" max="4850" width="10.28515625" style="13" customWidth="1"/>
    <col min="4851" max="4851" width="17.140625" style="13" customWidth="1"/>
    <col min="4852" max="4852" width="12" style="13" customWidth="1"/>
    <col min="4853" max="4853" width="14.140625" style="13" customWidth="1"/>
    <col min="4854" max="4854" width="10.28515625" style="13" customWidth="1"/>
    <col min="4855" max="4855" width="17.140625" style="13" customWidth="1"/>
    <col min="4856" max="4856" width="12" style="13" customWidth="1"/>
    <col min="4857" max="4857" width="10.7109375" style="13" customWidth="1"/>
    <col min="4858" max="4860" width="0" style="13" hidden="1" customWidth="1"/>
    <col min="4861" max="5088" width="9.140625" style="13"/>
    <col min="5089" max="5089" width="5.140625" style="13" customWidth="1"/>
    <col min="5090" max="5090" width="32.42578125" style="13" customWidth="1"/>
    <col min="5091" max="5093" width="10.28515625" style="13" customWidth="1"/>
    <col min="5094" max="5095" width="12.42578125" style="13" customWidth="1"/>
    <col min="5096" max="5096" width="11.28515625" style="13" customWidth="1"/>
    <col min="5097" max="5097" width="12.42578125" style="13" customWidth="1"/>
    <col min="5098" max="5098" width="11.28515625" style="13" customWidth="1"/>
    <col min="5099" max="5099" width="12.42578125" style="13" customWidth="1"/>
    <col min="5100" max="5100" width="11.28515625" style="13" customWidth="1"/>
    <col min="5101" max="5101" width="12.42578125" style="13" customWidth="1"/>
    <col min="5102" max="5102" width="11.28515625" style="13" customWidth="1"/>
    <col min="5103" max="5103" width="12.42578125" style="13" customWidth="1"/>
    <col min="5104" max="5104" width="11.28515625" style="13" customWidth="1"/>
    <col min="5105" max="5105" width="14.140625" style="13" customWidth="1"/>
    <col min="5106" max="5106" width="10.28515625" style="13" customWidth="1"/>
    <col min="5107" max="5107" width="17.140625" style="13" customWidth="1"/>
    <col min="5108" max="5108" width="12" style="13" customWidth="1"/>
    <col min="5109" max="5109" width="14.140625" style="13" customWidth="1"/>
    <col min="5110" max="5110" width="10.28515625" style="13" customWidth="1"/>
    <col min="5111" max="5111" width="17.140625" style="13" customWidth="1"/>
    <col min="5112" max="5112" width="12" style="13" customWidth="1"/>
    <col min="5113" max="5113" width="10.7109375" style="13" customWidth="1"/>
    <col min="5114" max="5116" width="0" style="13" hidden="1" customWidth="1"/>
    <col min="5117" max="5344" width="9.140625" style="13"/>
    <col min="5345" max="5345" width="5.140625" style="13" customWidth="1"/>
    <col min="5346" max="5346" width="32.42578125" style="13" customWidth="1"/>
    <col min="5347" max="5349" width="10.28515625" style="13" customWidth="1"/>
    <col min="5350" max="5351" width="12.42578125" style="13" customWidth="1"/>
    <col min="5352" max="5352" width="11.28515625" style="13" customWidth="1"/>
    <col min="5353" max="5353" width="12.42578125" style="13" customWidth="1"/>
    <col min="5354" max="5354" width="11.28515625" style="13" customWidth="1"/>
    <col min="5355" max="5355" width="12.42578125" style="13" customWidth="1"/>
    <col min="5356" max="5356" width="11.28515625" style="13" customWidth="1"/>
    <col min="5357" max="5357" width="12.42578125" style="13" customWidth="1"/>
    <col min="5358" max="5358" width="11.28515625" style="13" customWidth="1"/>
    <col min="5359" max="5359" width="12.42578125" style="13" customWidth="1"/>
    <col min="5360" max="5360" width="11.28515625" style="13" customWidth="1"/>
    <col min="5361" max="5361" width="14.140625" style="13" customWidth="1"/>
    <col min="5362" max="5362" width="10.28515625" style="13" customWidth="1"/>
    <col min="5363" max="5363" width="17.140625" style="13" customWidth="1"/>
    <col min="5364" max="5364" width="12" style="13" customWidth="1"/>
    <col min="5365" max="5365" width="14.140625" style="13" customWidth="1"/>
    <col min="5366" max="5366" width="10.28515625" style="13" customWidth="1"/>
    <col min="5367" max="5367" width="17.140625" style="13" customWidth="1"/>
    <col min="5368" max="5368" width="12" style="13" customWidth="1"/>
    <col min="5369" max="5369" width="10.7109375" style="13" customWidth="1"/>
    <col min="5370" max="5372" width="0" style="13" hidden="1" customWidth="1"/>
    <col min="5373" max="5600" width="9.140625" style="13"/>
    <col min="5601" max="5601" width="5.140625" style="13" customWidth="1"/>
    <col min="5602" max="5602" width="32.42578125" style="13" customWidth="1"/>
    <col min="5603" max="5605" width="10.28515625" style="13" customWidth="1"/>
    <col min="5606" max="5607" width="12.42578125" style="13" customWidth="1"/>
    <col min="5608" max="5608" width="11.28515625" style="13" customWidth="1"/>
    <col min="5609" max="5609" width="12.42578125" style="13" customWidth="1"/>
    <col min="5610" max="5610" width="11.28515625" style="13" customWidth="1"/>
    <col min="5611" max="5611" width="12.42578125" style="13" customWidth="1"/>
    <col min="5612" max="5612" width="11.28515625" style="13" customWidth="1"/>
    <col min="5613" max="5613" width="12.42578125" style="13" customWidth="1"/>
    <col min="5614" max="5614" width="11.28515625" style="13" customWidth="1"/>
    <col min="5615" max="5615" width="12.42578125" style="13" customWidth="1"/>
    <col min="5616" max="5616" width="11.28515625" style="13" customWidth="1"/>
    <col min="5617" max="5617" width="14.140625" style="13" customWidth="1"/>
    <col min="5618" max="5618" width="10.28515625" style="13" customWidth="1"/>
    <col min="5619" max="5619" width="17.140625" style="13" customWidth="1"/>
    <col min="5620" max="5620" width="12" style="13" customWidth="1"/>
    <col min="5621" max="5621" width="14.140625" style="13" customWidth="1"/>
    <col min="5622" max="5622" width="10.28515625" style="13" customWidth="1"/>
    <col min="5623" max="5623" width="17.140625" style="13" customWidth="1"/>
    <col min="5624" max="5624" width="12" style="13" customWidth="1"/>
    <col min="5625" max="5625" width="10.7109375" style="13" customWidth="1"/>
    <col min="5626" max="5628" width="0" style="13" hidden="1" customWidth="1"/>
    <col min="5629" max="5856" width="9.140625" style="13"/>
    <col min="5857" max="5857" width="5.140625" style="13" customWidth="1"/>
    <col min="5858" max="5858" width="32.42578125" style="13" customWidth="1"/>
    <col min="5859" max="5861" width="10.28515625" style="13" customWidth="1"/>
    <col min="5862" max="5863" width="12.42578125" style="13" customWidth="1"/>
    <col min="5864" max="5864" width="11.28515625" style="13" customWidth="1"/>
    <col min="5865" max="5865" width="12.42578125" style="13" customWidth="1"/>
    <col min="5866" max="5866" width="11.28515625" style="13" customWidth="1"/>
    <col min="5867" max="5867" width="12.42578125" style="13" customWidth="1"/>
    <col min="5868" max="5868" width="11.28515625" style="13" customWidth="1"/>
    <col min="5869" max="5869" width="12.42578125" style="13" customWidth="1"/>
    <col min="5870" max="5870" width="11.28515625" style="13" customWidth="1"/>
    <col min="5871" max="5871" width="12.42578125" style="13" customWidth="1"/>
    <col min="5872" max="5872" width="11.28515625" style="13" customWidth="1"/>
    <col min="5873" max="5873" width="14.140625" style="13" customWidth="1"/>
    <col min="5874" max="5874" width="10.28515625" style="13" customWidth="1"/>
    <col min="5875" max="5875" width="17.140625" style="13" customWidth="1"/>
    <col min="5876" max="5876" width="12" style="13" customWidth="1"/>
    <col min="5877" max="5877" width="14.140625" style="13" customWidth="1"/>
    <col min="5878" max="5878" width="10.28515625" style="13" customWidth="1"/>
    <col min="5879" max="5879" width="17.140625" style="13" customWidth="1"/>
    <col min="5880" max="5880" width="12" style="13" customWidth="1"/>
    <col min="5881" max="5881" width="10.7109375" style="13" customWidth="1"/>
    <col min="5882" max="5884" width="0" style="13" hidden="1" customWidth="1"/>
    <col min="5885" max="6112" width="9.140625" style="13"/>
    <col min="6113" max="6113" width="5.140625" style="13" customWidth="1"/>
    <col min="6114" max="6114" width="32.42578125" style="13" customWidth="1"/>
    <col min="6115" max="6117" width="10.28515625" style="13" customWidth="1"/>
    <col min="6118" max="6119" width="12.42578125" style="13" customWidth="1"/>
    <col min="6120" max="6120" width="11.28515625" style="13" customWidth="1"/>
    <col min="6121" max="6121" width="12.42578125" style="13" customWidth="1"/>
    <col min="6122" max="6122" width="11.28515625" style="13" customWidth="1"/>
    <col min="6123" max="6123" width="12.42578125" style="13" customWidth="1"/>
    <col min="6124" max="6124" width="11.28515625" style="13" customWidth="1"/>
    <col min="6125" max="6125" width="12.42578125" style="13" customWidth="1"/>
    <col min="6126" max="6126" width="11.28515625" style="13" customWidth="1"/>
    <col min="6127" max="6127" width="12.42578125" style="13" customWidth="1"/>
    <col min="6128" max="6128" width="11.28515625" style="13" customWidth="1"/>
    <col min="6129" max="6129" width="14.140625" style="13" customWidth="1"/>
    <col min="6130" max="6130" width="10.28515625" style="13" customWidth="1"/>
    <col min="6131" max="6131" width="17.140625" style="13" customWidth="1"/>
    <col min="6132" max="6132" width="12" style="13" customWidth="1"/>
    <col min="6133" max="6133" width="14.140625" style="13" customWidth="1"/>
    <col min="6134" max="6134" width="10.28515625" style="13" customWidth="1"/>
    <col min="6135" max="6135" width="17.140625" style="13" customWidth="1"/>
    <col min="6136" max="6136" width="12" style="13" customWidth="1"/>
    <col min="6137" max="6137" width="10.7109375" style="13" customWidth="1"/>
    <col min="6138" max="6140" width="0" style="13" hidden="1" customWidth="1"/>
    <col min="6141" max="6368" width="9.140625" style="13"/>
    <col min="6369" max="6369" width="5.140625" style="13" customWidth="1"/>
    <col min="6370" max="6370" width="32.42578125" style="13" customWidth="1"/>
    <col min="6371" max="6373" width="10.28515625" style="13" customWidth="1"/>
    <col min="6374" max="6375" width="12.42578125" style="13" customWidth="1"/>
    <col min="6376" max="6376" width="11.28515625" style="13" customWidth="1"/>
    <col min="6377" max="6377" width="12.42578125" style="13" customWidth="1"/>
    <col min="6378" max="6378" width="11.28515625" style="13" customWidth="1"/>
    <col min="6379" max="6379" width="12.42578125" style="13" customWidth="1"/>
    <col min="6380" max="6380" width="11.28515625" style="13" customWidth="1"/>
    <col min="6381" max="6381" width="12.42578125" style="13" customWidth="1"/>
    <col min="6382" max="6382" width="11.28515625" style="13" customWidth="1"/>
    <col min="6383" max="6383" width="12.42578125" style="13" customWidth="1"/>
    <col min="6384" max="6384" width="11.28515625" style="13" customWidth="1"/>
    <col min="6385" max="6385" width="14.140625" style="13" customWidth="1"/>
    <col min="6386" max="6386" width="10.28515625" style="13" customWidth="1"/>
    <col min="6387" max="6387" width="17.140625" style="13" customWidth="1"/>
    <col min="6388" max="6388" width="12" style="13" customWidth="1"/>
    <col min="6389" max="6389" width="14.140625" style="13" customWidth="1"/>
    <col min="6390" max="6390" width="10.28515625" style="13" customWidth="1"/>
    <col min="6391" max="6391" width="17.140625" style="13" customWidth="1"/>
    <col min="6392" max="6392" width="12" style="13" customWidth="1"/>
    <col min="6393" max="6393" width="10.7109375" style="13" customWidth="1"/>
    <col min="6394" max="6396" width="0" style="13" hidden="1" customWidth="1"/>
    <col min="6397" max="6624" width="9.140625" style="13"/>
    <col min="6625" max="6625" width="5.140625" style="13" customWidth="1"/>
    <col min="6626" max="6626" width="32.42578125" style="13" customWidth="1"/>
    <col min="6627" max="6629" width="10.28515625" style="13" customWidth="1"/>
    <col min="6630" max="6631" width="12.42578125" style="13" customWidth="1"/>
    <col min="6632" max="6632" width="11.28515625" style="13" customWidth="1"/>
    <col min="6633" max="6633" width="12.42578125" style="13" customWidth="1"/>
    <col min="6634" max="6634" width="11.28515625" style="13" customWidth="1"/>
    <col min="6635" max="6635" width="12.42578125" style="13" customWidth="1"/>
    <col min="6636" max="6636" width="11.28515625" style="13" customWidth="1"/>
    <col min="6637" max="6637" width="12.42578125" style="13" customWidth="1"/>
    <col min="6638" max="6638" width="11.28515625" style="13" customWidth="1"/>
    <col min="6639" max="6639" width="12.42578125" style="13" customWidth="1"/>
    <col min="6640" max="6640" width="11.28515625" style="13" customWidth="1"/>
    <col min="6641" max="6641" width="14.140625" style="13" customWidth="1"/>
    <col min="6642" max="6642" width="10.28515625" style="13" customWidth="1"/>
    <col min="6643" max="6643" width="17.140625" style="13" customWidth="1"/>
    <col min="6644" max="6644" width="12" style="13" customWidth="1"/>
    <col min="6645" max="6645" width="14.140625" style="13" customWidth="1"/>
    <col min="6646" max="6646" width="10.28515625" style="13" customWidth="1"/>
    <col min="6647" max="6647" width="17.140625" style="13" customWidth="1"/>
    <col min="6648" max="6648" width="12" style="13" customWidth="1"/>
    <col min="6649" max="6649" width="10.7109375" style="13" customWidth="1"/>
    <col min="6650" max="6652" width="0" style="13" hidden="1" customWidth="1"/>
    <col min="6653" max="6880" width="9.140625" style="13"/>
    <col min="6881" max="6881" width="5.140625" style="13" customWidth="1"/>
    <col min="6882" max="6882" width="32.42578125" style="13" customWidth="1"/>
    <col min="6883" max="6885" width="10.28515625" style="13" customWidth="1"/>
    <col min="6886" max="6887" width="12.42578125" style="13" customWidth="1"/>
    <col min="6888" max="6888" width="11.28515625" style="13" customWidth="1"/>
    <col min="6889" max="6889" width="12.42578125" style="13" customWidth="1"/>
    <col min="6890" max="6890" width="11.28515625" style="13" customWidth="1"/>
    <col min="6891" max="6891" width="12.42578125" style="13" customWidth="1"/>
    <col min="6892" max="6892" width="11.28515625" style="13" customWidth="1"/>
    <col min="6893" max="6893" width="12.42578125" style="13" customWidth="1"/>
    <col min="6894" max="6894" width="11.28515625" style="13" customWidth="1"/>
    <col min="6895" max="6895" width="12.42578125" style="13" customWidth="1"/>
    <col min="6896" max="6896" width="11.28515625" style="13" customWidth="1"/>
    <col min="6897" max="6897" width="14.140625" style="13" customWidth="1"/>
    <col min="6898" max="6898" width="10.28515625" style="13" customWidth="1"/>
    <col min="6899" max="6899" width="17.140625" style="13" customWidth="1"/>
    <col min="6900" max="6900" width="12" style="13" customWidth="1"/>
    <col min="6901" max="6901" width="14.140625" style="13" customWidth="1"/>
    <col min="6902" max="6902" width="10.28515625" style="13" customWidth="1"/>
    <col min="6903" max="6903" width="17.140625" style="13" customWidth="1"/>
    <col min="6904" max="6904" width="12" style="13" customWidth="1"/>
    <col min="6905" max="6905" width="10.7109375" style="13" customWidth="1"/>
    <col min="6906" max="6908" width="0" style="13" hidden="1" customWidth="1"/>
    <col min="6909" max="7136" width="9.140625" style="13"/>
    <col min="7137" max="7137" width="5.140625" style="13" customWidth="1"/>
    <col min="7138" max="7138" width="32.42578125" style="13" customWidth="1"/>
    <col min="7139" max="7141" width="10.28515625" style="13" customWidth="1"/>
    <col min="7142" max="7143" width="12.42578125" style="13" customWidth="1"/>
    <col min="7144" max="7144" width="11.28515625" style="13" customWidth="1"/>
    <col min="7145" max="7145" width="12.42578125" style="13" customWidth="1"/>
    <col min="7146" max="7146" width="11.28515625" style="13" customWidth="1"/>
    <col min="7147" max="7147" width="12.42578125" style="13" customWidth="1"/>
    <col min="7148" max="7148" width="11.28515625" style="13" customWidth="1"/>
    <col min="7149" max="7149" width="12.42578125" style="13" customWidth="1"/>
    <col min="7150" max="7150" width="11.28515625" style="13" customWidth="1"/>
    <col min="7151" max="7151" width="12.42578125" style="13" customWidth="1"/>
    <col min="7152" max="7152" width="11.28515625" style="13" customWidth="1"/>
    <col min="7153" max="7153" width="14.140625" style="13" customWidth="1"/>
    <col min="7154" max="7154" width="10.28515625" style="13" customWidth="1"/>
    <col min="7155" max="7155" width="17.140625" style="13" customWidth="1"/>
    <col min="7156" max="7156" width="12" style="13" customWidth="1"/>
    <col min="7157" max="7157" width="14.140625" style="13" customWidth="1"/>
    <col min="7158" max="7158" width="10.28515625" style="13" customWidth="1"/>
    <col min="7159" max="7159" width="17.140625" style="13" customWidth="1"/>
    <col min="7160" max="7160" width="12" style="13" customWidth="1"/>
    <col min="7161" max="7161" width="10.7109375" style="13" customWidth="1"/>
    <col min="7162" max="7164" width="0" style="13" hidden="1" customWidth="1"/>
    <col min="7165" max="7392" width="9.140625" style="13"/>
    <col min="7393" max="7393" width="5.140625" style="13" customWidth="1"/>
    <col min="7394" max="7394" width="32.42578125" style="13" customWidth="1"/>
    <col min="7395" max="7397" width="10.28515625" style="13" customWidth="1"/>
    <col min="7398" max="7399" width="12.42578125" style="13" customWidth="1"/>
    <col min="7400" max="7400" width="11.28515625" style="13" customWidth="1"/>
    <col min="7401" max="7401" width="12.42578125" style="13" customWidth="1"/>
    <col min="7402" max="7402" width="11.28515625" style="13" customWidth="1"/>
    <col min="7403" max="7403" width="12.42578125" style="13" customWidth="1"/>
    <col min="7404" max="7404" width="11.28515625" style="13" customWidth="1"/>
    <col min="7405" max="7405" width="12.42578125" style="13" customWidth="1"/>
    <col min="7406" max="7406" width="11.28515625" style="13" customWidth="1"/>
    <col min="7407" max="7407" width="12.42578125" style="13" customWidth="1"/>
    <col min="7408" max="7408" width="11.28515625" style="13" customWidth="1"/>
    <col min="7409" max="7409" width="14.140625" style="13" customWidth="1"/>
    <col min="7410" max="7410" width="10.28515625" style="13" customWidth="1"/>
    <col min="7411" max="7411" width="17.140625" style="13" customWidth="1"/>
    <col min="7412" max="7412" width="12" style="13" customWidth="1"/>
    <col min="7413" max="7413" width="14.140625" style="13" customWidth="1"/>
    <col min="7414" max="7414" width="10.28515625" style="13" customWidth="1"/>
    <col min="7415" max="7415" width="17.140625" style="13" customWidth="1"/>
    <col min="7416" max="7416" width="12" style="13" customWidth="1"/>
    <col min="7417" max="7417" width="10.7109375" style="13" customWidth="1"/>
    <col min="7418" max="7420" width="0" style="13" hidden="1" customWidth="1"/>
    <col min="7421" max="7648" width="9.140625" style="13"/>
    <col min="7649" max="7649" width="5.140625" style="13" customWidth="1"/>
    <col min="7650" max="7650" width="32.42578125" style="13" customWidth="1"/>
    <col min="7651" max="7653" width="10.28515625" style="13" customWidth="1"/>
    <col min="7654" max="7655" width="12.42578125" style="13" customWidth="1"/>
    <col min="7656" max="7656" width="11.28515625" style="13" customWidth="1"/>
    <col min="7657" max="7657" width="12.42578125" style="13" customWidth="1"/>
    <col min="7658" max="7658" width="11.28515625" style="13" customWidth="1"/>
    <col min="7659" max="7659" width="12.42578125" style="13" customWidth="1"/>
    <col min="7660" max="7660" width="11.28515625" style="13" customWidth="1"/>
    <col min="7661" max="7661" width="12.42578125" style="13" customWidth="1"/>
    <col min="7662" max="7662" width="11.28515625" style="13" customWidth="1"/>
    <col min="7663" max="7663" width="12.42578125" style="13" customWidth="1"/>
    <col min="7664" max="7664" width="11.28515625" style="13" customWidth="1"/>
    <col min="7665" max="7665" width="14.140625" style="13" customWidth="1"/>
    <col min="7666" max="7666" width="10.28515625" style="13" customWidth="1"/>
    <col min="7667" max="7667" width="17.140625" style="13" customWidth="1"/>
    <col min="7668" max="7668" width="12" style="13" customWidth="1"/>
    <col min="7669" max="7669" width="14.140625" style="13" customWidth="1"/>
    <col min="7670" max="7670" width="10.28515625" style="13" customWidth="1"/>
    <col min="7671" max="7671" width="17.140625" style="13" customWidth="1"/>
    <col min="7672" max="7672" width="12" style="13" customWidth="1"/>
    <col min="7673" max="7673" width="10.7109375" style="13" customWidth="1"/>
    <col min="7674" max="7676" width="0" style="13" hidden="1" customWidth="1"/>
    <col min="7677" max="7904" width="9.140625" style="13"/>
    <col min="7905" max="7905" width="5.140625" style="13" customWidth="1"/>
    <col min="7906" max="7906" width="32.42578125" style="13" customWidth="1"/>
    <col min="7907" max="7909" width="10.28515625" style="13" customWidth="1"/>
    <col min="7910" max="7911" width="12.42578125" style="13" customWidth="1"/>
    <col min="7912" max="7912" width="11.28515625" style="13" customWidth="1"/>
    <col min="7913" max="7913" width="12.42578125" style="13" customWidth="1"/>
    <col min="7914" max="7914" width="11.28515625" style="13" customWidth="1"/>
    <col min="7915" max="7915" width="12.42578125" style="13" customWidth="1"/>
    <col min="7916" max="7916" width="11.28515625" style="13" customWidth="1"/>
    <col min="7917" max="7917" width="12.42578125" style="13" customWidth="1"/>
    <col min="7918" max="7918" width="11.28515625" style="13" customWidth="1"/>
    <col min="7919" max="7919" width="12.42578125" style="13" customWidth="1"/>
    <col min="7920" max="7920" width="11.28515625" style="13" customWidth="1"/>
    <col min="7921" max="7921" width="14.140625" style="13" customWidth="1"/>
    <col min="7922" max="7922" width="10.28515625" style="13" customWidth="1"/>
    <col min="7923" max="7923" width="17.140625" style="13" customWidth="1"/>
    <col min="7924" max="7924" width="12" style="13" customWidth="1"/>
    <col min="7925" max="7925" width="14.140625" style="13" customWidth="1"/>
    <col min="7926" max="7926" width="10.28515625" style="13" customWidth="1"/>
    <col min="7927" max="7927" width="17.140625" style="13" customWidth="1"/>
    <col min="7928" max="7928" width="12" style="13" customWidth="1"/>
    <col min="7929" max="7929" width="10.7109375" style="13" customWidth="1"/>
    <col min="7930" max="7932" width="0" style="13" hidden="1" customWidth="1"/>
    <col min="7933" max="8160" width="9.140625" style="13"/>
    <col min="8161" max="8161" width="5.140625" style="13" customWidth="1"/>
    <col min="8162" max="8162" width="32.42578125" style="13" customWidth="1"/>
    <col min="8163" max="8165" width="10.28515625" style="13" customWidth="1"/>
    <col min="8166" max="8167" width="12.42578125" style="13" customWidth="1"/>
    <col min="8168" max="8168" width="11.28515625" style="13" customWidth="1"/>
    <col min="8169" max="8169" width="12.42578125" style="13" customWidth="1"/>
    <col min="8170" max="8170" width="11.28515625" style="13" customWidth="1"/>
    <col min="8171" max="8171" width="12.42578125" style="13" customWidth="1"/>
    <col min="8172" max="8172" width="11.28515625" style="13" customWidth="1"/>
    <col min="8173" max="8173" width="12.42578125" style="13" customWidth="1"/>
    <col min="8174" max="8174" width="11.28515625" style="13" customWidth="1"/>
    <col min="8175" max="8175" width="12.42578125" style="13" customWidth="1"/>
    <col min="8176" max="8176" width="11.28515625" style="13" customWidth="1"/>
    <col min="8177" max="8177" width="14.140625" style="13" customWidth="1"/>
    <col min="8178" max="8178" width="10.28515625" style="13" customWidth="1"/>
    <col min="8179" max="8179" width="17.140625" style="13" customWidth="1"/>
    <col min="8180" max="8180" width="12" style="13" customWidth="1"/>
    <col min="8181" max="8181" width="14.140625" style="13" customWidth="1"/>
    <col min="8182" max="8182" width="10.28515625" style="13" customWidth="1"/>
    <col min="8183" max="8183" width="17.140625" style="13" customWidth="1"/>
    <col min="8184" max="8184" width="12" style="13" customWidth="1"/>
    <col min="8185" max="8185" width="10.7109375" style="13" customWidth="1"/>
    <col min="8186" max="8188" width="0" style="13" hidden="1" customWidth="1"/>
    <col min="8189" max="8416" width="9.140625" style="13"/>
    <col min="8417" max="8417" width="5.140625" style="13" customWidth="1"/>
    <col min="8418" max="8418" width="32.42578125" style="13" customWidth="1"/>
    <col min="8419" max="8421" width="10.28515625" style="13" customWidth="1"/>
    <col min="8422" max="8423" width="12.42578125" style="13" customWidth="1"/>
    <col min="8424" max="8424" width="11.28515625" style="13" customWidth="1"/>
    <col min="8425" max="8425" width="12.42578125" style="13" customWidth="1"/>
    <col min="8426" max="8426" width="11.28515625" style="13" customWidth="1"/>
    <col min="8427" max="8427" width="12.42578125" style="13" customWidth="1"/>
    <col min="8428" max="8428" width="11.28515625" style="13" customWidth="1"/>
    <col min="8429" max="8429" width="12.42578125" style="13" customWidth="1"/>
    <col min="8430" max="8430" width="11.28515625" style="13" customWidth="1"/>
    <col min="8431" max="8431" width="12.42578125" style="13" customWidth="1"/>
    <col min="8432" max="8432" width="11.28515625" style="13" customWidth="1"/>
    <col min="8433" max="8433" width="14.140625" style="13" customWidth="1"/>
    <col min="8434" max="8434" width="10.28515625" style="13" customWidth="1"/>
    <col min="8435" max="8435" width="17.140625" style="13" customWidth="1"/>
    <col min="8436" max="8436" width="12" style="13" customWidth="1"/>
    <col min="8437" max="8437" width="14.140625" style="13" customWidth="1"/>
    <col min="8438" max="8438" width="10.28515625" style="13" customWidth="1"/>
    <col min="8439" max="8439" width="17.140625" style="13" customWidth="1"/>
    <col min="8440" max="8440" width="12" style="13" customWidth="1"/>
    <col min="8441" max="8441" width="10.7109375" style="13" customWidth="1"/>
    <col min="8442" max="8444" width="0" style="13" hidden="1" customWidth="1"/>
    <col min="8445" max="8672" width="9.140625" style="13"/>
    <col min="8673" max="8673" width="5.140625" style="13" customWidth="1"/>
    <col min="8674" max="8674" width="32.42578125" style="13" customWidth="1"/>
    <col min="8675" max="8677" width="10.28515625" style="13" customWidth="1"/>
    <col min="8678" max="8679" width="12.42578125" style="13" customWidth="1"/>
    <col min="8680" max="8680" width="11.28515625" style="13" customWidth="1"/>
    <col min="8681" max="8681" width="12.42578125" style="13" customWidth="1"/>
    <col min="8682" max="8682" width="11.28515625" style="13" customWidth="1"/>
    <col min="8683" max="8683" width="12.42578125" style="13" customWidth="1"/>
    <col min="8684" max="8684" width="11.28515625" style="13" customWidth="1"/>
    <col min="8685" max="8685" width="12.42578125" style="13" customWidth="1"/>
    <col min="8686" max="8686" width="11.28515625" style="13" customWidth="1"/>
    <col min="8687" max="8687" width="12.42578125" style="13" customWidth="1"/>
    <col min="8688" max="8688" width="11.28515625" style="13" customWidth="1"/>
    <col min="8689" max="8689" width="14.140625" style="13" customWidth="1"/>
    <col min="8690" max="8690" width="10.28515625" style="13" customWidth="1"/>
    <col min="8691" max="8691" width="17.140625" style="13" customWidth="1"/>
    <col min="8692" max="8692" width="12" style="13" customWidth="1"/>
    <col min="8693" max="8693" width="14.140625" style="13" customWidth="1"/>
    <col min="8694" max="8694" width="10.28515625" style="13" customWidth="1"/>
    <col min="8695" max="8695" width="17.140625" style="13" customWidth="1"/>
    <col min="8696" max="8696" width="12" style="13" customWidth="1"/>
    <col min="8697" max="8697" width="10.7109375" style="13" customWidth="1"/>
    <col min="8698" max="8700" width="0" style="13" hidden="1" customWidth="1"/>
    <col min="8701" max="8928" width="9.140625" style="13"/>
    <col min="8929" max="8929" width="5.140625" style="13" customWidth="1"/>
    <col min="8930" max="8930" width="32.42578125" style="13" customWidth="1"/>
    <col min="8931" max="8933" width="10.28515625" style="13" customWidth="1"/>
    <col min="8934" max="8935" width="12.42578125" style="13" customWidth="1"/>
    <col min="8936" max="8936" width="11.28515625" style="13" customWidth="1"/>
    <col min="8937" max="8937" width="12.42578125" style="13" customWidth="1"/>
    <col min="8938" max="8938" width="11.28515625" style="13" customWidth="1"/>
    <col min="8939" max="8939" width="12.42578125" style="13" customWidth="1"/>
    <col min="8940" max="8940" width="11.28515625" style="13" customWidth="1"/>
    <col min="8941" max="8941" width="12.42578125" style="13" customWidth="1"/>
    <col min="8942" max="8942" width="11.28515625" style="13" customWidth="1"/>
    <col min="8943" max="8943" width="12.42578125" style="13" customWidth="1"/>
    <col min="8944" max="8944" width="11.28515625" style="13" customWidth="1"/>
    <col min="8945" max="8945" width="14.140625" style="13" customWidth="1"/>
    <col min="8946" max="8946" width="10.28515625" style="13" customWidth="1"/>
    <col min="8947" max="8947" width="17.140625" style="13" customWidth="1"/>
    <col min="8948" max="8948" width="12" style="13" customWidth="1"/>
    <col min="8949" max="8949" width="14.140625" style="13" customWidth="1"/>
    <col min="8950" max="8950" width="10.28515625" style="13" customWidth="1"/>
    <col min="8951" max="8951" width="17.140625" style="13" customWidth="1"/>
    <col min="8952" max="8952" width="12" style="13" customWidth="1"/>
    <col min="8953" max="8953" width="10.7109375" style="13" customWidth="1"/>
    <col min="8954" max="8956" width="0" style="13" hidden="1" customWidth="1"/>
    <col min="8957" max="9184" width="9.140625" style="13"/>
    <col min="9185" max="9185" width="5.140625" style="13" customWidth="1"/>
    <col min="9186" max="9186" width="32.42578125" style="13" customWidth="1"/>
    <col min="9187" max="9189" width="10.28515625" style="13" customWidth="1"/>
    <col min="9190" max="9191" width="12.42578125" style="13" customWidth="1"/>
    <col min="9192" max="9192" width="11.28515625" style="13" customWidth="1"/>
    <col min="9193" max="9193" width="12.42578125" style="13" customWidth="1"/>
    <col min="9194" max="9194" width="11.28515625" style="13" customWidth="1"/>
    <col min="9195" max="9195" width="12.42578125" style="13" customWidth="1"/>
    <col min="9196" max="9196" width="11.28515625" style="13" customWidth="1"/>
    <col min="9197" max="9197" width="12.42578125" style="13" customWidth="1"/>
    <col min="9198" max="9198" width="11.28515625" style="13" customWidth="1"/>
    <col min="9199" max="9199" width="12.42578125" style="13" customWidth="1"/>
    <col min="9200" max="9200" width="11.28515625" style="13" customWidth="1"/>
    <col min="9201" max="9201" width="14.140625" style="13" customWidth="1"/>
    <col min="9202" max="9202" width="10.28515625" style="13" customWidth="1"/>
    <col min="9203" max="9203" width="17.140625" style="13" customWidth="1"/>
    <col min="9204" max="9204" width="12" style="13" customWidth="1"/>
    <col min="9205" max="9205" width="14.140625" style="13" customWidth="1"/>
    <col min="9206" max="9206" width="10.28515625" style="13" customWidth="1"/>
    <col min="9207" max="9207" width="17.140625" style="13" customWidth="1"/>
    <col min="9208" max="9208" width="12" style="13" customWidth="1"/>
    <col min="9209" max="9209" width="10.7109375" style="13" customWidth="1"/>
    <col min="9210" max="9212" width="0" style="13" hidden="1" customWidth="1"/>
    <col min="9213" max="9440" width="9.140625" style="13"/>
    <col min="9441" max="9441" width="5.140625" style="13" customWidth="1"/>
    <col min="9442" max="9442" width="32.42578125" style="13" customWidth="1"/>
    <col min="9443" max="9445" width="10.28515625" style="13" customWidth="1"/>
    <col min="9446" max="9447" width="12.42578125" style="13" customWidth="1"/>
    <col min="9448" max="9448" width="11.28515625" style="13" customWidth="1"/>
    <col min="9449" max="9449" width="12.42578125" style="13" customWidth="1"/>
    <col min="9450" max="9450" width="11.28515625" style="13" customWidth="1"/>
    <col min="9451" max="9451" width="12.42578125" style="13" customWidth="1"/>
    <col min="9452" max="9452" width="11.28515625" style="13" customWidth="1"/>
    <col min="9453" max="9453" width="12.42578125" style="13" customWidth="1"/>
    <col min="9454" max="9454" width="11.28515625" style="13" customWidth="1"/>
    <col min="9455" max="9455" width="12.42578125" style="13" customWidth="1"/>
    <col min="9456" max="9456" width="11.28515625" style="13" customWidth="1"/>
    <col min="9457" max="9457" width="14.140625" style="13" customWidth="1"/>
    <col min="9458" max="9458" width="10.28515625" style="13" customWidth="1"/>
    <col min="9459" max="9459" width="17.140625" style="13" customWidth="1"/>
    <col min="9460" max="9460" width="12" style="13" customWidth="1"/>
    <col min="9461" max="9461" width="14.140625" style="13" customWidth="1"/>
    <col min="9462" max="9462" width="10.28515625" style="13" customWidth="1"/>
    <col min="9463" max="9463" width="17.140625" style="13" customWidth="1"/>
    <col min="9464" max="9464" width="12" style="13" customWidth="1"/>
    <col min="9465" max="9465" width="10.7109375" style="13" customWidth="1"/>
    <col min="9466" max="9468" width="0" style="13" hidden="1" customWidth="1"/>
    <col min="9469" max="9696" width="9.140625" style="13"/>
    <col min="9697" max="9697" width="5.140625" style="13" customWidth="1"/>
    <col min="9698" max="9698" width="32.42578125" style="13" customWidth="1"/>
    <col min="9699" max="9701" width="10.28515625" style="13" customWidth="1"/>
    <col min="9702" max="9703" width="12.42578125" style="13" customWidth="1"/>
    <col min="9704" max="9704" width="11.28515625" style="13" customWidth="1"/>
    <col min="9705" max="9705" width="12.42578125" style="13" customWidth="1"/>
    <col min="9706" max="9706" width="11.28515625" style="13" customWidth="1"/>
    <col min="9707" max="9707" width="12.42578125" style="13" customWidth="1"/>
    <col min="9708" max="9708" width="11.28515625" style="13" customWidth="1"/>
    <col min="9709" max="9709" width="12.42578125" style="13" customWidth="1"/>
    <col min="9710" max="9710" width="11.28515625" style="13" customWidth="1"/>
    <col min="9711" max="9711" width="12.42578125" style="13" customWidth="1"/>
    <col min="9712" max="9712" width="11.28515625" style="13" customWidth="1"/>
    <col min="9713" max="9713" width="14.140625" style="13" customWidth="1"/>
    <col min="9714" max="9714" width="10.28515625" style="13" customWidth="1"/>
    <col min="9715" max="9715" width="17.140625" style="13" customWidth="1"/>
    <col min="9716" max="9716" width="12" style="13" customWidth="1"/>
    <col min="9717" max="9717" width="14.140625" style="13" customWidth="1"/>
    <col min="9718" max="9718" width="10.28515625" style="13" customWidth="1"/>
    <col min="9719" max="9719" width="17.140625" style="13" customWidth="1"/>
    <col min="9720" max="9720" width="12" style="13" customWidth="1"/>
    <col min="9721" max="9721" width="10.7109375" style="13" customWidth="1"/>
    <col min="9722" max="9724" width="0" style="13" hidden="1" customWidth="1"/>
    <col min="9725" max="9952" width="9.140625" style="13"/>
    <col min="9953" max="9953" width="5.140625" style="13" customWidth="1"/>
    <col min="9954" max="9954" width="32.42578125" style="13" customWidth="1"/>
    <col min="9955" max="9957" width="10.28515625" style="13" customWidth="1"/>
    <col min="9958" max="9959" width="12.42578125" style="13" customWidth="1"/>
    <col min="9960" max="9960" width="11.28515625" style="13" customWidth="1"/>
    <col min="9961" max="9961" width="12.42578125" style="13" customWidth="1"/>
    <col min="9962" max="9962" width="11.28515625" style="13" customWidth="1"/>
    <col min="9963" max="9963" width="12.42578125" style="13" customWidth="1"/>
    <col min="9964" max="9964" width="11.28515625" style="13" customWidth="1"/>
    <col min="9965" max="9965" width="12.42578125" style="13" customWidth="1"/>
    <col min="9966" max="9966" width="11.28515625" style="13" customWidth="1"/>
    <col min="9967" max="9967" width="12.42578125" style="13" customWidth="1"/>
    <col min="9968" max="9968" width="11.28515625" style="13" customWidth="1"/>
    <col min="9969" max="9969" width="14.140625" style="13" customWidth="1"/>
    <col min="9970" max="9970" width="10.28515625" style="13" customWidth="1"/>
    <col min="9971" max="9971" width="17.140625" style="13" customWidth="1"/>
    <col min="9972" max="9972" width="12" style="13" customWidth="1"/>
    <col min="9973" max="9973" width="14.140625" style="13" customWidth="1"/>
    <col min="9974" max="9974" width="10.28515625" style="13" customWidth="1"/>
    <col min="9975" max="9975" width="17.140625" style="13" customWidth="1"/>
    <col min="9976" max="9976" width="12" style="13" customWidth="1"/>
    <col min="9977" max="9977" width="10.7109375" style="13" customWidth="1"/>
    <col min="9978" max="9980" width="0" style="13" hidden="1" customWidth="1"/>
    <col min="9981" max="10208" width="9.140625" style="13"/>
    <col min="10209" max="10209" width="5.140625" style="13" customWidth="1"/>
    <col min="10210" max="10210" width="32.42578125" style="13" customWidth="1"/>
    <col min="10211" max="10213" width="10.28515625" style="13" customWidth="1"/>
    <col min="10214" max="10215" width="12.42578125" style="13" customWidth="1"/>
    <col min="10216" max="10216" width="11.28515625" style="13" customWidth="1"/>
    <col min="10217" max="10217" width="12.42578125" style="13" customWidth="1"/>
    <col min="10218" max="10218" width="11.28515625" style="13" customWidth="1"/>
    <col min="10219" max="10219" width="12.42578125" style="13" customWidth="1"/>
    <col min="10220" max="10220" width="11.28515625" style="13" customWidth="1"/>
    <col min="10221" max="10221" width="12.42578125" style="13" customWidth="1"/>
    <col min="10222" max="10222" width="11.28515625" style="13" customWidth="1"/>
    <col min="10223" max="10223" width="12.42578125" style="13" customWidth="1"/>
    <col min="10224" max="10224" width="11.28515625" style="13" customWidth="1"/>
    <col min="10225" max="10225" width="14.140625" style="13" customWidth="1"/>
    <col min="10226" max="10226" width="10.28515625" style="13" customWidth="1"/>
    <col min="10227" max="10227" width="17.140625" style="13" customWidth="1"/>
    <col min="10228" max="10228" width="12" style="13" customWidth="1"/>
    <col min="10229" max="10229" width="14.140625" style="13" customWidth="1"/>
    <col min="10230" max="10230" width="10.28515625" style="13" customWidth="1"/>
    <col min="10231" max="10231" width="17.140625" style="13" customWidth="1"/>
    <col min="10232" max="10232" width="12" style="13" customWidth="1"/>
    <col min="10233" max="10233" width="10.7109375" style="13" customWidth="1"/>
    <col min="10234" max="10236" width="0" style="13" hidden="1" customWidth="1"/>
    <col min="10237" max="10464" width="9.140625" style="13"/>
    <col min="10465" max="10465" width="5.140625" style="13" customWidth="1"/>
    <col min="10466" max="10466" width="32.42578125" style="13" customWidth="1"/>
    <col min="10467" max="10469" width="10.28515625" style="13" customWidth="1"/>
    <col min="10470" max="10471" width="12.42578125" style="13" customWidth="1"/>
    <col min="10472" max="10472" width="11.28515625" style="13" customWidth="1"/>
    <col min="10473" max="10473" width="12.42578125" style="13" customWidth="1"/>
    <col min="10474" max="10474" width="11.28515625" style="13" customWidth="1"/>
    <col min="10475" max="10475" width="12.42578125" style="13" customWidth="1"/>
    <col min="10476" max="10476" width="11.28515625" style="13" customWidth="1"/>
    <col min="10477" max="10477" width="12.42578125" style="13" customWidth="1"/>
    <col min="10478" max="10478" width="11.28515625" style="13" customWidth="1"/>
    <col min="10479" max="10479" width="12.42578125" style="13" customWidth="1"/>
    <col min="10480" max="10480" width="11.28515625" style="13" customWidth="1"/>
    <col min="10481" max="10481" width="14.140625" style="13" customWidth="1"/>
    <col min="10482" max="10482" width="10.28515625" style="13" customWidth="1"/>
    <col min="10483" max="10483" width="17.140625" style="13" customWidth="1"/>
    <col min="10484" max="10484" width="12" style="13" customWidth="1"/>
    <col min="10485" max="10485" width="14.140625" style="13" customWidth="1"/>
    <col min="10486" max="10486" width="10.28515625" style="13" customWidth="1"/>
    <col min="10487" max="10487" width="17.140625" style="13" customWidth="1"/>
    <col min="10488" max="10488" width="12" style="13" customWidth="1"/>
    <col min="10489" max="10489" width="10.7109375" style="13" customWidth="1"/>
    <col min="10490" max="10492" width="0" style="13" hidden="1" customWidth="1"/>
    <col min="10493" max="10720" width="9.140625" style="13"/>
    <col min="10721" max="10721" width="5.140625" style="13" customWidth="1"/>
    <col min="10722" max="10722" width="32.42578125" style="13" customWidth="1"/>
    <col min="10723" max="10725" width="10.28515625" style="13" customWidth="1"/>
    <col min="10726" max="10727" width="12.42578125" style="13" customWidth="1"/>
    <col min="10728" max="10728" width="11.28515625" style="13" customWidth="1"/>
    <col min="10729" max="10729" width="12.42578125" style="13" customWidth="1"/>
    <col min="10730" max="10730" width="11.28515625" style="13" customWidth="1"/>
    <col min="10731" max="10731" width="12.42578125" style="13" customWidth="1"/>
    <col min="10732" max="10732" width="11.28515625" style="13" customWidth="1"/>
    <col min="10733" max="10733" width="12.42578125" style="13" customWidth="1"/>
    <col min="10734" max="10734" width="11.28515625" style="13" customWidth="1"/>
    <col min="10735" max="10735" width="12.42578125" style="13" customWidth="1"/>
    <col min="10736" max="10736" width="11.28515625" style="13" customWidth="1"/>
    <col min="10737" max="10737" width="14.140625" style="13" customWidth="1"/>
    <col min="10738" max="10738" width="10.28515625" style="13" customWidth="1"/>
    <col min="10739" max="10739" width="17.140625" style="13" customWidth="1"/>
    <col min="10740" max="10740" width="12" style="13" customWidth="1"/>
    <col min="10741" max="10741" width="14.140625" style="13" customWidth="1"/>
    <col min="10742" max="10742" width="10.28515625" style="13" customWidth="1"/>
    <col min="10743" max="10743" width="17.140625" style="13" customWidth="1"/>
    <col min="10744" max="10744" width="12" style="13" customWidth="1"/>
    <col min="10745" max="10745" width="10.7109375" style="13" customWidth="1"/>
    <col min="10746" max="10748" width="0" style="13" hidden="1" customWidth="1"/>
    <col min="10749" max="10976" width="9.140625" style="13"/>
    <col min="10977" max="10977" width="5.140625" style="13" customWidth="1"/>
    <col min="10978" max="10978" width="32.42578125" style="13" customWidth="1"/>
    <col min="10979" max="10981" width="10.28515625" style="13" customWidth="1"/>
    <col min="10982" max="10983" width="12.42578125" style="13" customWidth="1"/>
    <col min="10984" max="10984" width="11.28515625" style="13" customWidth="1"/>
    <col min="10985" max="10985" width="12.42578125" style="13" customWidth="1"/>
    <col min="10986" max="10986" width="11.28515625" style="13" customWidth="1"/>
    <col min="10987" max="10987" width="12.42578125" style="13" customWidth="1"/>
    <col min="10988" max="10988" width="11.28515625" style="13" customWidth="1"/>
    <col min="10989" max="10989" width="12.42578125" style="13" customWidth="1"/>
    <col min="10990" max="10990" width="11.28515625" style="13" customWidth="1"/>
    <col min="10991" max="10991" width="12.42578125" style="13" customWidth="1"/>
    <col min="10992" max="10992" width="11.28515625" style="13" customWidth="1"/>
    <col min="10993" max="10993" width="14.140625" style="13" customWidth="1"/>
    <col min="10994" max="10994" width="10.28515625" style="13" customWidth="1"/>
    <col min="10995" max="10995" width="17.140625" style="13" customWidth="1"/>
    <col min="10996" max="10996" width="12" style="13" customWidth="1"/>
    <col min="10997" max="10997" width="14.140625" style="13" customWidth="1"/>
    <col min="10998" max="10998" width="10.28515625" style="13" customWidth="1"/>
    <col min="10999" max="10999" width="17.140625" style="13" customWidth="1"/>
    <col min="11000" max="11000" width="12" style="13" customWidth="1"/>
    <col min="11001" max="11001" width="10.7109375" style="13" customWidth="1"/>
    <col min="11002" max="11004" width="0" style="13" hidden="1" customWidth="1"/>
    <col min="11005" max="11232" width="9.140625" style="13"/>
    <col min="11233" max="11233" width="5.140625" style="13" customWidth="1"/>
    <col min="11234" max="11234" width="32.42578125" style="13" customWidth="1"/>
    <col min="11235" max="11237" width="10.28515625" style="13" customWidth="1"/>
    <col min="11238" max="11239" width="12.42578125" style="13" customWidth="1"/>
    <col min="11240" max="11240" width="11.28515625" style="13" customWidth="1"/>
    <col min="11241" max="11241" width="12.42578125" style="13" customWidth="1"/>
    <col min="11242" max="11242" width="11.28515625" style="13" customWidth="1"/>
    <col min="11243" max="11243" width="12.42578125" style="13" customWidth="1"/>
    <col min="11244" max="11244" width="11.28515625" style="13" customWidth="1"/>
    <col min="11245" max="11245" width="12.42578125" style="13" customWidth="1"/>
    <col min="11246" max="11246" width="11.28515625" style="13" customWidth="1"/>
    <col min="11247" max="11247" width="12.42578125" style="13" customWidth="1"/>
    <col min="11248" max="11248" width="11.28515625" style="13" customWidth="1"/>
    <col min="11249" max="11249" width="14.140625" style="13" customWidth="1"/>
    <col min="11250" max="11250" width="10.28515625" style="13" customWidth="1"/>
    <col min="11251" max="11251" width="17.140625" style="13" customWidth="1"/>
    <col min="11252" max="11252" width="12" style="13" customWidth="1"/>
    <col min="11253" max="11253" width="14.140625" style="13" customWidth="1"/>
    <col min="11254" max="11254" width="10.28515625" style="13" customWidth="1"/>
    <col min="11255" max="11255" width="17.140625" style="13" customWidth="1"/>
    <col min="11256" max="11256" width="12" style="13" customWidth="1"/>
    <col min="11257" max="11257" width="10.7109375" style="13" customWidth="1"/>
    <col min="11258" max="11260" width="0" style="13" hidden="1" customWidth="1"/>
    <col min="11261" max="11488" width="9.140625" style="13"/>
    <col min="11489" max="11489" width="5.140625" style="13" customWidth="1"/>
    <col min="11490" max="11490" width="32.42578125" style="13" customWidth="1"/>
    <col min="11491" max="11493" width="10.28515625" style="13" customWidth="1"/>
    <col min="11494" max="11495" width="12.42578125" style="13" customWidth="1"/>
    <col min="11496" max="11496" width="11.28515625" style="13" customWidth="1"/>
    <col min="11497" max="11497" width="12.42578125" style="13" customWidth="1"/>
    <col min="11498" max="11498" width="11.28515625" style="13" customWidth="1"/>
    <col min="11499" max="11499" width="12.42578125" style="13" customWidth="1"/>
    <col min="11500" max="11500" width="11.28515625" style="13" customWidth="1"/>
    <col min="11501" max="11501" width="12.42578125" style="13" customWidth="1"/>
    <col min="11502" max="11502" width="11.28515625" style="13" customWidth="1"/>
    <col min="11503" max="11503" width="12.42578125" style="13" customWidth="1"/>
    <col min="11504" max="11504" width="11.28515625" style="13" customWidth="1"/>
    <col min="11505" max="11505" width="14.140625" style="13" customWidth="1"/>
    <col min="11506" max="11506" width="10.28515625" style="13" customWidth="1"/>
    <col min="11507" max="11507" width="17.140625" style="13" customWidth="1"/>
    <col min="11508" max="11508" width="12" style="13" customWidth="1"/>
    <col min="11509" max="11509" width="14.140625" style="13" customWidth="1"/>
    <col min="11510" max="11510" width="10.28515625" style="13" customWidth="1"/>
    <col min="11511" max="11511" width="17.140625" style="13" customWidth="1"/>
    <col min="11512" max="11512" width="12" style="13" customWidth="1"/>
    <col min="11513" max="11513" width="10.7109375" style="13" customWidth="1"/>
    <col min="11514" max="11516" width="0" style="13" hidden="1" customWidth="1"/>
    <col min="11517" max="11744" width="9.140625" style="13"/>
    <col min="11745" max="11745" width="5.140625" style="13" customWidth="1"/>
    <col min="11746" max="11746" width="32.42578125" style="13" customWidth="1"/>
    <col min="11747" max="11749" width="10.28515625" style="13" customWidth="1"/>
    <col min="11750" max="11751" width="12.42578125" style="13" customWidth="1"/>
    <col min="11752" max="11752" width="11.28515625" style="13" customWidth="1"/>
    <col min="11753" max="11753" width="12.42578125" style="13" customWidth="1"/>
    <col min="11754" max="11754" width="11.28515625" style="13" customWidth="1"/>
    <col min="11755" max="11755" width="12.42578125" style="13" customWidth="1"/>
    <col min="11756" max="11756" width="11.28515625" style="13" customWidth="1"/>
    <col min="11757" max="11757" width="12.42578125" style="13" customWidth="1"/>
    <col min="11758" max="11758" width="11.28515625" style="13" customWidth="1"/>
    <col min="11759" max="11759" width="12.42578125" style="13" customWidth="1"/>
    <col min="11760" max="11760" width="11.28515625" style="13" customWidth="1"/>
    <col min="11761" max="11761" width="14.140625" style="13" customWidth="1"/>
    <col min="11762" max="11762" width="10.28515625" style="13" customWidth="1"/>
    <col min="11763" max="11763" width="17.140625" style="13" customWidth="1"/>
    <col min="11764" max="11764" width="12" style="13" customWidth="1"/>
    <col min="11765" max="11765" width="14.140625" style="13" customWidth="1"/>
    <col min="11766" max="11766" width="10.28515625" style="13" customWidth="1"/>
    <col min="11767" max="11767" width="17.140625" style="13" customWidth="1"/>
    <col min="11768" max="11768" width="12" style="13" customWidth="1"/>
    <col min="11769" max="11769" width="10.7109375" style="13" customWidth="1"/>
    <col min="11770" max="11772" width="0" style="13" hidden="1" customWidth="1"/>
    <col min="11773" max="12000" width="9.140625" style="13"/>
    <col min="12001" max="12001" width="5.140625" style="13" customWidth="1"/>
    <col min="12002" max="12002" width="32.42578125" style="13" customWidth="1"/>
    <col min="12003" max="12005" width="10.28515625" style="13" customWidth="1"/>
    <col min="12006" max="12007" width="12.42578125" style="13" customWidth="1"/>
    <col min="12008" max="12008" width="11.28515625" style="13" customWidth="1"/>
    <col min="12009" max="12009" width="12.42578125" style="13" customWidth="1"/>
    <col min="12010" max="12010" width="11.28515625" style="13" customWidth="1"/>
    <col min="12011" max="12011" width="12.42578125" style="13" customWidth="1"/>
    <col min="12012" max="12012" width="11.28515625" style="13" customWidth="1"/>
    <col min="12013" max="12013" width="12.42578125" style="13" customWidth="1"/>
    <col min="12014" max="12014" width="11.28515625" style="13" customWidth="1"/>
    <col min="12015" max="12015" width="12.42578125" style="13" customWidth="1"/>
    <col min="12016" max="12016" width="11.28515625" style="13" customWidth="1"/>
    <col min="12017" max="12017" width="14.140625" style="13" customWidth="1"/>
    <col min="12018" max="12018" width="10.28515625" style="13" customWidth="1"/>
    <col min="12019" max="12019" width="17.140625" style="13" customWidth="1"/>
    <col min="12020" max="12020" width="12" style="13" customWidth="1"/>
    <col min="12021" max="12021" width="14.140625" style="13" customWidth="1"/>
    <col min="12022" max="12022" width="10.28515625" style="13" customWidth="1"/>
    <col min="12023" max="12023" width="17.140625" style="13" customWidth="1"/>
    <col min="12024" max="12024" width="12" style="13" customWidth="1"/>
    <col min="12025" max="12025" width="10.7109375" style="13" customWidth="1"/>
    <col min="12026" max="12028" width="0" style="13" hidden="1" customWidth="1"/>
    <col min="12029" max="12256" width="9.140625" style="13"/>
    <col min="12257" max="12257" width="5.140625" style="13" customWidth="1"/>
    <col min="12258" max="12258" width="32.42578125" style="13" customWidth="1"/>
    <col min="12259" max="12261" width="10.28515625" style="13" customWidth="1"/>
    <col min="12262" max="12263" width="12.42578125" style="13" customWidth="1"/>
    <col min="12264" max="12264" width="11.28515625" style="13" customWidth="1"/>
    <col min="12265" max="12265" width="12.42578125" style="13" customWidth="1"/>
    <col min="12266" max="12266" width="11.28515625" style="13" customWidth="1"/>
    <col min="12267" max="12267" width="12.42578125" style="13" customWidth="1"/>
    <col min="12268" max="12268" width="11.28515625" style="13" customWidth="1"/>
    <col min="12269" max="12269" width="12.42578125" style="13" customWidth="1"/>
    <col min="12270" max="12270" width="11.28515625" style="13" customWidth="1"/>
    <col min="12271" max="12271" width="12.42578125" style="13" customWidth="1"/>
    <col min="12272" max="12272" width="11.28515625" style="13" customWidth="1"/>
    <col min="12273" max="12273" width="14.140625" style="13" customWidth="1"/>
    <col min="12274" max="12274" width="10.28515625" style="13" customWidth="1"/>
    <col min="12275" max="12275" width="17.140625" style="13" customWidth="1"/>
    <col min="12276" max="12276" width="12" style="13" customWidth="1"/>
    <col min="12277" max="12277" width="14.140625" style="13" customWidth="1"/>
    <col min="12278" max="12278" width="10.28515625" style="13" customWidth="1"/>
    <col min="12279" max="12279" width="17.140625" style="13" customWidth="1"/>
    <col min="12280" max="12280" width="12" style="13" customWidth="1"/>
    <col min="12281" max="12281" width="10.7109375" style="13" customWidth="1"/>
    <col min="12282" max="12284" width="0" style="13" hidden="1" customWidth="1"/>
    <col min="12285" max="12512" width="9.140625" style="13"/>
    <col min="12513" max="12513" width="5.140625" style="13" customWidth="1"/>
    <col min="12514" max="12514" width="32.42578125" style="13" customWidth="1"/>
    <col min="12515" max="12517" width="10.28515625" style="13" customWidth="1"/>
    <col min="12518" max="12519" width="12.42578125" style="13" customWidth="1"/>
    <col min="12520" max="12520" width="11.28515625" style="13" customWidth="1"/>
    <col min="12521" max="12521" width="12.42578125" style="13" customWidth="1"/>
    <col min="12522" max="12522" width="11.28515625" style="13" customWidth="1"/>
    <col min="12523" max="12523" width="12.42578125" style="13" customWidth="1"/>
    <col min="12524" max="12524" width="11.28515625" style="13" customWidth="1"/>
    <col min="12525" max="12525" width="12.42578125" style="13" customWidth="1"/>
    <col min="12526" max="12526" width="11.28515625" style="13" customWidth="1"/>
    <col min="12527" max="12527" width="12.42578125" style="13" customWidth="1"/>
    <col min="12528" max="12528" width="11.28515625" style="13" customWidth="1"/>
    <col min="12529" max="12529" width="14.140625" style="13" customWidth="1"/>
    <col min="12530" max="12530" width="10.28515625" style="13" customWidth="1"/>
    <col min="12531" max="12531" width="17.140625" style="13" customWidth="1"/>
    <col min="12532" max="12532" width="12" style="13" customWidth="1"/>
    <col min="12533" max="12533" width="14.140625" style="13" customWidth="1"/>
    <col min="12534" max="12534" width="10.28515625" style="13" customWidth="1"/>
    <col min="12535" max="12535" width="17.140625" style="13" customWidth="1"/>
    <col min="12536" max="12536" width="12" style="13" customWidth="1"/>
    <col min="12537" max="12537" width="10.7109375" style="13" customWidth="1"/>
    <col min="12538" max="12540" width="0" style="13" hidden="1" customWidth="1"/>
    <col min="12541" max="12768" width="9.140625" style="13"/>
    <col min="12769" max="12769" width="5.140625" style="13" customWidth="1"/>
    <col min="12770" max="12770" width="32.42578125" style="13" customWidth="1"/>
    <col min="12771" max="12773" width="10.28515625" style="13" customWidth="1"/>
    <col min="12774" max="12775" width="12.42578125" style="13" customWidth="1"/>
    <col min="12776" max="12776" width="11.28515625" style="13" customWidth="1"/>
    <col min="12777" max="12777" width="12.42578125" style="13" customWidth="1"/>
    <col min="12778" max="12778" width="11.28515625" style="13" customWidth="1"/>
    <col min="12779" max="12779" width="12.42578125" style="13" customWidth="1"/>
    <col min="12780" max="12780" width="11.28515625" style="13" customWidth="1"/>
    <col min="12781" max="12781" width="12.42578125" style="13" customWidth="1"/>
    <col min="12782" max="12782" width="11.28515625" style="13" customWidth="1"/>
    <col min="12783" max="12783" width="12.42578125" style="13" customWidth="1"/>
    <col min="12784" max="12784" width="11.28515625" style="13" customWidth="1"/>
    <col min="12785" max="12785" width="14.140625" style="13" customWidth="1"/>
    <col min="12786" max="12786" width="10.28515625" style="13" customWidth="1"/>
    <col min="12787" max="12787" width="17.140625" style="13" customWidth="1"/>
    <col min="12788" max="12788" width="12" style="13" customWidth="1"/>
    <col min="12789" max="12789" width="14.140625" style="13" customWidth="1"/>
    <col min="12790" max="12790" width="10.28515625" style="13" customWidth="1"/>
    <col min="12791" max="12791" width="17.140625" style="13" customWidth="1"/>
    <col min="12792" max="12792" width="12" style="13" customWidth="1"/>
    <col min="12793" max="12793" width="10.7109375" style="13" customWidth="1"/>
    <col min="12794" max="12796" width="0" style="13" hidden="1" customWidth="1"/>
    <col min="12797" max="13024" width="9.140625" style="13"/>
    <col min="13025" max="13025" width="5.140625" style="13" customWidth="1"/>
    <col min="13026" max="13026" width="32.42578125" style="13" customWidth="1"/>
    <col min="13027" max="13029" width="10.28515625" style="13" customWidth="1"/>
    <col min="13030" max="13031" width="12.42578125" style="13" customWidth="1"/>
    <col min="13032" max="13032" width="11.28515625" style="13" customWidth="1"/>
    <col min="13033" max="13033" width="12.42578125" style="13" customWidth="1"/>
    <col min="13034" max="13034" width="11.28515625" style="13" customWidth="1"/>
    <col min="13035" max="13035" width="12.42578125" style="13" customWidth="1"/>
    <col min="13036" max="13036" width="11.28515625" style="13" customWidth="1"/>
    <col min="13037" max="13037" width="12.42578125" style="13" customWidth="1"/>
    <col min="13038" max="13038" width="11.28515625" style="13" customWidth="1"/>
    <col min="13039" max="13039" width="12.42578125" style="13" customWidth="1"/>
    <col min="13040" max="13040" width="11.28515625" style="13" customWidth="1"/>
    <col min="13041" max="13041" width="14.140625" style="13" customWidth="1"/>
    <col min="13042" max="13042" width="10.28515625" style="13" customWidth="1"/>
    <col min="13043" max="13043" width="17.140625" style="13" customWidth="1"/>
    <col min="13044" max="13044" width="12" style="13" customWidth="1"/>
    <col min="13045" max="13045" width="14.140625" style="13" customWidth="1"/>
    <col min="13046" max="13046" width="10.28515625" style="13" customWidth="1"/>
    <col min="13047" max="13047" width="17.140625" style="13" customWidth="1"/>
    <col min="13048" max="13048" width="12" style="13" customWidth="1"/>
    <col min="13049" max="13049" width="10.7109375" style="13" customWidth="1"/>
    <col min="13050" max="13052" width="0" style="13" hidden="1" customWidth="1"/>
    <col min="13053" max="13280" width="9.140625" style="13"/>
    <col min="13281" max="13281" width="5.140625" style="13" customWidth="1"/>
    <col min="13282" max="13282" width="32.42578125" style="13" customWidth="1"/>
    <col min="13283" max="13285" width="10.28515625" style="13" customWidth="1"/>
    <col min="13286" max="13287" width="12.42578125" style="13" customWidth="1"/>
    <col min="13288" max="13288" width="11.28515625" style="13" customWidth="1"/>
    <col min="13289" max="13289" width="12.42578125" style="13" customWidth="1"/>
    <col min="13290" max="13290" width="11.28515625" style="13" customWidth="1"/>
    <col min="13291" max="13291" width="12.42578125" style="13" customWidth="1"/>
    <col min="13292" max="13292" width="11.28515625" style="13" customWidth="1"/>
    <col min="13293" max="13293" width="12.42578125" style="13" customWidth="1"/>
    <col min="13294" max="13294" width="11.28515625" style="13" customWidth="1"/>
    <col min="13295" max="13295" width="12.42578125" style="13" customWidth="1"/>
    <col min="13296" max="13296" width="11.28515625" style="13" customWidth="1"/>
    <col min="13297" max="13297" width="14.140625" style="13" customWidth="1"/>
    <col min="13298" max="13298" width="10.28515625" style="13" customWidth="1"/>
    <col min="13299" max="13299" width="17.140625" style="13" customWidth="1"/>
    <col min="13300" max="13300" width="12" style="13" customWidth="1"/>
    <col min="13301" max="13301" width="14.140625" style="13" customWidth="1"/>
    <col min="13302" max="13302" width="10.28515625" style="13" customWidth="1"/>
    <col min="13303" max="13303" width="17.140625" style="13" customWidth="1"/>
    <col min="13304" max="13304" width="12" style="13" customWidth="1"/>
    <col min="13305" max="13305" width="10.7109375" style="13" customWidth="1"/>
    <col min="13306" max="13308" width="0" style="13" hidden="1" customWidth="1"/>
    <col min="13309" max="13536" width="9.140625" style="13"/>
    <col min="13537" max="13537" width="5.140625" style="13" customWidth="1"/>
    <col min="13538" max="13538" width="32.42578125" style="13" customWidth="1"/>
    <col min="13539" max="13541" width="10.28515625" style="13" customWidth="1"/>
    <col min="13542" max="13543" width="12.42578125" style="13" customWidth="1"/>
    <col min="13544" max="13544" width="11.28515625" style="13" customWidth="1"/>
    <col min="13545" max="13545" width="12.42578125" style="13" customWidth="1"/>
    <col min="13546" max="13546" width="11.28515625" style="13" customWidth="1"/>
    <col min="13547" max="13547" width="12.42578125" style="13" customWidth="1"/>
    <col min="13548" max="13548" width="11.28515625" style="13" customWidth="1"/>
    <col min="13549" max="13549" width="12.42578125" style="13" customWidth="1"/>
    <col min="13550" max="13550" width="11.28515625" style="13" customWidth="1"/>
    <col min="13551" max="13551" width="12.42578125" style="13" customWidth="1"/>
    <col min="13552" max="13552" width="11.28515625" style="13" customWidth="1"/>
    <col min="13553" max="13553" width="14.140625" style="13" customWidth="1"/>
    <col min="13554" max="13554" width="10.28515625" style="13" customWidth="1"/>
    <col min="13555" max="13555" width="17.140625" style="13" customWidth="1"/>
    <col min="13556" max="13556" width="12" style="13" customWidth="1"/>
    <col min="13557" max="13557" width="14.140625" style="13" customWidth="1"/>
    <col min="13558" max="13558" width="10.28515625" style="13" customWidth="1"/>
    <col min="13559" max="13559" width="17.140625" style="13" customWidth="1"/>
    <col min="13560" max="13560" width="12" style="13" customWidth="1"/>
    <col min="13561" max="13561" width="10.7109375" style="13" customWidth="1"/>
    <col min="13562" max="13564" width="0" style="13" hidden="1" customWidth="1"/>
    <col min="13565" max="13792" width="9.140625" style="13"/>
    <col min="13793" max="13793" width="5.140625" style="13" customWidth="1"/>
    <col min="13794" max="13794" width="32.42578125" style="13" customWidth="1"/>
    <col min="13795" max="13797" width="10.28515625" style="13" customWidth="1"/>
    <col min="13798" max="13799" width="12.42578125" style="13" customWidth="1"/>
    <col min="13800" max="13800" width="11.28515625" style="13" customWidth="1"/>
    <col min="13801" max="13801" width="12.42578125" style="13" customWidth="1"/>
    <col min="13802" max="13802" width="11.28515625" style="13" customWidth="1"/>
    <col min="13803" max="13803" width="12.42578125" style="13" customWidth="1"/>
    <col min="13804" max="13804" width="11.28515625" style="13" customWidth="1"/>
    <col min="13805" max="13805" width="12.42578125" style="13" customWidth="1"/>
    <col min="13806" max="13806" width="11.28515625" style="13" customWidth="1"/>
    <col min="13807" max="13807" width="12.42578125" style="13" customWidth="1"/>
    <col min="13808" max="13808" width="11.28515625" style="13" customWidth="1"/>
    <col min="13809" max="13809" width="14.140625" style="13" customWidth="1"/>
    <col min="13810" max="13810" width="10.28515625" style="13" customWidth="1"/>
    <col min="13811" max="13811" width="17.140625" style="13" customWidth="1"/>
    <col min="13812" max="13812" width="12" style="13" customWidth="1"/>
    <col min="13813" max="13813" width="14.140625" style="13" customWidth="1"/>
    <col min="13814" max="13814" width="10.28515625" style="13" customWidth="1"/>
    <col min="13815" max="13815" width="17.140625" style="13" customWidth="1"/>
    <col min="13816" max="13816" width="12" style="13" customWidth="1"/>
    <col min="13817" max="13817" width="10.7109375" style="13" customWidth="1"/>
    <col min="13818" max="13820" width="0" style="13" hidden="1" customWidth="1"/>
    <col min="13821" max="14048" width="9.140625" style="13"/>
    <col min="14049" max="14049" width="5.140625" style="13" customWidth="1"/>
    <col min="14050" max="14050" width="32.42578125" style="13" customWidth="1"/>
    <col min="14051" max="14053" width="10.28515625" style="13" customWidth="1"/>
    <col min="14054" max="14055" width="12.42578125" style="13" customWidth="1"/>
    <col min="14056" max="14056" width="11.28515625" style="13" customWidth="1"/>
    <col min="14057" max="14057" width="12.42578125" style="13" customWidth="1"/>
    <col min="14058" max="14058" width="11.28515625" style="13" customWidth="1"/>
    <col min="14059" max="14059" width="12.42578125" style="13" customWidth="1"/>
    <col min="14060" max="14060" width="11.28515625" style="13" customWidth="1"/>
    <col min="14061" max="14061" width="12.42578125" style="13" customWidth="1"/>
    <col min="14062" max="14062" width="11.28515625" style="13" customWidth="1"/>
    <col min="14063" max="14063" width="12.42578125" style="13" customWidth="1"/>
    <col min="14064" max="14064" width="11.28515625" style="13" customWidth="1"/>
    <col min="14065" max="14065" width="14.140625" style="13" customWidth="1"/>
    <col min="14066" max="14066" width="10.28515625" style="13" customWidth="1"/>
    <col min="14067" max="14067" width="17.140625" style="13" customWidth="1"/>
    <col min="14068" max="14068" width="12" style="13" customWidth="1"/>
    <col min="14069" max="14069" width="14.140625" style="13" customWidth="1"/>
    <col min="14070" max="14070" width="10.28515625" style="13" customWidth="1"/>
    <col min="14071" max="14071" width="17.140625" style="13" customWidth="1"/>
    <col min="14072" max="14072" width="12" style="13" customWidth="1"/>
    <col min="14073" max="14073" width="10.7109375" style="13" customWidth="1"/>
    <col min="14074" max="14076" width="0" style="13" hidden="1" customWidth="1"/>
    <col min="14077" max="14304" width="9.140625" style="13"/>
    <col min="14305" max="14305" width="5.140625" style="13" customWidth="1"/>
    <col min="14306" max="14306" width="32.42578125" style="13" customWidth="1"/>
    <col min="14307" max="14309" width="10.28515625" style="13" customWidth="1"/>
    <col min="14310" max="14311" width="12.42578125" style="13" customWidth="1"/>
    <col min="14312" max="14312" width="11.28515625" style="13" customWidth="1"/>
    <col min="14313" max="14313" width="12.42578125" style="13" customWidth="1"/>
    <col min="14314" max="14314" width="11.28515625" style="13" customWidth="1"/>
    <col min="14315" max="14315" width="12.42578125" style="13" customWidth="1"/>
    <col min="14316" max="14316" width="11.28515625" style="13" customWidth="1"/>
    <col min="14317" max="14317" width="12.42578125" style="13" customWidth="1"/>
    <col min="14318" max="14318" width="11.28515625" style="13" customWidth="1"/>
    <col min="14319" max="14319" width="12.42578125" style="13" customWidth="1"/>
    <col min="14320" max="14320" width="11.28515625" style="13" customWidth="1"/>
    <col min="14321" max="14321" width="14.140625" style="13" customWidth="1"/>
    <col min="14322" max="14322" width="10.28515625" style="13" customWidth="1"/>
    <col min="14323" max="14323" width="17.140625" style="13" customWidth="1"/>
    <col min="14324" max="14324" width="12" style="13" customWidth="1"/>
    <col min="14325" max="14325" width="14.140625" style="13" customWidth="1"/>
    <col min="14326" max="14326" width="10.28515625" style="13" customWidth="1"/>
    <col min="14327" max="14327" width="17.140625" style="13" customWidth="1"/>
    <col min="14328" max="14328" width="12" style="13" customWidth="1"/>
    <col min="14329" max="14329" width="10.7109375" style="13" customWidth="1"/>
    <col min="14330" max="14332" width="0" style="13" hidden="1" customWidth="1"/>
    <col min="14333" max="14560" width="9.140625" style="13"/>
    <col min="14561" max="14561" width="5.140625" style="13" customWidth="1"/>
    <col min="14562" max="14562" width="32.42578125" style="13" customWidth="1"/>
    <col min="14563" max="14565" width="10.28515625" style="13" customWidth="1"/>
    <col min="14566" max="14567" width="12.42578125" style="13" customWidth="1"/>
    <col min="14568" max="14568" width="11.28515625" style="13" customWidth="1"/>
    <col min="14569" max="14569" width="12.42578125" style="13" customWidth="1"/>
    <col min="14570" max="14570" width="11.28515625" style="13" customWidth="1"/>
    <col min="14571" max="14571" width="12.42578125" style="13" customWidth="1"/>
    <col min="14572" max="14572" width="11.28515625" style="13" customWidth="1"/>
    <col min="14573" max="14573" width="12.42578125" style="13" customWidth="1"/>
    <col min="14574" max="14574" width="11.28515625" style="13" customWidth="1"/>
    <col min="14575" max="14575" width="12.42578125" style="13" customWidth="1"/>
    <col min="14576" max="14576" width="11.28515625" style="13" customWidth="1"/>
    <col min="14577" max="14577" width="14.140625" style="13" customWidth="1"/>
    <col min="14578" max="14578" width="10.28515625" style="13" customWidth="1"/>
    <col min="14579" max="14579" width="17.140625" style="13" customWidth="1"/>
    <col min="14580" max="14580" width="12" style="13" customWidth="1"/>
    <col min="14581" max="14581" width="14.140625" style="13" customWidth="1"/>
    <col min="14582" max="14582" width="10.28515625" style="13" customWidth="1"/>
    <col min="14583" max="14583" width="17.140625" style="13" customWidth="1"/>
    <col min="14584" max="14584" width="12" style="13" customWidth="1"/>
    <col min="14585" max="14585" width="10.7109375" style="13" customWidth="1"/>
    <col min="14586" max="14588" width="0" style="13" hidden="1" customWidth="1"/>
    <col min="14589" max="14816" width="9.140625" style="13"/>
    <col min="14817" max="14817" width="5.140625" style="13" customWidth="1"/>
    <col min="14818" max="14818" width="32.42578125" style="13" customWidth="1"/>
    <col min="14819" max="14821" width="10.28515625" style="13" customWidth="1"/>
    <col min="14822" max="14823" width="12.42578125" style="13" customWidth="1"/>
    <col min="14824" max="14824" width="11.28515625" style="13" customWidth="1"/>
    <col min="14825" max="14825" width="12.42578125" style="13" customWidth="1"/>
    <col min="14826" max="14826" width="11.28515625" style="13" customWidth="1"/>
    <col min="14827" max="14827" width="12.42578125" style="13" customWidth="1"/>
    <col min="14828" max="14828" width="11.28515625" style="13" customWidth="1"/>
    <col min="14829" max="14829" width="12.42578125" style="13" customWidth="1"/>
    <col min="14830" max="14830" width="11.28515625" style="13" customWidth="1"/>
    <col min="14831" max="14831" width="12.42578125" style="13" customWidth="1"/>
    <col min="14832" max="14832" width="11.28515625" style="13" customWidth="1"/>
    <col min="14833" max="14833" width="14.140625" style="13" customWidth="1"/>
    <col min="14834" max="14834" width="10.28515625" style="13" customWidth="1"/>
    <col min="14835" max="14835" width="17.140625" style="13" customWidth="1"/>
    <col min="14836" max="14836" width="12" style="13" customWidth="1"/>
    <col min="14837" max="14837" width="14.140625" style="13" customWidth="1"/>
    <col min="14838" max="14838" width="10.28515625" style="13" customWidth="1"/>
    <col min="14839" max="14839" width="17.140625" style="13" customWidth="1"/>
    <col min="14840" max="14840" width="12" style="13" customWidth="1"/>
    <col min="14841" max="14841" width="10.7109375" style="13" customWidth="1"/>
    <col min="14842" max="14844" width="0" style="13" hidden="1" customWidth="1"/>
    <col min="14845" max="15072" width="9.140625" style="13"/>
    <col min="15073" max="15073" width="5.140625" style="13" customWidth="1"/>
    <col min="15074" max="15074" width="32.42578125" style="13" customWidth="1"/>
    <col min="15075" max="15077" width="10.28515625" style="13" customWidth="1"/>
    <col min="15078" max="15079" width="12.42578125" style="13" customWidth="1"/>
    <col min="15080" max="15080" width="11.28515625" style="13" customWidth="1"/>
    <col min="15081" max="15081" width="12.42578125" style="13" customWidth="1"/>
    <col min="15082" max="15082" width="11.28515625" style="13" customWidth="1"/>
    <col min="15083" max="15083" width="12.42578125" style="13" customWidth="1"/>
    <col min="15084" max="15084" width="11.28515625" style="13" customWidth="1"/>
    <col min="15085" max="15085" width="12.42578125" style="13" customWidth="1"/>
    <col min="15086" max="15086" width="11.28515625" style="13" customWidth="1"/>
    <col min="15087" max="15087" width="12.42578125" style="13" customWidth="1"/>
    <col min="15088" max="15088" width="11.28515625" style="13" customWidth="1"/>
    <col min="15089" max="15089" width="14.140625" style="13" customWidth="1"/>
    <col min="15090" max="15090" width="10.28515625" style="13" customWidth="1"/>
    <col min="15091" max="15091" width="17.140625" style="13" customWidth="1"/>
    <col min="15092" max="15092" width="12" style="13" customWidth="1"/>
    <col min="15093" max="15093" width="14.140625" style="13" customWidth="1"/>
    <col min="15094" max="15094" width="10.28515625" style="13" customWidth="1"/>
    <col min="15095" max="15095" width="17.140625" style="13" customWidth="1"/>
    <col min="15096" max="15096" width="12" style="13" customWidth="1"/>
    <col min="15097" max="15097" width="10.7109375" style="13" customWidth="1"/>
    <col min="15098" max="15100" width="0" style="13" hidden="1" customWidth="1"/>
    <col min="15101" max="15328" width="9.140625" style="13"/>
    <col min="15329" max="15329" width="5.140625" style="13" customWidth="1"/>
    <col min="15330" max="15330" width="32.42578125" style="13" customWidth="1"/>
    <col min="15331" max="15333" width="10.28515625" style="13" customWidth="1"/>
    <col min="15334" max="15335" width="12.42578125" style="13" customWidth="1"/>
    <col min="15336" max="15336" width="11.28515625" style="13" customWidth="1"/>
    <col min="15337" max="15337" width="12.42578125" style="13" customWidth="1"/>
    <col min="15338" max="15338" width="11.28515625" style="13" customWidth="1"/>
    <col min="15339" max="15339" width="12.42578125" style="13" customWidth="1"/>
    <col min="15340" max="15340" width="11.28515625" style="13" customWidth="1"/>
    <col min="15341" max="15341" width="12.42578125" style="13" customWidth="1"/>
    <col min="15342" max="15342" width="11.28515625" style="13" customWidth="1"/>
    <col min="15343" max="15343" width="12.42578125" style="13" customWidth="1"/>
    <col min="15344" max="15344" width="11.28515625" style="13" customWidth="1"/>
    <col min="15345" max="15345" width="14.140625" style="13" customWidth="1"/>
    <col min="15346" max="15346" width="10.28515625" style="13" customWidth="1"/>
    <col min="15347" max="15347" width="17.140625" style="13" customWidth="1"/>
    <col min="15348" max="15348" width="12" style="13" customWidth="1"/>
    <col min="15349" max="15349" width="14.140625" style="13" customWidth="1"/>
    <col min="15350" max="15350" width="10.28515625" style="13" customWidth="1"/>
    <col min="15351" max="15351" width="17.140625" style="13" customWidth="1"/>
    <col min="15352" max="15352" width="12" style="13" customWidth="1"/>
    <col min="15353" max="15353" width="10.7109375" style="13" customWidth="1"/>
    <col min="15354" max="15356" width="0" style="13" hidden="1" customWidth="1"/>
    <col min="15357" max="15584" width="9.140625" style="13"/>
    <col min="15585" max="15585" width="5.140625" style="13" customWidth="1"/>
    <col min="15586" max="15586" width="32.42578125" style="13" customWidth="1"/>
    <col min="15587" max="15589" width="10.28515625" style="13" customWidth="1"/>
    <col min="15590" max="15591" width="12.42578125" style="13" customWidth="1"/>
    <col min="15592" max="15592" width="11.28515625" style="13" customWidth="1"/>
    <col min="15593" max="15593" width="12.42578125" style="13" customWidth="1"/>
    <col min="15594" max="15594" width="11.28515625" style="13" customWidth="1"/>
    <col min="15595" max="15595" width="12.42578125" style="13" customWidth="1"/>
    <col min="15596" max="15596" width="11.28515625" style="13" customWidth="1"/>
    <col min="15597" max="15597" width="12.42578125" style="13" customWidth="1"/>
    <col min="15598" max="15598" width="11.28515625" style="13" customWidth="1"/>
    <col min="15599" max="15599" width="12.42578125" style="13" customWidth="1"/>
    <col min="15600" max="15600" width="11.28515625" style="13" customWidth="1"/>
    <col min="15601" max="15601" width="14.140625" style="13" customWidth="1"/>
    <col min="15602" max="15602" width="10.28515625" style="13" customWidth="1"/>
    <col min="15603" max="15603" width="17.140625" style="13" customWidth="1"/>
    <col min="15604" max="15604" width="12" style="13" customWidth="1"/>
    <col min="15605" max="15605" width="14.140625" style="13" customWidth="1"/>
    <col min="15606" max="15606" width="10.28515625" style="13" customWidth="1"/>
    <col min="15607" max="15607" width="17.140625" style="13" customWidth="1"/>
    <col min="15608" max="15608" width="12" style="13" customWidth="1"/>
    <col min="15609" max="15609" width="10.7109375" style="13" customWidth="1"/>
    <col min="15610" max="15612" width="0" style="13" hidden="1" customWidth="1"/>
    <col min="15613" max="15840" width="9.140625" style="13"/>
    <col min="15841" max="15841" width="5.140625" style="13" customWidth="1"/>
    <col min="15842" max="15842" width="32.42578125" style="13" customWidth="1"/>
    <col min="15843" max="15845" width="10.28515625" style="13" customWidth="1"/>
    <col min="15846" max="15847" width="12.42578125" style="13" customWidth="1"/>
    <col min="15848" max="15848" width="11.28515625" style="13" customWidth="1"/>
    <col min="15849" max="15849" width="12.42578125" style="13" customWidth="1"/>
    <col min="15850" max="15850" width="11.28515625" style="13" customWidth="1"/>
    <col min="15851" max="15851" width="12.42578125" style="13" customWidth="1"/>
    <col min="15852" max="15852" width="11.28515625" style="13" customWidth="1"/>
    <col min="15853" max="15853" width="12.42578125" style="13" customWidth="1"/>
    <col min="15854" max="15854" width="11.28515625" style="13" customWidth="1"/>
    <col min="15855" max="15855" width="12.42578125" style="13" customWidth="1"/>
    <col min="15856" max="15856" width="11.28515625" style="13" customWidth="1"/>
    <col min="15857" max="15857" width="14.140625" style="13" customWidth="1"/>
    <col min="15858" max="15858" width="10.28515625" style="13" customWidth="1"/>
    <col min="15859" max="15859" width="17.140625" style="13" customWidth="1"/>
    <col min="15860" max="15860" width="12" style="13" customWidth="1"/>
    <col min="15861" max="15861" width="14.140625" style="13" customWidth="1"/>
    <col min="15862" max="15862" width="10.28515625" style="13" customWidth="1"/>
    <col min="15863" max="15863" width="17.140625" style="13" customWidth="1"/>
    <col min="15864" max="15864" width="12" style="13" customWidth="1"/>
    <col min="15865" max="15865" width="10.7109375" style="13" customWidth="1"/>
    <col min="15866" max="15868" width="0" style="13" hidden="1" customWidth="1"/>
    <col min="15869" max="16096" width="9.140625" style="13"/>
    <col min="16097" max="16097" width="5.140625" style="13" customWidth="1"/>
    <col min="16098" max="16098" width="32.42578125" style="13" customWidth="1"/>
    <col min="16099" max="16101" width="10.28515625" style="13" customWidth="1"/>
    <col min="16102" max="16103" width="12.42578125" style="13" customWidth="1"/>
    <col min="16104" max="16104" width="11.28515625" style="13" customWidth="1"/>
    <col min="16105" max="16105" width="12.42578125" style="13" customWidth="1"/>
    <col min="16106" max="16106" width="11.28515625" style="13" customWidth="1"/>
    <col min="16107" max="16107" width="12.42578125" style="13" customWidth="1"/>
    <col min="16108" max="16108" width="11.28515625" style="13" customWidth="1"/>
    <col min="16109" max="16109" width="12.42578125" style="13" customWidth="1"/>
    <col min="16110" max="16110" width="11.28515625" style="13" customWidth="1"/>
    <col min="16111" max="16111" width="12.42578125" style="13" customWidth="1"/>
    <col min="16112" max="16112" width="11.28515625" style="13" customWidth="1"/>
    <col min="16113" max="16113" width="14.140625" style="13" customWidth="1"/>
    <col min="16114" max="16114" width="10.28515625" style="13" customWidth="1"/>
    <col min="16115" max="16115" width="17.140625" style="13" customWidth="1"/>
    <col min="16116" max="16116" width="12" style="13" customWidth="1"/>
    <col min="16117" max="16117" width="14.140625" style="13" customWidth="1"/>
    <col min="16118" max="16118" width="10.28515625" style="13" customWidth="1"/>
    <col min="16119" max="16119" width="17.140625" style="13" customWidth="1"/>
    <col min="16120" max="16120" width="12" style="13" customWidth="1"/>
    <col min="16121" max="16121" width="10.7109375" style="13" customWidth="1"/>
    <col min="16122" max="16124" width="0" style="13" hidden="1" customWidth="1"/>
    <col min="16125" max="16384" width="9.140625" style="13"/>
  </cols>
  <sheetData>
    <row r="1" spans="1:17" ht="29.25" customHeight="1">
      <c r="A1" s="1711" t="s">
        <v>2397</v>
      </c>
      <c r="B1" s="1711"/>
      <c r="C1" s="1711"/>
      <c r="D1" s="1711"/>
      <c r="E1" s="1711"/>
      <c r="F1" s="1711"/>
      <c r="G1" s="1711"/>
      <c r="H1" s="1711"/>
      <c r="I1" s="1711"/>
      <c r="J1" s="1711"/>
      <c r="K1" s="1711"/>
      <c r="L1" s="1711"/>
      <c r="M1" s="1711"/>
      <c r="N1" s="1711"/>
      <c r="O1" s="1711"/>
      <c r="P1" s="1711"/>
    </row>
    <row r="2" spans="1:17" ht="27.75" customHeight="1">
      <c r="A2" s="1243" t="s">
        <v>2609</v>
      </c>
      <c r="B2" s="1645"/>
      <c r="C2" s="1645"/>
      <c r="D2" s="1645"/>
      <c r="E2" s="1645"/>
      <c r="F2" s="1645"/>
      <c r="G2" s="1645"/>
      <c r="H2" s="1645"/>
      <c r="I2" s="1645"/>
      <c r="J2" s="1645"/>
      <c r="K2" s="1645"/>
      <c r="L2" s="1645"/>
      <c r="M2" s="1645"/>
      <c r="N2" s="1645"/>
      <c r="O2" s="1645"/>
      <c r="P2" s="1645"/>
    </row>
    <row r="3" spans="1:17" s="15" customFormat="1" ht="20.25" customHeight="1">
      <c r="A3" s="1725" t="s">
        <v>3</v>
      </c>
      <c r="B3" s="1725"/>
      <c r="C3" s="1725"/>
      <c r="D3" s="1725"/>
      <c r="E3" s="1725"/>
      <c r="F3" s="1725"/>
      <c r="G3" s="1725"/>
      <c r="H3" s="1725"/>
      <c r="I3" s="1725"/>
      <c r="J3" s="1725"/>
      <c r="K3" s="1725"/>
      <c r="L3" s="1725"/>
      <c r="M3" s="1725"/>
      <c r="N3" s="1725"/>
      <c r="O3" s="1725"/>
      <c r="P3" s="1725"/>
      <c r="Q3" s="16"/>
    </row>
    <row r="4" spans="1:17" s="1585" customFormat="1" ht="30" customHeight="1">
      <c r="A4" s="1712" t="s">
        <v>22</v>
      </c>
      <c r="B4" s="1712" t="s">
        <v>23</v>
      </c>
      <c r="C4" s="1712" t="s">
        <v>24</v>
      </c>
      <c r="D4" s="1712" t="s">
        <v>290</v>
      </c>
      <c r="E4" s="1712" t="s">
        <v>1986</v>
      </c>
      <c r="F4" s="1715" t="s">
        <v>1987</v>
      </c>
      <c r="G4" s="1716"/>
      <c r="H4" s="1717"/>
      <c r="I4" s="1719" t="s">
        <v>279</v>
      </c>
      <c r="J4" s="1723"/>
      <c r="K4" s="1719" t="s">
        <v>280</v>
      </c>
      <c r="L4" s="1720"/>
      <c r="M4" s="1712" t="s">
        <v>2417</v>
      </c>
      <c r="N4" s="1719" t="s">
        <v>2594</v>
      </c>
      <c r="O4" s="1720"/>
      <c r="P4" s="1712" t="s">
        <v>2554</v>
      </c>
      <c r="Q4" s="1710" t="s">
        <v>7</v>
      </c>
    </row>
    <row r="5" spans="1:17" s="1585" customFormat="1" ht="45" customHeight="1">
      <c r="A5" s="1713"/>
      <c r="B5" s="1713"/>
      <c r="C5" s="1713"/>
      <c r="D5" s="1713"/>
      <c r="E5" s="1713"/>
      <c r="F5" s="1712" t="s">
        <v>30</v>
      </c>
      <c r="G5" s="1715" t="s">
        <v>31</v>
      </c>
      <c r="H5" s="1717"/>
      <c r="I5" s="1721"/>
      <c r="J5" s="1724"/>
      <c r="K5" s="1721"/>
      <c r="L5" s="1722"/>
      <c r="M5" s="1713"/>
      <c r="N5" s="1721"/>
      <c r="O5" s="1722"/>
      <c r="P5" s="1713"/>
      <c r="Q5" s="1710"/>
    </row>
    <row r="6" spans="1:17" s="1585" customFormat="1" ht="33.75" customHeight="1">
      <c r="A6" s="1713"/>
      <c r="B6" s="1713"/>
      <c r="C6" s="1713"/>
      <c r="D6" s="1713"/>
      <c r="E6" s="1713"/>
      <c r="F6" s="1713"/>
      <c r="G6" s="1712" t="s">
        <v>32</v>
      </c>
      <c r="H6" s="1712" t="s">
        <v>278</v>
      </c>
      <c r="I6" s="1712" t="s">
        <v>283</v>
      </c>
      <c r="J6" s="1712" t="s">
        <v>278</v>
      </c>
      <c r="K6" s="1712" t="s">
        <v>9</v>
      </c>
      <c r="L6" s="1712" t="s">
        <v>278</v>
      </c>
      <c r="M6" s="1713"/>
      <c r="N6" s="1712" t="s">
        <v>9</v>
      </c>
      <c r="O6" s="1712" t="s">
        <v>278</v>
      </c>
      <c r="P6" s="1713"/>
      <c r="Q6" s="1710"/>
    </row>
    <row r="7" spans="1:17" s="1585" customFormat="1" ht="45.75" customHeight="1">
      <c r="A7" s="1713"/>
      <c r="B7" s="1713"/>
      <c r="C7" s="1713"/>
      <c r="D7" s="1713"/>
      <c r="E7" s="1713"/>
      <c r="F7" s="1713"/>
      <c r="G7" s="1713"/>
      <c r="H7" s="1713"/>
      <c r="I7" s="1713"/>
      <c r="J7" s="1713"/>
      <c r="K7" s="1713"/>
      <c r="L7" s="1713"/>
      <c r="M7" s="1713"/>
      <c r="N7" s="1713"/>
      <c r="O7" s="1713"/>
      <c r="P7" s="1713"/>
      <c r="Q7" s="1710"/>
    </row>
    <row r="8" spans="1:17" s="1585" customFormat="1">
      <c r="A8" s="1714"/>
      <c r="B8" s="1714"/>
      <c r="C8" s="1714"/>
      <c r="D8" s="1714"/>
      <c r="E8" s="1714"/>
      <c r="F8" s="1714"/>
      <c r="G8" s="1714"/>
      <c r="H8" s="1714"/>
      <c r="I8" s="1714"/>
      <c r="J8" s="1714"/>
      <c r="K8" s="1714"/>
      <c r="L8" s="1714"/>
      <c r="M8" s="1714"/>
      <c r="N8" s="1714"/>
      <c r="O8" s="1714"/>
      <c r="P8" s="1714"/>
      <c r="Q8" s="1710"/>
    </row>
    <row r="9" spans="1:17" s="20" customFormat="1" ht="24" customHeight="1">
      <c r="A9" s="95">
        <v>1</v>
      </c>
      <c r="B9" s="95">
        <f>A9+1</f>
        <v>2</v>
      </c>
      <c r="C9" s="95">
        <f>B9+1</f>
        <v>3</v>
      </c>
      <c r="D9" s="95">
        <f t="shared" ref="D9:L9" si="0">C9+1</f>
        <v>4</v>
      </c>
      <c r="E9" s="95">
        <f t="shared" si="0"/>
        <v>5</v>
      </c>
      <c r="F9" s="95">
        <f t="shared" si="0"/>
        <v>6</v>
      </c>
      <c r="G9" s="95">
        <f t="shared" si="0"/>
        <v>7</v>
      </c>
      <c r="H9" s="95">
        <f t="shared" si="0"/>
        <v>8</v>
      </c>
      <c r="I9" s="95">
        <f t="shared" si="0"/>
        <v>9</v>
      </c>
      <c r="J9" s="95">
        <f t="shared" si="0"/>
        <v>10</v>
      </c>
      <c r="K9" s="95">
        <f t="shared" si="0"/>
        <v>11</v>
      </c>
      <c r="L9" s="95">
        <f t="shared" si="0"/>
        <v>12</v>
      </c>
      <c r="M9" s="95">
        <f t="shared" ref="M9" si="1">L9+1</f>
        <v>13</v>
      </c>
      <c r="N9" s="1227">
        <v>9</v>
      </c>
      <c r="O9" s="1227">
        <v>10</v>
      </c>
      <c r="P9" s="1227">
        <v>11</v>
      </c>
      <c r="Q9" s="1227">
        <v>12</v>
      </c>
    </row>
    <row r="10" spans="1:17" s="20" customFormat="1" ht="27" customHeight="1">
      <c r="A10" s="1227"/>
      <c r="B10" s="1228" t="s">
        <v>13</v>
      </c>
      <c r="C10" s="1227"/>
      <c r="D10" s="1227"/>
      <c r="E10" s="1227"/>
      <c r="F10" s="1227"/>
      <c r="G10" s="204">
        <f t="shared" ref="G10:P10" si="2">SUBTOTAL(109,G11:G31)</f>
        <v>908149.34</v>
      </c>
      <c r="H10" s="204">
        <f t="shared" si="2"/>
        <v>548173.46</v>
      </c>
      <c r="I10" s="204">
        <f t="shared" si="2"/>
        <v>263917</v>
      </c>
      <c r="J10" s="204">
        <f t="shared" si="2"/>
        <v>262217</v>
      </c>
      <c r="K10" s="204">
        <f t="shared" si="2"/>
        <v>173542.5</v>
      </c>
      <c r="L10" s="204">
        <f t="shared" si="2"/>
        <v>171842.5</v>
      </c>
      <c r="M10" s="204">
        <f t="shared" si="2"/>
        <v>62244</v>
      </c>
      <c r="N10" s="204">
        <f t="shared" si="2"/>
        <v>235786.5</v>
      </c>
      <c r="O10" s="204">
        <f t="shared" si="2"/>
        <v>234086.5</v>
      </c>
      <c r="P10" s="204">
        <f t="shared" si="2"/>
        <v>125886.72999999997</v>
      </c>
      <c r="Q10" s="1231"/>
    </row>
    <row r="11" spans="1:17" ht="48" customHeight="1">
      <c r="A11" s="1537" t="s">
        <v>33</v>
      </c>
      <c r="B11" s="1538" t="s">
        <v>2586</v>
      </c>
      <c r="C11" s="1229"/>
      <c r="D11" s="1229"/>
      <c r="E11" s="1229"/>
      <c r="F11" s="1229"/>
      <c r="G11" s="204">
        <f t="shared" ref="G11:L11" si="3">SUBTOTAL(109,G12:G25)</f>
        <v>868467.34</v>
      </c>
      <c r="H11" s="204">
        <f t="shared" si="3"/>
        <v>508491.45999999996</v>
      </c>
      <c r="I11" s="204">
        <f t="shared" si="3"/>
        <v>254921</v>
      </c>
      <c r="J11" s="204">
        <f t="shared" si="3"/>
        <v>253221</v>
      </c>
      <c r="K11" s="204">
        <f t="shared" si="3"/>
        <v>171544.5</v>
      </c>
      <c r="L11" s="204">
        <f t="shared" si="3"/>
        <v>169844.5</v>
      </c>
      <c r="M11" s="204">
        <f>SUBTOTAL(109,M12:M25)</f>
        <v>59096</v>
      </c>
      <c r="N11" s="204">
        <f t="shared" ref="N11:O11" si="4">SUBTOTAL(109,N12:N25)</f>
        <v>230640.5</v>
      </c>
      <c r="O11" s="204">
        <f t="shared" si="4"/>
        <v>228940.5</v>
      </c>
      <c r="P11" s="204">
        <f>SUBTOTAL(109,P12:P27)</f>
        <v>115886.72999999997</v>
      </c>
      <c r="Q11" s="1218"/>
    </row>
    <row r="12" spans="1:17" ht="57" hidden="1" customHeight="1">
      <c r="A12" s="1213">
        <v>1</v>
      </c>
      <c r="B12" s="1285" t="s">
        <v>1305</v>
      </c>
      <c r="C12" s="1216" t="str">
        <f>VLOOKUP($B12,DATA!$B$7:$AV$679,6,0)</f>
        <v>Quảng Trạch</v>
      </c>
      <c r="D12" s="1230">
        <f>VLOOKUP($B12,DATA!$B$7:$AV$679,7,0)</f>
        <v>2010</v>
      </c>
      <c r="E12" s="1230">
        <f>VLOOKUP($B12,DATA!$B$7:$AV$679,9,0)</f>
        <v>2019</v>
      </c>
      <c r="F12" s="1216" t="str">
        <f>VLOOKUP($B12,DATA!$B$7:$AV$679,12,0)</f>
        <v>1106/QĐ-UBND ngày 07/5/2014</v>
      </c>
      <c r="G12" s="1217">
        <f>VLOOKUP($B12,DATA!$B$7:$AV$679,13,0)</f>
        <v>122095</v>
      </c>
      <c r="H12" s="1217">
        <f>VLOOKUP($B12,DATA!$B$7:$AV$679,15,0)</f>
        <v>69246</v>
      </c>
      <c r="I12" s="1217">
        <f>VLOOKUP($B12,DATA!$B$7:$AV$679,29,0)</f>
        <v>60446</v>
      </c>
      <c r="J12" s="1217">
        <f>VLOOKUP($B12,DATA!$B$7:$AV$679,29,0)</f>
        <v>60446</v>
      </c>
      <c r="K12" s="1217">
        <f>VLOOKUP($B12,DATA!$B$7:$AV$679,36,0)</f>
        <v>51123</v>
      </c>
      <c r="L12" s="1217">
        <f>VLOOKUP($B12,DATA!$B$7:$AV$679,36,0)</f>
        <v>51123</v>
      </c>
      <c r="M12" s="1217">
        <v>9323</v>
      </c>
      <c r="N12" s="1217">
        <f>K12+M12</f>
        <v>60446</v>
      </c>
      <c r="O12" s="1217">
        <f>L12+M12</f>
        <v>60446</v>
      </c>
      <c r="P12" s="1217"/>
      <c r="Q12" s="1218"/>
    </row>
    <row r="13" spans="1:17" ht="66" customHeight="1">
      <c r="A13" s="1213">
        <v>1</v>
      </c>
      <c r="B13" s="1286" t="s">
        <v>1322</v>
      </c>
      <c r="C13" s="1216" t="str">
        <f>VLOOKUP($B13,DATA!$B$7:$AV$679,6,0)</f>
        <v>Quảng Bình</v>
      </c>
      <c r="D13" s="1230">
        <f>VLOOKUP($B13,DATA!$B$7:$AV$679,7,0)</f>
        <v>2016</v>
      </c>
      <c r="E13" s="1230">
        <f>VLOOKUP($B13,DATA!$B$7:$AV$679,9,0)</f>
        <v>2020</v>
      </c>
      <c r="F13" s="1216" t="str">
        <f>VLOOKUP($B13,DATA!$B$7:$AV$679,12,0)</f>
        <v>4638/QĐ-BNN-HTQT ngày 11/9/2015</v>
      </c>
      <c r="G13" s="1217">
        <f>VLOOKUP($B13,DATA!$B$7:$AV$679,13,0)</f>
        <v>14404</v>
      </c>
      <c r="H13" s="1217">
        <f>VLOOKUP($B13,DATA!$B$7:$AV$679,15,0)</f>
        <v>14404</v>
      </c>
      <c r="I13" s="1217">
        <f>VLOOKUP($B13,DATA!$B$7:$AV$679,29,0)</f>
        <v>14404</v>
      </c>
      <c r="J13" s="1217">
        <f>VLOOKUP($B13,DATA!$B$7:$AV$679,29,0)</f>
        <v>14404</v>
      </c>
      <c r="K13" s="1217">
        <f>VLOOKUP($B13,DATA!$B$7:$AV$679,36,0)</f>
        <v>10100</v>
      </c>
      <c r="L13" s="1217">
        <f>VLOOKUP($B13,DATA!$B$7:$AV$679,36,0)</f>
        <v>10100</v>
      </c>
      <c r="M13" s="1217">
        <f>4304-1084</f>
        <v>3220</v>
      </c>
      <c r="N13" s="1217">
        <f>K13+M13</f>
        <v>13320</v>
      </c>
      <c r="O13" s="1217">
        <f>L13+M13</f>
        <v>13320</v>
      </c>
      <c r="P13" s="1217">
        <v>1084</v>
      </c>
      <c r="Q13" s="1218"/>
    </row>
    <row r="14" spans="1:17" ht="79.5" customHeight="1">
      <c r="A14" s="1213">
        <v>2</v>
      </c>
      <c r="B14" s="1285" t="s">
        <v>1315</v>
      </c>
      <c r="C14" s="1216" t="str">
        <f>VLOOKUP($B14,DATA!$B$7:$AV$679,6,0)</f>
        <v>Quảng Bình</v>
      </c>
      <c r="D14" s="1230">
        <f>VLOOKUP($B14,DATA!$B$7:$AV$679,7,0)</f>
        <v>2012</v>
      </c>
      <c r="E14" s="1230">
        <f>VLOOKUP($B14,DATA!$B$7:$AV$679,9,0)</f>
        <v>2021</v>
      </c>
      <c r="F14" s="1216" t="str">
        <f>VLOOKUP($B14,DATA!$B$7:$AV$679,12,0)</f>
        <v xml:space="preserve">1828/QĐ-UBND ngày 10/8/2012; 3075/QĐ-UBND ngày 31/8/2017 </v>
      </c>
      <c r="G14" s="1217">
        <f>VLOOKUP($B14,DATA!$B$7:$AV$679,13,0)</f>
        <v>21367</v>
      </c>
      <c r="H14" s="1217">
        <f>VLOOKUP($B14,DATA!$B$7:$AV$679,15,0)</f>
        <v>20367</v>
      </c>
      <c r="I14" s="1217">
        <v>21667</v>
      </c>
      <c r="J14" s="1217">
        <f>VLOOKUP($B14,DATA!$B$7:$AV$679,29,0)</f>
        <v>19967</v>
      </c>
      <c r="K14" s="1217">
        <f>VLOOKUP($B14,DATA!$B$7:$AV$679,35,0)</f>
        <v>8899.5</v>
      </c>
      <c r="L14" s="1217">
        <f>VLOOKUP($B14,DATA!$B$7:$AV$679,36,0)</f>
        <v>7199.5</v>
      </c>
      <c r="M14" s="1217">
        <f>12767-12372</f>
        <v>395</v>
      </c>
      <c r="N14" s="1217">
        <f>K14+M14</f>
        <v>9294.5</v>
      </c>
      <c r="O14" s="1217">
        <f>L14+M14</f>
        <v>7594.5</v>
      </c>
      <c r="P14" s="1217">
        <v>2000</v>
      </c>
      <c r="Q14" s="1218"/>
    </row>
    <row r="15" spans="1:17" ht="78" customHeight="1">
      <c r="A15" s="1213">
        <v>3</v>
      </c>
      <c r="B15" s="1286" t="s">
        <v>1303</v>
      </c>
      <c r="C15" s="1216" t="str">
        <f>VLOOKUP($B15,DATA!$B$7:$AV$679,6,0)</f>
        <v>Quảng Bình</v>
      </c>
      <c r="D15" s="1230">
        <f>VLOOKUP($B15,DATA!$B$7:$AV$679,7,0)</f>
        <v>2016</v>
      </c>
      <c r="E15" s="1230">
        <f>VLOOKUP($B15,DATA!$B$7:$AV$679,9,0)</f>
        <v>2021</v>
      </c>
      <c r="F15" s="1216" t="str">
        <f>VLOOKUP($B15,DATA!$B$7:$AV$679,12,0)</f>
        <v xml:space="preserve">622/QĐ-BGTVT ngày 2/3/2016; 2949/QĐ-UBND 22/8/2017 </v>
      </c>
      <c r="G15" s="1217">
        <f>VLOOKUP($B15,DATA!$B$7:$AV$679,13,0)</f>
        <v>146500</v>
      </c>
      <c r="H15" s="1217">
        <f>VLOOKUP($B15,DATA!$B$7:$AV$679,15,0)</f>
        <v>10500</v>
      </c>
      <c r="I15" s="1217">
        <f>VLOOKUP($B15,DATA!$B$7:$AV$679,29,0)</f>
        <v>7350</v>
      </c>
      <c r="J15" s="1217">
        <f>VLOOKUP($B15,DATA!$B$7:$AV$679,29,0)</f>
        <v>7350</v>
      </c>
      <c r="K15" s="1217">
        <f>VLOOKUP($B15,DATA!$B$7:$AV$679,35,0)</f>
        <v>5425</v>
      </c>
      <c r="L15" s="1217">
        <f>VLOOKUP($B15,DATA!$B$7:$AV$679,36,0)</f>
        <v>5425</v>
      </c>
      <c r="M15" s="1217">
        <v>1925</v>
      </c>
      <c r="N15" s="1217">
        <f>K15+M15</f>
        <v>7350</v>
      </c>
      <c r="O15" s="1217">
        <f>L15+M15</f>
        <v>7350</v>
      </c>
      <c r="P15" s="1217">
        <v>2000</v>
      </c>
      <c r="Q15" s="1218"/>
    </row>
    <row r="16" spans="1:17" ht="77.25" hidden="1" customHeight="1">
      <c r="A16" s="1213">
        <v>5</v>
      </c>
      <c r="B16" s="1286" t="s">
        <v>1323</v>
      </c>
      <c r="C16" s="1216" t="str">
        <f>VLOOKUP($B16,DATA!$B$7:$AV$679,6,0)</f>
        <v>Quảng Bình</v>
      </c>
      <c r="D16" s="1230">
        <f>VLOOKUP($B16,DATA!$B$7:$AV$679,7,0)</f>
        <v>2017</v>
      </c>
      <c r="E16" s="1230">
        <f>VLOOKUP($B16,DATA!$B$7:$AV$679,9,0)</f>
        <v>2021</v>
      </c>
      <c r="F16" s="1216" t="str">
        <f>VLOOKUP($B16,DATA!$B$7:$AV$679,12,0)</f>
        <v>1236/QĐ-BTNMT ngày 30/5/2016; 896/QĐ-UBND ngày 21/3/2017</v>
      </c>
      <c r="G16" s="1217">
        <f>VLOOKUP($B16,DATA!$B$7:$AV$679,13,0)</f>
        <v>10125</v>
      </c>
      <c r="H16" s="1217">
        <f>VLOOKUP($B16,DATA!$B$7:$AV$679,15,0)</f>
        <v>10125</v>
      </c>
      <c r="I16" s="1217"/>
      <c r="J16" s="1217"/>
      <c r="K16" s="1217"/>
      <c r="L16" s="1217"/>
      <c r="M16" s="1217"/>
      <c r="N16" s="1217"/>
      <c r="O16" s="1217"/>
      <c r="P16" s="1217"/>
      <c r="Q16" s="1218"/>
    </row>
    <row r="17" spans="1:17" ht="93" customHeight="1">
      <c r="A17" s="1213">
        <v>4</v>
      </c>
      <c r="B17" s="1286" t="s">
        <v>1308</v>
      </c>
      <c r="C17" s="1216" t="str">
        <f>VLOOKUP($B17,DATA!$B$7:$AV$679,6,0)</f>
        <v>Đồng Hới</v>
      </c>
      <c r="D17" s="1230">
        <f>VLOOKUP($B17,DATA!$B$7:$AV$679,7,0)</f>
        <v>2017</v>
      </c>
      <c r="E17" s="1230">
        <f>VLOOKUP($B17,DATA!$B$7:$AV$679,9,0)</f>
        <v>2022</v>
      </c>
      <c r="F17" s="1216" t="str">
        <f>VLOOKUP($B17,DATA!$B$7:$AV$679,12,0)</f>
        <v>221/QĐ-UBND ngày 28/1/2015; 2681/QĐ-UBND ngày 29/9/2015: 3473/QĐ-UBND ngày 02/10/2017</v>
      </c>
      <c r="G17" s="1217">
        <f>VLOOKUP($B17,DATA!$B$7:$AV$679,13,0)</f>
        <v>176748</v>
      </c>
      <c r="H17" s="1217">
        <f>VLOOKUP($B17,DATA!$B$7:$AV$679,15,0)</f>
        <v>176748</v>
      </c>
      <c r="I17" s="1217">
        <f>VLOOKUP($B17,DATA!$B$7:$AV$679,29,0)</f>
        <v>83000</v>
      </c>
      <c r="J17" s="1217">
        <f>VLOOKUP($B17,DATA!$B$7:$AV$679,29,0)</f>
        <v>83000</v>
      </c>
      <c r="K17" s="1217">
        <f>VLOOKUP($B17,DATA!$B$7:$AV$679,36,0)</f>
        <v>62243</v>
      </c>
      <c r="L17" s="1217">
        <f>VLOOKUP($B17,DATA!$B$7:$AV$679,36,0)</f>
        <v>62243</v>
      </c>
      <c r="M17" s="1217">
        <v>20757</v>
      </c>
      <c r="N17" s="1217">
        <f>K17+M17</f>
        <v>83000</v>
      </c>
      <c r="O17" s="1217">
        <f>L17+M17</f>
        <v>83000</v>
      </c>
      <c r="P17" s="1217">
        <f>(H17-O17)/2</f>
        <v>46874</v>
      </c>
      <c r="Q17" s="1218"/>
    </row>
    <row r="18" spans="1:17" ht="69" customHeight="1">
      <c r="A18" s="1213">
        <v>5</v>
      </c>
      <c r="B18" s="1286" t="s">
        <v>1313</v>
      </c>
      <c r="C18" s="1216" t="str">
        <f>VLOOKUP($B18,DATA!$B$7:$AV$679,6,0)</f>
        <v>Đồng Hới</v>
      </c>
      <c r="D18" s="1230">
        <f>VLOOKUP($B18,DATA!$B$7:$AV$679,7,0)</f>
        <v>2017</v>
      </c>
      <c r="E18" s="1230">
        <f>VLOOKUP($B18,DATA!$B$7:$AV$679,9,0)</f>
        <v>2022</v>
      </c>
      <c r="F18" s="1216" t="str">
        <f>VLOOKUP($B18,DATA!$B$7:$AV$679,12,0)</f>
        <v>3520/QĐ-UBND ngày 31/10/2016</v>
      </c>
      <c r="G18" s="1217">
        <f>VLOOKUP($B18,DATA!$B$7:$AV$679,13,0)</f>
        <v>177769.33999999994</v>
      </c>
      <c r="H18" s="1217">
        <f>VLOOKUP($B18,DATA!$B$7:$AV$679,15,0)</f>
        <v>96413.459999999948</v>
      </c>
      <c r="I18" s="1217">
        <f>VLOOKUP($B18,DATA!$B$7:$AV$679,29,0)</f>
        <v>48000</v>
      </c>
      <c r="J18" s="1217">
        <f>VLOOKUP($B18,DATA!$B$7:$AV$679,29,0)</f>
        <v>48000</v>
      </c>
      <c r="K18" s="1217">
        <f>VLOOKUP($B18,DATA!$B$7:$AV$679,36,0)</f>
        <v>40207</v>
      </c>
      <c r="L18" s="1217">
        <f>VLOOKUP($B18,DATA!$B$7:$AV$679,36,0)</f>
        <v>40207</v>
      </c>
      <c r="M18" s="1217">
        <v>7793</v>
      </c>
      <c r="N18" s="1217">
        <f>K18+M18</f>
        <v>48000</v>
      </c>
      <c r="O18" s="1217">
        <f>L18+M18</f>
        <v>48000</v>
      </c>
      <c r="P18" s="1217">
        <f>(H18-O18)/2</f>
        <v>24206.729999999974</v>
      </c>
      <c r="Q18" s="1218"/>
    </row>
    <row r="19" spans="1:17" ht="85.5" customHeight="1">
      <c r="A19" s="1213">
        <v>6</v>
      </c>
      <c r="B19" s="1286" t="s">
        <v>1311</v>
      </c>
      <c r="C19" s="1216" t="str">
        <f>VLOOKUP($B19,DATA!$B$7:$AV$679,6,0)</f>
        <v>Quảng Bình</v>
      </c>
      <c r="D19" s="1230">
        <f>VLOOKUP($B19,DATA!$B$7:$AV$679,7,0)</f>
        <v>2018</v>
      </c>
      <c r="E19" s="1230">
        <f>VLOOKUP($B19,DATA!$B$7:$AV$679,9,0)</f>
        <v>2023</v>
      </c>
      <c r="F19" s="1216" t="str">
        <f>VLOOKUP($B19,DATA!$B$7:$AV$679,12,0)</f>
        <v xml:space="preserve">1769/QĐ-UBND ngày 30/5/2018 </v>
      </c>
      <c r="G19" s="1217">
        <f>VLOOKUP($B19,DATA!$B$7:$AV$679,13,0)</f>
        <v>259649.99999999997</v>
      </c>
      <c r="H19" s="1217">
        <f>VLOOKUP($B19,DATA!$B$7:$AV$679,15,0)</f>
        <v>118029.99999999997</v>
      </c>
      <c r="I19" s="1217">
        <f>VLOOKUP($B19,DATA!$B$7:$AV$679,29,0)</f>
        <v>61000</v>
      </c>
      <c r="J19" s="1217">
        <f>VLOOKUP($B19,DATA!$B$7:$AV$679,29,0)</f>
        <v>61000</v>
      </c>
      <c r="K19" s="1217">
        <f>VLOOKUP($B19,DATA!$B$7:$AV$679,35,0)</f>
        <v>40500</v>
      </c>
      <c r="L19" s="1217">
        <f>VLOOKUP($B19,DATA!$B$7:$AV$679,36,0)</f>
        <v>40500</v>
      </c>
      <c r="M19" s="1217">
        <v>20500</v>
      </c>
      <c r="N19" s="1217">
        <f>K19+M19</f>
        <v>61000</v>
      </c>
      <c r="O19" s="1217">
        <f>L19+M19</f>
        <v>61000</v>
      </c>
      <c r="P19" s="1217">
        <f>(H19-O19)/3</f>
        <v>19009.999999999989</v>
      </c>
      <c r="Q19" s="1218"/>
    </row>
    <row r="20" spans="1:17" ht="102" customHeight="1">
      <c r="A20" s="1213">
        <v>7</v>
      </c>
      <c r="B20" s="1286" t="s">
        <v>1330</v>
      </c>
      <c r="C20" s="1216" t="str">
        <f>VLOOKUP($B20,DATA!$B$7:$AV$679,6,0)</f>
        <v>Quảng Bình</v>
      </c>
      <c r="D20" s="1230">
        <f>VLOOKUP($B20,DATA!$B$7:$AV$679,7,0)</f>
        <v>2018</v>
      </c>
      <c r="E20" s="1230">
        <f>VLOOKUP($B20,DATA!$B$7:$AV$679,9,0)</f>
        <v>2023</v>
      </c>
      <c r="F20" s="1216" t="str">
        <f>VLOOKUP($B20,DATA!$B$7:$AV$679,12,0)</f>
        <v>548/QĐ-TTg ngày 21/4/2017
1757/QĐ-UBND ngày 19/5/2017
3479/QĐ-UBND ngày 13/9/2019</v>
      </c>
      <c r="G20" s="1217">
        <f>VLOOKUP($B20,DATA!$B$7:$AV$679,13,0)</f>
        <v>31330</v>
      </c>
      <c r="H20" s="1217">
        <f>VLOOKUP($B20,DATA!$B$7:$AV$679,15,0)</f>
        <v>31330</v>
      </c>
      <c r="I20" s="1217">
        <f>VLOOKUP($B20,DATA!$B$7:$AV$679,29,0)</f>
        <v>9500</v>
      </c>
      <c r="J20" s="1217">
        <f>VLOOKUP($B20,DATA!$B$7:$AV$679,29,0)</f>
        <v>9500</v>
      </c>
      <c r="K20" s="1217">
        <f>VLOOKUP($B20,DATA!$B$7:$AV$679,35,0)</f>
        <v>1500</v>
      </c>
      <c r="L20" s="1217">
        <f>VLOOKUP($B20,DATA!$B$7:$AV$679,36,0)</f>
        <v>1500</v>
      </c>
      <c r="M20" s="1217">
        <f>8000-6700</f>
        <v>1300</v>
      </c>
      <c r="N20" s="1217">
        <f>K20+M20</f>
        <v>2800</v>
      </c>
      <c r="O20" s="1217">
        <f>L20+M20</f>
        <v>2800</v>
      </c>
      <c r="P20" s="1217">
        <v>3362</v>
      </c>
      <c r="Q20" s="1218"/>
    </row>
    <row r="21" spans="1:17" ht="94.5" hidden="1" customHeight="1">
      <c r="A21" s="1213">
        <v>10</v>
      </c>
      <c r="B21" s="1232" t="s">
        <v>1332</v>
      </c>
      <c r="C21" s="1216" t="str">
        <f>VLOOKUP($B21,DATA!$B$7:$AV$679,6,0)</f>
        <v>Ba Đồn</v>
      </c>
      <c r="D21" s="1230">
        <f>VLOOKUP($B21,DATA!$B$7:$AV$679,7,0)</f>
        <v>2018</v>
      </c>
      <c r="E21" s="1230">
        <f>VLOOKUP($B21,DATA!$B$7:$AV$679,9,0)</f>
        <v>2020</v>
      </c>
      <c r="F21" s="1216" t="str">
        <f>VLOOKUP($B21,DATA!$B$7:$AV$679,12,0)</f>
        <v>3530/QĐ-UBND ngày 23/10/2018</v>
      </c>
      <c r="G21" s="1217">
        <f>VLOOKUP($B21,DATA!$B$7:$AV$679,13,0)</f>
        <v>3996</v>
      </c>
      <c r="H21" s="1217">
        <f>VLOOKUP($B21,DATA!$B$7:$AV$679,15,0)</f>
        <v>3996</v>
      </c>
      <c r="I21" s="1217">
        <f>VLOOKUP($B21,DATA!$B$7:$AV$679,29,0)</f>
        <v>3996</v>
      </c>
      <c r="J21" s="1217">
        <f>VLOOKUP($B21,DATA!$B$7:$AV$679,29,0)</f>
        <v>3996</v>
      </c>
      <c r="K21" s="1217">
        <f>VLOOKUP($B21,DATA!$B$7:$AV$679,35,0)</f>
        <v>1998</v>
      </c>
      <c r="L21" s="1217">
        <f>VLOOKUP($B21,DATA!$B$7:$AV$679,36,0)</f>
        <v>1998</v>
      </c>
      <c r="M21" s="1217">
        <v>1998</v>
      </c>
      <c r="N21" s="1217">
        <f t="shared" ref="N21:N22" si="5">K21+M21</f>
        <v>3996</v>
      </c>
      <c r="O21" s="1217">
        <f t="shared" ref="O21:O22" si="6">L21+M21</f>
        <v>3996</v>
      </c>
      <c r="P21" s="1217"/>
      <c r="Q21" s="1218"/>
    </row>
    <row r="22" spans="1:17" ht="13.5" hidden="1" customHeight="1">
      <c r="A22" s="1213">
        <v>11</v>
      </c>
      <c r="B22" s="1232" t="s">
        <v>1335</v>
      </c>
      <c r="C22" s="1216" t="str">
        <f>VLOOKUP($B22,DATA!$B$7:$AV$679,6,0)</f>
        <v>Đồng Hới</v>
      </c>
      <c r="D22" s="1230">
        <f>VLOOKUP($B22,DATA!$B$7:$AV$679,7,0)</f>
        <v>2018</v>
      </c>
      <c r="E22" s="1230">
        <f>VLOOKUP($B22,DATA!$B$7:$AV$679,9,0)</f>
        <v>2020</v>
      </c>
      <c r="F22" s="1216" t="str">
        <f>VLOOKUP($B22,DATA!$B$7:$AV$679,12,0)</f>
        <v>3355/QĐ-UBND ngày 10/10/2018</v>
      </c>
      <c r="G22" s="1217">
        <f>VLOOKUP($B22,DATA!$B$7:$AV$679,13,0)</f>
        <v>81000</v>
      </c>
      <c r="H22" s="1217">
        <f>VLOOKUP($B22,DATA!$B$7:$AV$679,15,0)</f>
        <v>6000</v>
      </c>
      <c r="I22" s="1217">
        <f>VLOOKUP($B22,DATA!$B$7:$AV$679,29,0)</f>
        <v>6000</v>
      </c>
      <c r="J22" s="1217">
        <f>VLOOKUP($B22,DATA!$B$7:$AV$679,29,0)</f>
        <v>6000</v>
      </c>
      <c r="K22" s="1217">
        <f>VLOOKUP($B22,DATA!$B$7:$AV$679,35,0)</f>
        <v>5829</v>
      </c>
      <c r="L22" s="1217">
        <f>VLOOKUP($B22,DATA!$B$7:$AV$679,36,0)</f>
        <v>5829</v>
      </c>
      <c r="M22" s="1217">
        <v>171</v>
      </c>
      <c r="N22" s="1217">
        <f t="shared" si="5"/>
        <v>6000</v>
      </c>
      <c r="O22" s="1217">
        <f t="shared" si="6"/>
        <v>6000</v>
      </c>
      <c r="P22" s="1217"/>
      <c r="Q22" s="1218"/>
    </row>
    <row r="23" spans="1:17" ht="81.75" customHeight="1">
      <c r="A23" s="1213">
        <v>8</v>
      </c>
      <c r="B23" s="1232" t="s">
        <v>1337</v>
      </c>
      <c r="C23" s="1216" t="str">
        <f>VLOOKUP($B23,DATA!$B$7:$AV$679,6,0)</f>
        <v>Quảng Bình</v>
      </c>
      <c r="D23" s="1230">
        <f>VLOOKUP($B23,DATA!$B$7:$AV$679,7,0)</f>
        <v>2019</v>
      </c>
      <c r="E23" s="1230">
        <f>VLOOKUP($B23,DATA!$B$7:$AV$679,9,0)</f>
        <v>2023</v>
      </c>
      <c r="F23" s="1216" t="str">
        <f>VLOOKUP($B23,DATA!$B$7:$AV$679,12,0)</f>
        <v>3590/QĐ-UBND ngày 25/10/2018; 1142/QĐ-UBND ngày 14/4/2020</v>
      </c>
      <c r="G23" s="1217">
        <f>VLOOKUP($B23,DATA!$B$7:$AV$679,13,0)</f>
        <v>40699</v>
      </c>
      <c r="H23" s="1217">
        <f>VLOOKUP($B23,DATA!$B$7:$AV$679,15,0)</f>
        <v>40699</v>
      </c>
      <c r="I23" s="1217">
        <f>VLOOKUP($B23,DATA!$B$7:$AV$679,29,0)</f>
        <v>10000</v>
      </c>
      <c r="J23" s="1217">
        <f>VLOOKUP($B23,DATA!$B$7:$AV$679,29,0)</f>
        <v>10000</v>
      </c>
      <c r="K23" s="1217">
        <f>VLOOKUP($B23,DATA!$B$7:$AV$679,35,0)</f>
        <v>2670</v>
      </c>
      <c r="L23" s="1217">
        <f>VLOOKUP($B23,DATA!$B$7:$AV$679,36,0)</f>
        <v>2670</v>
      </c>
      <c r="M23" s="1217">
        <f>7330-4124</f>
        <v>3206</v>
      </c>
      <c r="N23" s="1217">
        <f>K23+M23</f>
        <v>5876</v>
      </c>
      <c r="O23" s="1217">
        <f>L23+M23</f>
        <v>5876</v>
      </c>
      <c r="P23" s="1217">
        <v>8000</v>
      </c>
      <c r="Q23" s="1218"/>
    </row>
    <row r="24" spans="1:17" ht="81.75" hidden="1" customHeight="1">
      <c r="A24" s="1213">
        <v>13</v>
      </c>
      <c r="B24" s="1232" t="s">
        <v>2356</v>
      </c>
      <c r="C24" s="1216" t="str">
        <f>VLOOKUP($B24,DATA!$B$7:$AV$679,6,0)</f>
        <v>Quảng Bình</v>
      </c>
      <c r="D24" s="1230">
        <f>VLOOKUP($B24,DATA!$B$7:$AV$679,7,0)</f>
        <v>2018</v>
      </c>
      <c r="E24" s="1230">
        <f>VLOOKUP($B24,DATA!$B$7:$AV$679,9,0)</f>
        <v>2020</v>
      </c>
      <c r="F24" s="1216" t="str">
        <f>VLOOKUP($B24,DATA!$B$7:$AV$679,12,0)</f>
        <v>1787/QĐ-UBND ngày 27/5/2019</v>
      </c>
      <c r="G24" s="1217">
        <f>VLOOKUP($B24,DATA!$B$7:$AV$679,13,0)</f>
        <v>12965.618</v>
      </c>
      <c r="H24" s="1217">
        <f>VLOOKUP($B24,DATA!$B$7:$AV$679,15,0)</f>
        <v>12965.618</v>
      </c>
      <c r="I24" s="1217">
        <f>VLOOKUP($B24,DATA!$B$7:$AV$679,29,0)</f>
        <v>6966</v>
      </c>
      <c r="J24" s="1217">
        <f>VLOOKUP($B24,DATA!$B$7:$AV$679,29,0)</f>
        <v>6966</v>
      </c>
      <c r="K24" s="1217">
        <f>VLOOKUP($B24,DATA!$B$7:$AV$679,35,0)</f>
        <v>1423</v>
      </c>
      <c r="L24" s="1217">
        <f>VLOOKUP($B24,DATA!$B$7:$AV$679,36,0)</f>
        <v>1423</v>
      </c>
      <c r="M24" s="1217">
        <v>5543</v>
      </c>
      <c r="N24" s="1217">
        <f t="shared" ref="N24:N25" si="7">K24+M24</f>
        <v>6966</v>
      </c>
      <c r="O24" s="1217">
        <f t="shared" ref="O24:O25" si="8">L24+M24</f>
        <v>6966</v>
      </c>
      <c r="P24" s="1217"/>
      <c r="Q24" s="1218"/>
    </row>
    <row r="25" spans="1:17" ht="96.75" hidden="1" customHeight="1">
      <c r="A25" s="1213">
        <v>14</v>
      </c>
      <c r="B25" s="1286" t="s">
        <v>2346</v>
      </c>
      <c r="C25" s="1216" t="str">
        <f>VLOOKUP($B25,DATA!$B$7:$AV$679,6,0)</f>
        <v>Quảng Bình</v>
      </c>
      <c r="D25" s="1230">
        <f>VLOOKUP($B25,DATA!$B$7:$AV$679,7,0)</f>
        <v>2015</v>
      </c>
      <c r="E25" s="1230">
        <f>VLOOKUP($B25,DATA!$B$7:$AV$679,9,0)</f>
        <v>2020</v>
      </c>
      <c r="F25" s="1216" t="str">
        <f>VLOOKUP($B25,DATA!$B$7:$AV$679,12,0)</f>
        <v>3231, 3232, 3234/QĐ-UBND ngày 11/11/2015; 3542, 3543/QĐ-UBND ngày 09/12/2015</v>
      </c>
      <c r="G25" s="1217">
        <f>VLOOKUP($B25,DATA!$B$7:$AV$679,13,0)</f>
        <v>4217</v>
      </c>
      <c r="H25" s="1217">
        <f>VLOOKUP($B25,DATA!$B$7:$AV$679,15,0)</f>
        <v>4217</v>
      </c>
      <c r="I25" s="1217">
        <f>VLOOKUP($B25,DATA!$B$7:$AV$679,29,0)</f>
        <v>6231</v>
      </c>
      <c r="J25" s="1217">
        <f>VLOOKUP($B25,DATA!$B$7:$AV$679,29,0)</f>
        <v>6231</v>
      </c>
      <c r="K25" s="1217">
        <f>VLOOKUP($B25,DATA!$B$7:$AV$679,35,0)</f>
        <v>3717</v>
      </c>
      <c r="L25" s="1217">
        <f>VLOOKUP($B25,DATA!$B$7:$AV$679,36,0)</f>
        <v>3717</v>
      </c>
      <c r="M25" s="1217">
        <v>2514</v>
      </c>
      <c r="N25" s="1217">
        <f t="shared" si="7"/>
        <v>6231</v>
      </c>
      <c r="O25" s="1217">
        <f t="shared" si="8"/>
        <v>6231</v>
      </c>
      <c r="P25" s="1217"/>
      <c r="Q25" s="1218"/>
    </row>
    <row r="26" spans="1:17" ht="63" customHeight="1">
      <c r="A26" s="1213">
        <v>9</v>
      </c>
      <c r="B26" s="1232" t="s">
        <v>2578</v>
      </c>
      <c r="C26" s="1216" t="str">
        <f>VLOOKUP($B26,DATA!$B$7:$AV$679,6,0)</f>
        <v>Quảng Bình</v>
      </c>
      <c r="D26" s="1230">
        <f>VLOOKUP($B26,DATA!$B$7:$AV$679,7,0)</f>
        <v>2020</v>
      </c>
      <c r="E26" s="1230">
        <f>VLOOKUP($B26,DATA!$B$7:$AV$679,9,0)</f>
        <v>2024</v>
      </c>
      <c r="F26" s="1216" t="str">
        <f>VLOOKUP($B26,DATA!$B$7:$AV$679,12,0)</f>
        <v>324/QĐ-TTg ngày 23/3/2019; 1119/QĐ-UBND ngày 29/3/2019</v>
      </c>
      <c r="G26" s="1217">
        <f>VLOOKUP($B26,DATA!$B$7:$AV$679,13,0)</f>
        <v>35686</v>
      </c>
      <c r="H26" s="1217">
        <f>VLOOKUP($B26,DATA!$B$7:$AV$679,15,0)</f>
        <v>35686</v>
      </c>
      <c r="I26" s="1217">
        <f>VLOOKUP($B26,DATA!$B$7:$AV$679,29,0)</f>
        <v>5000</v>
      </c>
      <c r="J26" s="1217">
        <f>VLOOKUP($B26,DATA!$B$7:$AV$679,29,0)</f>
        <v>5000</v>
      </c>
      <c r="K26" s="1217">
        <f>VLOOKUP($B26,DATA!$B$7:$AV$679,35,0)</f>
        <v>0</v>
      </c>
      <c r="L26" s="1217">
        <f>VLOOKUP($B26,DATA!$B$7:$AV$679,36,0)</f>
        <v>0</v>
      </c>
      <c r="M26" s="1217">
        <f>5000-2500</f>
        <v>2500</v>
      </c>
      <c r="N26" s="1217">
        <f>K26+M26</f>
        <v>2500</v>
      </c>
      <c r="O26" s="1217">
        <f>L26+M26</f>
        <v>2500</v>
      </c>
      <c r="P26" s="1217">
        <v>8000</v>
      </c>
      <c r="Q26" s="1218"/>
    </row>
    <row r="27" spans="1:17" ht="100.5" customHeight="1">
      <c r="A27" s="1213">
        <v>10</v>
      </c>
      <c r="B27" s="1232" t="s">
        <v>1332</v>
      </c>
      <c r="C27" s="1216" t="str">
        <f>VLOOKUP($B27,DATA!$B$7:$AV$679,6,0)</f>
        <v>Ba Đồn</v>
      </c>
      <c r="D27" s="1230">
        <f>VLOOKUP($B27,DATA!$B$7:$AV$679,7,0)</f>
        <v>2018</v>
      </c>
      <c r="E27" s="1230">
        <f>VLOOKUP($B27,DATA!$B$7:$AV$679,9,0)</f>
        <v>2020</v>
      </c>
      <c r="F27" s="1216" t="str">
        <f>VLOOKUP($B27,DATA!$B$7:$AV$679,12,0)</f>
        <v>3530/QĐ-UBND ngày 23/10/2018</v>
      </c>
      <c r="G27" s="1217">
        <f>VLOOKUP($B27,DATA!$B$7:$AV$679,13,0)</f>
        <v>3996</v>
      </c>
      <c r="H27" s="1217">
        <f>VLOOKUP($B27,DATA!$B$7:$AV$679,15,0)</f>
        <v>3996</v>
      </c>
      <c r="I27" s="1217">
        <f>VLOOKUP($B27,DATA!$B$7:$AV$679,29,0)</f>
        <v>3996</v>
      </c>
      <c r="J27" s="1217">
        <f>VLOOKUP($B27,DATA!$B$7:$AV$679,29,0)</f>
        <v>3996</v>
      </c>
      <c r="K27" s="1217">
        <f>VLOOKUP($B27,DATA!$B$7:$AV$679,35,0)</f>
        <v>1998</v>
      </c>
      <c r="L27" s="1217">
        <f>VLOOKUP($B27,DATA!$B$7:$AV$679,36,0)</f>
        <v>1998</v>
      </c>
      <c r="M27" s="1217">
        <f>1998-1350</f>
        <v>648</v>
      </c>
      <c r="N27" s="1217">
        <f>K27+M27</f>
        <v>2646</v>
      </c>
      <c r="O27" s="1217">
        <f>L27+M27</f>
        <v>2646</v>
      </c>
      <c r="P27" s="1217">
        <v>1350</v>
      </c>
      <c r="Q27" s="1218"/>
    </row>
    <row r="28" spans="1:17" ht="93.75">
      <c r="A28" s="1656" t="s">
        <v>49</v>
      </c>
      <c r="B28" s="1595" t="s">
        <v>2574</v>
      </c>
      <c r="C28" s="1218"/>
      <c r="D28" s="1218"/>
      <c r="E28" s="1218"/>
      <c r="F28" s="1219"/>
      <c r="G28" s="1218"/>
      <c r="H28" s="1218"/>
      <c r="I28" s="1218"/>
      <c r="J28" s="1218"/>
      <c r="K28" s="1218"/>
      <c r="L28" s="1218"/>
      <c r="M28" s="1218"/>
      <c r="N28" s="1218"/>
      <c r="O28" s="1218"/>
      <c r="P28" s="1609">
        <v>10000</v>
      </c>
      <c r="Q28" s="1218"/>
    </row>
    <row r="29" spans="1:17">
      <c r="A29" s="13"/>
      <c r="B29" s="202"/>
      <c r="C29" s="13"/>
      <c r="D29" s="13"/>
      <c r="E29" s="13"/>
      <c r="F29" s="200"/>
      <c r="G29" s="13"/>
      <c r="H29" s="13"/>
      <c r="I29" s="13"/>
      <c r="J29" s="13"/>
      <c r="K29" s="13"/>
      <c r="L29" s="13"/>
      <c r="M29" s="13"/>
      <c r="N29" s="13"/>
      <c r="O29" s="13"/>
      <c r="P29" s="13"/>
    </row>
    <row r="30" spans="1:17">
      <c r="A30" s="13"/>
      <c r="B30" s="202"/>
      <c r="C30" s="13"/>
      <c r="D30" s="13"/>
      <c r="E30" s="13"/>
      <c r="F30" s="200"/>
      <c r="G30" s="13"/>
      <c r="H30" s="13"/>
      <c r="I30" s="13"/>
      <c r="J30" s="13"/>
      <c r="K30" s="13"/>
      <c r="L30" s="13"/>
      <c r="M30" s="13"/>
      <c r="N30" s="13"/>
      <c r="O30" s="13"/>
      <c r="P30" s="13"/>
    </row>
    <row r="31" spans="1:17">
      <c r="A31" s="13"/>
      <c r="B31" s="202"/>
      <c r="C31" s="13"/>
      <c r="D31" s="13"/>
      <c r="E31" s="13"/>
      <c r="F31" s="200"/>
      <c r="G31" s="13"/>
      <c r="H31" s="13"/>
      <c r="I31" s="13"/>
      <c r="J31" s="13"/>
      <c r="K31" s="13"/>
      <c r="L31" s="13"/>
      <c r="M31" s="13"/>
      <c r="N31" s="13"/>
      <c r="O31" s="13"/>
      <c r="P31" s="13"/>
    </row>
    <row r="32" spans="1:17">
      <c r="A32" s="13"/>
      <c r="B32" s="202"/>
      <c r="C32" s="13"/>
      <c r="D32" s="13"/>
      <c r="E32" s="13"/>
      <c r="F32" s="200"/>
      <c r="G32" s="13"/>
      <c r="H32" s="13"/>
      <c r="I32" s="13"/>
      <c r="J32" s="13"/>
      <c r="K32" s="13"/>
      <c r="L32" s="13"/>
      <c r="M32" s="13"/>
      <c r="N32" s="13"/>
      <c r="O32" s="13"/>
      <c r="P32" s="13"/>
    </row>
    <row r="33" spans="1:16">
      <c r="A33" s="13"/>
      <c r="B33" s="202"/>
      <c r="C33" s="13"/>
      <c r="D33" s="13"/>
      <c r="E33" s="13"/>
      <c r="F33" s="200"/>
      <c r="G33" s="13"/>
      <c r="H33" s="13"/>
      <c r="I33" s="13"/>
      <c r="J33" s="13"/>
      <c r="K33" s="13"/>
      <c r="L33" s="13"/>
      <c r="M33" s="13"/>
      <c r="N33" s="13"/>
      <c r="O33" s="13"/>
      <c r="P33" s="13"/>
    </row>
    <row r="34" spans="1:16">
      <c r="A34" s="13"/>
      <c r="B34" s="202"/>
      <c r="C34" s="13"/>
      <c r="D34" s="13"/>
      <c r="E34" s="13"/>
      <c r="F34" s="200"/>
      <c r="G34" s="13"/>
      <c r="H34" s="13"/>
      <c r="I34" s="13"/>
      <c r="J34" s="13"/>
      <c r="K34" s="13"/>
      <c r="L34" s="13"/>
      <c r="M34" s="13"/>
      <c r="N34" s="13"/>
      <c r="O34" s="13"/>
      <c r="P34" s="13"/>
    </row>
    <row r="35" spans="1:16">
      <c r="A35" s="13"/>
      <c r="B35" s="202"/>
      <c r="C35" s="13"/>
      <c r="D35" s="13"/>
      <c r="E35" s="13"/>
      <c r="F35" s="200"/>
      <c r="G35" s="13"/>
      <c r="H35" s="13"/>
      <c r="I35" s="13"/>
      <c r="J35" s="13"/>
      <c r="K35" s="13"/>
      <c r="L35" s="13"/>
      <c r="M35" s="13"/>
      <c r="N35" s="13"/>
      <c r="O35" s="13"/>
      <c r="P35" s="13"/>
    </row>
    <row r="36" spans="1:16">
      <c r="A36" s="13"/>
      <c r="B36" s="202"/>
      <c r="C36" s="13"/>
      <c r="D36" s="13"/>
      <c r="E36" s="13"/>
      <c r="F36" s="200"/>
      <c r="G36" s="13"/>
      <c r="H36" s="13"/>
      <c r="I36" s="13"/>
      <c r="J36" s="13"/>
      <c r="K36" s="13"/>
      <c r="L36" s="13"/>
      <c r="M36" s="13"/>
      <c r="N36" s="13"/>
      <c r="O36" s="13"/>
      <c r="P36" s="13"/>
    </row>
    <row r="37" spans="1:16">
      <c r="A37" s="13"/>
      <c r="B37" s="202"/>
      <c r="C37" s="13"/>
      <c r="D37" s="13"/>
      <c r="E37" s="13"/>
      <c r="F37" s="200"/>
      <c r="G37" s="13"/>
      <c r="H37" s="13"/>
      <c r="I37" s="13"/>
      <c r="J37" s="13"/>
      <c r="K37" s="13"/>
      <c r="L37" s="13"/>
      <c r="M37" s="13"/>
      <c r="N37" s="13"/>
      <c r="O37" s="13"/>
      <c r="P37" s="13"/>
    </row>
    <row r="38" spans="1:16">
      <c r="A38" s="13"/>
      <c r="B38" s="202"/>
      <c r="C38" s="13"/>
      <c r="D38" s="13"/>
      <c r="E38" s="13"/>
      <c r="F38" s="200"/>
      <c r="G38" s="13"/>
      <c r="H38" s="13"/>
      <c r="I38" s="13"/>
      <c r="J38" s="13"/>
      <c r="K38" s="13"/>
      <c r="L38" s="13"/>
      <c r="M38" s="13"/>
      <c r="N38" s="13"/>
      <c r="O38" s="13"/>
      <c r="P38" s="13"/>
    </row>
    <row r="39" spans="1:16">
      <c r="A39" s="13"/>
      <c r="B39" s="202"/>
      <c r="C39" s="13"/>
      <c r="D39" s="13"/>
      <c r="E39" s="13"/>
      <c r="F39" s="200"/>
      <c r="G39" s="13"/>
      <c r="H39" s="13"/>
      <c r="I39" s="13"/>
      <c r="J39" s="13"/>
      <c r="K39" s="13"/>
      <c r="L39" s="13"/>
      <c r="M39" s="13"/>
      <c r="N39" s="13"/>
      <c r="O39" s="13"/>
      <c r="P39" s="13"/>
    </row>
    <row r="40" spans="1:16">
      <c r="A40" s="13"/>
      <c r="B40" s="202"/>
      <c r="C40" s="13"/>
      <c r="D40" s="13"/>
      <c r="E40" s="13"/>
      <c r="F40" s="200"/>
      <c r="G40" s="13"/>
      <c r="H40" s="13"/>
      <c r="I40" s="13"/>
      <c r="J40" s="13"/>
      <c r="K40" s="13"/>
      <c r="L40" s="13"/>
      <c r="M40" s="13"/>
      <c r="N40" s="13"/>
      <c r="O40" s="13"/>
      <c r="P40" s="13"/>
    </row>
    <row r="41" spans="1:16">
      <c r="A41" s="13"/>
      <c r="B41" s="202"/>
      <c r="C41" s="13"/>
      <c r="D41" s="13"/>
      <c r="E41" s="13"/>
      <c r="F41" s="200"/>
      <c r="G41" s="13"/>
      <c r="H41" s="13"/>
      <c r="I41" s="13"/>
      <c r="J41" s="13"/>
      <c r="K41" s="13"/>
      <c r="L41" s="13"/>
      <c r="M41" s="13"/>
      <c r="N41" s="13"/>
      <c r="O41" s="13"/>
      <c r="P41" s="13"/>
    </row>
    <row r="42" spans="1:16">
      <c r="A42" s="13"/>
      <c r="B42" s="202"/>
      <c r="C42" s="13"/>
      <c r="D42" s="13"/>
      <c r="E42" s="13"/>
      <c r="F42" s="200"/>
      <c r="G42" s="13"/>
      <c r="H42" s="13"/>
      <c r="I42" s="13"/>
      <c r="J42" s="13"/>
      <c r="K42" s="13"/>
      <c r="L42" s="13"/>
      <c r="M42" s="13"/>
      <c r="N42" s="13"/>
      <c r="O42" s="13"/>
      <c r="P42" s="13"/>
    </row>
    <row r="43" spans="1:16">
      <c r="A43" s="13"/>
      <c r="B43" s="202"/>
      <c r="C43" s="13"/>
      <c r="D43" s="13"/>
      <c r="E43" s="13"/>
      <c r="F43" s="200"/>
      <c r="G43" s="13"/>
      <c r="H43" s="13"/>
      <c r="I43" s="13"/>
      <c r="J43" s="13"/>
      <c r="K43" s="13"/>
      <c r="L43" s="13"/>
      <c r="M43" s="13"/>
      <c r="N43" s="13"/>
      <c r="O43" s="13"/>
      <c r="P43" s="13"/>
    </row>
    <row r="44" spans="1:16">
      <c r="A44" s="13"/>
      <c r="B44" s="202"/>
      <c r="C44" s="13"/>
      <c r="D44" s="13"/>
      <c r="E44" s="13"/>
      <c r="F44" s="200"/>
      <c r="G44" s="13"/>
      <c r="H44" s="13"/>
      <c r="I44" s="13"/>
      <c r="J44" s="13"/>
      <c r="K44" s="13"/>
      <c r="L44" s="13"/>
      <c r="M44" s="13"/>
      <c r="N44" s="13"/>
      <c r="O44" s="13"/>
      <c r="P44" s="13"/>
    </row>
    <row r="45" spans="1:16">
      <c r="A45" s="13"/>
      <c r="B45" s="202"/>
      <c r="C45" s="13"/>
      <c r="D45" s="13"/>
      <c r="E45" s="13"/>
      <c r="F45" s="200"/>
      <c r="G45" s="13"/>
      <c r="H45" s="13"/>
      <c r="I45" s="13"/>
      <c r="J45" s="13"/>
      <c r="K45" s="13"/>
      <c r="L45" s="13"/>
      <c r="M45" s="13"/>
      <c r="N45" s="13"/>
      <c r="O45" s="13"/>
      <c r="P45" s="13"/>
    </row>
    <row r="46" spans="1:16">
      <c r="A46" s="13"/>
      <c r="B46" s="202"/>
      <c r="C46" s="13"/>
      <c r="D46" s="13"/>
      <c r="E46" s="13"/>
      <c r="F46" s="200"/>
      <c r="G46" s="13"/>
      <c r="H46" s="13"/>
      <c r="I46" s="13"/>
      <c r="J46" s="13"/>
      <c r="K46" s="13"/>
      <c r="L46" s="13"/>
      <c r="M46" s="13"/>
      <c r="N46" s="13"/>
      <c r="O46" s="13"/>
      <c r="P46" s="13"/>
    </row>
    <row r="47" spans="1:16">
      <c r="A47" s="13"/>
      <c r="B47" s="202"/>
      <c r="C47" s="13"/>
      <c r="D47" s="13"/>
      <c r="E47" s="13"/>
      <c r="F47" s="200"/>
      <c r="G47" s="13"/>
      <c r="H47" s="13"/>
      <c r="I47" s="13"/>
      <c r="J47" s="13"/>
      <c r="K47" s="13"/>
      <c r="L47" s="13"/>
      <c r="M47" s="13"/>
      <c r="N47" s="13"/>
      <c r="O47" s="13"/>
      <c r="P47" s="13"/>
    </row>
    <row r="48" spans="1:16">
      <c r="A48" s="13"/>
      <c r="B48" s="202"/>
      <c r="C48" s="13"/>
      <c r="D48" s="13"/>
      <c r="E48" s="13"/>
      <c r="F48" s="200"/>
      <c r="G48" s="13"/>
      <c r="H48" s="13"/>
      <c r="I48" s="13"/>
      <c r="J48" s="13"/>
      <c r="K48" s="13"/>
      <c r="L48" s="13"/>
      <c r="M48" s="13"/>
      <c r="N48" s="13"/>
      <c r="O48" s="13"/>
      <c r="P48" s="13"/>
    </row>
    <row r="49" spans="1:16">
      <c r="A49" s="13"/>
      <c r="B49" s="202"/>
      <c r="C49" s="13"/>
      <c r="D49" s="13"/>
      <c r="E49" s="13"/>
      <c r="F49" s="200"/>
      <c r="G49" s="13"/>
      <c r="H49" s="13"/>
      <c r="I49" s="13"/>
      <c r="J49" s="13"/>
      <c r="K49" s="13"/>
      <c r="L49" s="13"/>
      <c r="M49" s="13"/>
      <c r="N49" s="13"/>
      <c r="O49" s="13"/>
      <c r="P49" s="13"/>
    </row>
    <row r="50" spans="1:16">
      <c r="A50" s="13"/>
      <c r="B50" s="202"/>
      <c r="C50" s="13"/>
      <c r="D50" s="13"/>
      <c r="E50" s="13"/>
      <c r="F50" s="200"/>
      <c r="G50" s="13"/>
      <c r="H50" s="13"/>
      <c r="I50" s="13"/>
      <c r="J50" s="13"/>
      <c r="K50" s="13"/>
      <c r="L50" s="13"/>
      <c r="M50" s="13"/>
      <c r="N50" s="13"/>
      <c r="O50" s="13"/>
      <c r="P50" s="13"/>
    </row>
    <row r="51" spans="1:16">
      <c r="A51" s="13"/>
      <c r="B51" s="202"/>
      <c r="C51" s="13"/>
      <c r="D51" s="13"/>
      <c r="E51" s="13"/>
      <c r="F51" s="200"/>
      <c r="G51" s="13"/>
      <c r="H51" s="13"/>
      <c r="I51" s="13"/>
      <c r="J51" s="13"/>
      <c r="K51" s="13"/>
      <c r="L51" s="13"/>
      <c r="M51" s="13"/>
      <c r="N51" s="13"/>
      <c r="O51" s="13"/>
      <c r="P51" s="13"/>
    </row>
    <row r="52" spans="1:16">
      <c r="A52" s="13"/>
      <c r="B52" s="202"/>
      <c r="C52" s="13"/>
      <c r="D52" s="13"/>
      <c r="E52" s="13"/>
      <c r="F52" s="200"/>
      <c r="G52" s="13"/>
      <c r="H52" s="13"/>
      <c r="I52" s="13"/>
      <c r="J52" s="13"/>
      <c r="K52" s="13"/>
      <c r="L52" s="13"/>
      <c r="M52" s="13"/>
      <c r="N52" s="13"/>
      <c r="O52" s="13"/>
      <c r="P52" s="13"/>
    </row>
    <row r="53" spans="1:16">
      <c r="A53" s="13"/>
      <c r="B53" s="202"/>
      <c r="C53" s="13"/>
      <c r="D53" s="13"/>
      <c r="E53" s="13"/>
      <c r="F53" s="200"/>
      <c r="G53" s="13"/>
      <c r="H53" s="13"/>
      <c r="I53" s="13"/>
      <c r="J53" s="13"/>
      <c r="K53" s="13"/>
      <c r="L53" s="13"/>
      <c r="M53" s="13"/>
      <c r="N53" s="13"/>
      <c r="O53" s="13"/>
      <c r="P53" s="13"/>
    </row>
    <row r="54" spans="1:16">
      <c r="A54" s="13"/>
      <c r="B54" s="202"/>
      <c r="C54" s="13"/>
      <c r="D54" s="13"/>
      <c r="E54" s="13"/>
      <c r="F54" s="200"/>
      <c r="G54" s="13"/>
      <c r="H54" s="13"/>
      <c r="I54" s="13"/>
      <c r="J54" s="13"/>
      <c r="K54" s="13"/>
      <c r="L54" s="13"/>
      <c r="M54" s="13"/>
      <c r="N54" s="13"/>
      <c r="O54" s="13"/>
      <c r="P54" s="13"/>
    </row>
    <row r="55" spans="1:16">
      <c r="A55" s="13"/>
      <c r="B55" s="202"/>
      <c r="C55" s="13"/>
      <c r="D55" s="13"/>
      <c r="E55" s="13"/>
      <c r="F55" s="200"/>
      <c r="G55" s="13"/>
      <c r="H55" s="13"/>
      <c r="I55" s="13"/>
      <c r="J55" s="13"/>
      <c r="K55" s="13"/>
      <c r="L55" s="13"/>
      <c r="M55" s="13"/>
      <c r="N55" s="13"/>
      <c r="O55" s="13"/>
      <c r="P55" s="13"/>
    </row>
    <row r="56" spans="1:16">
      <c r="A56" s="13"/>
      <c r="B56" s="202"/>
      <c r="C56" s="13"/>
      <c r="D56" s="13"/>
      <c r="E56" s="13"/>
      <c r="F56" s="200"/>
      <c r="G56" s="13"/>
      <c r="H56" s="13"/>
      <c r="I56" s="13"/>
      <c r="J56" s="13"/>
      <c r="K56" s="13"/>
      <c r="L56" s="13"/>
      <c r="M56" s="13"/>
      <c r="N56" s="13"/>
      <c r="O56" s="13"/>
      <c r="P56" s="13"/>
    </row>
    <row r="57" spans="1:16">
      <c r="A57" s="13"/>
      <c r="B57" s="202"/>
      <c r="C57" s="13"/>
      <c r="D57" s="13"/>
      <c r="E57" s="13"/>
      <c r="F57" s="200"/>
      <c r="G57" s="13"/>
      <c r="H57" s="13"/>
      <c r="I57" s="13"/>
      <c r="J57" s="13"/>
      <c r="K57" s="13"/>
      <c r="L57" s="13"/>
      <c r="M57" s="13"/>
      <c r="N57" s="13"/>
      <c r="O57" s="13"/>
      <c r="P57" s="13"/>
    </row>
    <row r="58" spans="1:16">
      <c r="A58" s="13"/>
      <c r="B58" s="202"/>
      <c r="C58" s="13"/>
      <c r="D58" s="13"/>
      <c r="E58" s="13"/>
      <c r="F58" s="200"/>
      <c r="G58" s="13"/>
      <c r="H58" s="13"/>
      <c r="I58" s="13"/>
      <c r="J58" s="13"/>
      <c r="K58" s="13"/>
      <c r="L58" s="13"/>
      <c r="M58" s="13"/>
      <c r="N58" s="13"/>
      <c r="O58" s="13"/>
      <c r="P58" s="13"/>
    </row>
    <row r="59" spans="1:16">
      <c r="A59" s="13"/>
      <c r="B59" s="202"/>
      <c r="C59" s="13"/>
      <c r="D59" s="13"/>
      <c r="E59" s="13"/>
      <c r="F59" s="200"/>
      <c r="G59" s="13"/>
      <c r="H59" s="13"/>
      <c r="I59" s="13"/>
      <c r="J59" s="13"/>
      <c r="K59" s="13"/>
      <c r="L59" s="13"/>
      <c r="M59" s="13"/>
      <c r="N59" s="13"/>
      <c r="O59" s="13"/>
      <c r="P59" s="13"/>
    </row>
    <row r="60" spans="1:16">
      <c r="A60" s="13"/>
      <c r="B60" s="202"/>
      <c r="C60" s="13"/>
      <c r="D60" s="13"/>
      <c r="E60" s="13"/>
      <c r="F60" s="200"/>
      <c r="G60" s="13"/>
      <c r="H60" s="13"/>
      <c r="I60" s="13"/>
      <c r="J60" s="13"/>
      <c r="K60" s="13"/>
      <c r="L60" s="13"/>
      <c r="M60" s="13"/>
      <c r="N60" s="13"/>
      <c r="O60" s="13"/>
      <c r="P60" s="13"/>
    </row>
    <row r="61" spans="1:16">
      <c r="A61" s="13"/>
      <c r="B61" s="202"/>
      <c r="C61" s="13"/>
      <c r="D61" s="13"/>
      <c r="E61" s="13"/>
      <c r="F61" s="200"/>
      <c r="G61" s="13"/>
      <c r="H61" s="13"/>
      <c r="I61" s="13"/>
      <c r="J61" s="13"/>
      <c r="K61" s="13"/>
      <c r="L61" s="13"/>
      <c r="M61" s="13"/>
      <c r="N61" s="13"/>
      <c r="O61" s="13"/>
      <c r="P61" s="13"/>
    </row>
    <row r="62" spans="1:16">
      <c r="A62" s="13"/>
      <c r="B62" s="202"/>
      <c r="C62" s="13"/>
      <c r="D62" s="13"/>
      <c r="E62" s="13"/>
      <c r="F62" s="200"/>
      <c r="G62" s="13"/>
      <c r="H62" s="13"/>
      <c r="I62" s="13"/>
      <c r="J62" s="13"/>
      <c r="K62" s="13"/>
      <c r="L62" s="13"/>
      <c r="M62" s="13"/>
      <c r="N62" s="13"/>
      <c r="O62" s="13"/>
      <c r="P62" s="13"/>
    </row>
    <row r="63" spans="1:16">
      <c r="A63" s="13"/>
      <c r="B63" s="202"/>
      <c r="C63" s="13"/>
      <c r="D63" s="13"/>
      <c r="E63" s="13"/>
      <c r="F63" s="200"/>
      <c r="G63" s="13"/>
      <c r="H63" s="13"/>
      <c r="I63" s="13"/>
      <c r="J63" s="13"/>
      <c r="K63" s="13"/>
      <c r="L63" s="13"/>
      <c r="M63" s="13"/>
      <c r="N63" s="13"/>
      <c r="O63" s="13"/>
      <c r="P63" s="13"/>
    </row>
    <row r="64" spans="1:16">
      <c r="A64" s="13"/>
      <c r="B64" s="202"/>
      <c r="C64" s="13"/>
      <c r="D64" s="13"/>
      <c r="E64" s="13"/>
      <c r="F64" s="200"/>
      <c r="G64" s="13"/>
      <c r="H64" s="13"/>
      <c r="I64" s="13"/>
      <c r="J64" s="13"/>
      <c r="K64" s="13"/>
      <c r="L64" s="13"/>
      <c r="M64" s="13"/>
      <c r="N64" s="13"/>
      <c r="O64" s="13"/>
      <c r="P64" s="13"/>
    </row>
    <row r="65" spans="1:16">
      <c r="A65" s="13"/>
      <c r="B65" s="202"/>
      <c r="C65" s="13"/>
      <c r="D65" s="13"/>
      <c r="E65" s="13"/>
      <c r="F65" s="200"/>
      <c r="G65" s="13"/>
      <c r="H65" s="13"/>
      <c r="I65" s="13"/>
      <c r="J65" s="13"/>
      <c r="K65" s="13"/>
      <c r="L65" s="13"/>
      <c r="M65" s="13"/>
      <c r="N65" s="13"/>
      <c r="O65" s="13"/>
      <c r="P65" s="13"/>
    </row>
    <row r="66" spans="1:16">
      <c r="A66" s="13"/>
      <c r="B66" s="202"/>
      <c r="C66" s="13"/>
      <c r="D66" s="13"/>
      <c r="E66" s="13"/>
      <c r="F66" s="200"/>
      <c r="G66" s="13"/>
      <c r="H66" s="13"/>
      <c r="I66" s="13"/>
      <c r="J66" s="13"/>
      <c r="K66" s="13"/>
      <c r="L66" s="13"/>
      <c r="M66" s="13"/>
      <c r="N66" s="13"/>
      <c r="O66" s="13"/>
      <c r="P66" s="13"/>
    </row>
    <row r="67" spans="1:16">
      <c r="A67" s="13"/>
      <c r="B67" s="202"/>
      <c r="C67" s="13"/>
      <c r="D67" s="13"/>
      <c r="E67" s="13"/>
      <c r="F67" s="200"/>
      <c r="G67" s="13"/>
      <c r="H67" s="13"/>
      <c r="I67" s="13"/>
      <c r="J67" s="13"/>
      <c r="K67" s="13"/>
      <c r="L67" s="13"/>
      <c r="M67" s="13"/>
      <c r="N67" s="13"/>
      <c r="O67" s="13"/>
      <c r="P67" s="13"/>
    </row>
    <row r="68" spans="1:16">
      <c r="A68" s="13"/>
      <c r="B68" s="202"/>
      <c r="C68" s="13"/>
      <c r="D68" s="13"/>
      <c r="E68" s="13"/>
      <c r="F68" s="200"/>
      <c r="G68" s="13"/>
      <c r="H68" s="13"/>
      <c r="I68" s="13"/>
      <c r="J68" s="13"/>
      <c r="K68" s="13"/>
      <c r="L68" s="13"/>
      <c r="M68" s="13"/>
      <c r="N68" s="13"/>
      <c r="O68" s="13"/>
      <c r="P68" s="13"/>
    </row>
    <row r="69" spans="1:16">
      <c r="A69" s="13"/>
      <c r="B69" s="202"/>
      <c r="C69" s="13"/>
      <c r="D69" s="13"/>
      <c r="E69" s="13"/>
      <c r="F69" s="200"/>
      <c r="G69" s="13"/>
      <c r="H69" s="13"/>
      <c r="I69" s="13"/>
      <c r="J69" s="13"/>
      <c r="K69" s="13"/>
      <c r="L69" s="13"/>
      <c r="M69" s="13"/>
      <c r="N69" s="13"/>
      <c r="O69" s="13"/>
      <c r="P69" s="13"/>
    </row>
    <row r="70" spans="1:16">
      <c r="A70" s="13"/>
      <c r="B70" s="202"/>
      <c r="C70" s="13"/>
      <c r="D70" s="13"/>
      <c r="E70" s="13"/>
      <c r="F70" s="200"/>
      <c r="G70" s="13"/>
      <c r="H70" s="13"/>
      <c r="I70" s="13"/>
      <c r="J70" s="13"/>
      <c r="K70" s="13"/>
      <c r="L70" s="13"/>
      <c r="M70" s="13"/>
      <c r="N70" s="13"/>
      <c r="O70" s="13"/>
      <c r="P70" s="13"/>
    </row>
    <row r="71" spans="1:16">
      <c r="A71" s="13"/>
      <c r="B71" s="202"/>
      <c r="C71" s="13"/>
      <c r="D71" s="13"/>
      <c r="E71" s="13"/>
      <c r="F71" s="200"/>
      <c r="G71" s="13"/>
      <c r="H71" s="13"/>
      <c r="I71" s="13"/>
      <c r="J71" s="13"/>
      <c r="K71" s="13"/>
      <c r="L71" s="13"/>
      <c r="M71" s="13"/>
      <c r="N71" s="13"/>
      <c r="O71" s="13"/>
      <c r="P71" s="13"/>
    </row>
    <row r="72" spans="1:16">
      <c r="A72" s="13"/>
      <c r="B72" s="202"/>
      <c r="C72" s="13"/>
      <c r="D72" s="13"/>
      <c r="E72" s="13"/>
      <c r="F72" s="200"/>
      <c r="G72" s="13"/>
      <c r="H72" s="13"/>
      <c r="I72" s="13"/>
      <c r="J72" s="13"/>
      <c r="K72" s="13"/>
      <c r="L72" s="13"/>
      <c r="M72" s="13"/>
      <c r="N72" s="13"/>
      <c r="O72" s="13"/>
      <c r="P72" s="13"/>
    </row>
    <row r="73" spans="1:16">
      <c r="A73" s="13"/>
      <c r="B73" s="202"/>
      <c r="C73" s="13"/>
      <c r="D73" s="13"/>
      <c r="E73" s="13"/>
      <c r="F73" s="200"/>
      <c r="G73" s="13"/>
      <c r="H73" s="13"/>
      <c r="I73" s="13"/>
      <c r="J73" s="13"/>
      <c r="K73" s="13"/>
      <c r="L73" s="13"/>
      <c r="M73" s="13"/>
      <c r="N73" s="13"/>
      <c r="O73" s="13"/>
      <c r="P73" s="13"/>
    </row>
    <row r="74" spans="1:16">
      <c r="A74" s="13"/>
      <c r="B74" s="202"/>
      <c r="C74" s="13"/>
      <c r="D74" s="13"/>
      <c r="E74" s="13"/>
      <c r="F74" s="200"/>
      <c r="G74" s="13"/>
      <c r="H74" s="13"/>
      <c r="I74" s="13"/>
      <c r="J74" s="13"/>
      <c r="K74" s="13"/>
      <c r="L74" s="13"/>
      <c r="M74" s="13"/>
      <c r="N74" s="13"/>
      <c r="O74" s="13"/>
      <c r="P74" s="13"/>
    </row>
    <row r="75" spans="1:16">
      <c r="A75" s="13"/>
      <c r="B75" s="202"/>
      <c r="C75" s="13"/>
      <c r="D75" s="13"/>
      <c r="E75" s="13"/>
      <c r="F75" s="200"/>
      <c r="G75" s="13"/>
      <c r="H75" s="13"/>
      <c r="I75" s="13"/>
      <c r="J75" s="13"/>
      <c r="K75" s="13"/>
      <c r="L75" s="13"/>
      <c r="M75" s="13"/>
      <c r="N75" s="13"/>
      <c r="O75" s="13"/>
      <c r="P75" s="13"/>
    </row>
    <row r="76" spans="1:16">
      <c r="A76" s="13"/>
      <c r="B76" s="202"/>
      <c r="C76" s="13"/>
      <c r="D76" s="13"/>
      <c r="E76" s="13"/>
      <c r="F76" s="200"/>
      <c r="G76" s="13"/>
      <c r="H76" s="13"/>
      <c r="I76" s="13"/>
      <c r="J76" s="13"/>
      <c r="K76" s="13"/>
      <c r="L76" s="13"/>
      <c r="M76" s="13"/>
      <c r="N76" s="13"/>
      <c r="O76" s="13"/>
      <c r="P76" s="13"/>
    </row>
    <row r="77" spans="1:16">
      <c r="A77" s="13"/>
      <c r="B77" s="202"/>
      <c r="C77" s="13"/>
      <c r="D77" s="13"/>
      <c r="E77" s="13"/>
      <c r="F77" s="200"/>
      <c r="G77" s="13"/>
      <c r="H77" s="13"/>
      <c r="I77" s="13"/>
      <c r="J77" s="13"/>
      <c r="K77" s="13"/>
      <c r="L77" s="13"/>
      <c r="M77" s="13"/>
      <c r="N77" s="13"/>
      <c r="O77" s="13"/>
      <c r="P77" s="13"/>
    </row>
    <row r="78" spans="1:16">
      <c r="A78" s="13"/>
      <c r="B78" s="202"/>
      <c r="C78" s="13"/>
      <c r="D78" s="13"/>
      <c r="E78" s="13"/>
      <c r="F78" s="200"/>
      <c r="G78" s="13"/>
      <c r="H78" s="13"/>
      <c r="I78" s="13"/>
      <c r="J78" s="13"/>
      <c r="K78" s="13"/>
      <c r="L78" s="13"/>
      <c r="M78" s="13"/>
      <c r="N78" s="13"/>
      <c r="O78" s="13"/>
      <c r="P78" s="13"/>
    </row>
    <row r="79" spans="1:16">
      <c r="A79" s="13"/>
      <c r="B79" s="202"/>
      <c r="C79" s="13"/>
      <c r="D79" s="13"/>
      <c r="E79" s="13"/>
      <c r="F79" s="200"/>
      <c r="G79" s="13"/>
      <c r="H79" s="13"/>
      <c r="I79" s="13"/>
      <c r="J79" s="13"/>
      <c r="K79" s="13"/>
      <c r="L79" s="13"/>
      <c r="M79" s="13"/>
      <c r="N79" s="13"/>
      <c r="O79" s="13"/>
      <c r="P79" s="13"/>
    </row>
    <row r="80" spans="1:16">
      <c r="A80" s="13"/>
      <c r="B80" s="202"/>
      <c r="C80" s="13"/>
      <c r="D80" s="13"/>
      <c r="E80" s="13"/>
      <c r="F80" s="200"/>
      <c r="G80" s="13"/>
      <c r="H80" s="13"/>
      <c r="I80" s="13"/>
      <c r="J80" s="13"/>
      <c r="K80" s="13"/>
      <c r="L80" s="13"/>
      <c r="M80" s="13"/>
      <c r="N80" s="13"/>
      <c r="O80" s="13"/>
      <c r="P80" s="13"/>
    </row>
    <row r="81" spans="1:16">
      <c r="A81" s="13"/>
      <c r="B81" s="202"/>
      <c r="C81" s="13"/>
      <c r="D81" s="13"/>
      <c r="E81" s="13"/>
      <c r="F81" s="200"/>
      <c r="G81" s="13"/>
      <c r="H81" s="13"/>
      <c r="I81" s="13"/>
      <c r="J81" s="13"/>
      <c r="K81" s="13"/>
      <c r="L81" s="13"/>
      <c r="M81" s="13"/>
      <c r="N81" s="13"/>
      <c r="O81" s="13"/>
      <c r="P81" s="13"/>
    </row>
    <row r="82" spans="1:16">
      <c r="A82" s="13"/>
      <c r="B82" s="202"/>
      <c r="C82" s="13"/>
      <c r="D82" s="13"/>
      <c r="E82" s="13"/>
      <c r="F82" s="200"/>
      <c r="G82" s="13"/>
      <c r="H82" s="13"/>
      <c r="I82" s="13"/>
      <c r="J82" s="13"/>
      <c r="K82" s="13"/>
      <c r="L82" s="13"/>
      <c r="M82" s="13"/>
      <c r="N82" s="13"/>
      <c r="O82" s="13"/>
      <c r="P82" s="13"/>
    </row>
    <row r="83" spans="1:16">
      <c r="A83" s="13"/>
      <c r="B83" s="202"/>
      <c r="C83" s="13"/>
      <c r="D83" s="13"/>
      <c r="E83" s="13"/>
      <c r="F83" s="200"/>
      <c r="G83" s="13"/>
      <c r="H83" s="13"/>
      <c r="I83" s="13"/>
      <c r="J83" s="13"/>
      <c r="K83" s="13"/>
      <c r="L83" s="13"/>
      <c r="M83" s="13"/>
      <c r="N83" s="13"/>
      <c r="O83" s="13"/>
      <c r="P83" s="13"/>
    </row>
    <row r="84" spans="1:16">
      <c r="A84" s="13"/>
      <c r="B84" s="202"/>
      <c r="C84" s="13"/>
      <c r="D84" s="13"/>
      <c r="E84" s="13"/>
      <c r="F84" s="200"/>
      <c r="G84" s="13"/>
      <c r="H84" s="13"/>
      <c r="I84" s="13"/>
      <c r="J84" s="13"/>
      <c r="K84" s="13"/>
      <c r="L84" s="13"/>
      <c r="M84" s="13"/>
      <c r="N84" s="13"/>
      <c r="O84" s="13"/>
      <c r="P84" s="13"/>
    </row>
    <row r="85" spans="1:16">
      <c r="A85" s="13"/>
      <c r="B85" s="202"/>
      <c r="C85" s="13"/>
      <c r="D85" s="13"/>
      <c r="E85" s="13"/>
      <c r="F85" s="200"/>
      <c r="G85" s="13"/>
      <c r="H85" s="13"/>
      <c r="I85" s="13"/>
      <c r="J85" s="13"/>
      <c r="K85" s="13"/>
      <c r="L85" s="13"/>
      <c r="M85" s="13"/>
      <c r="N85" s="13"/>
      <c r="O85" s="13"/>
      <c r="P85" s="13"/>
    </row>
    <row r="86" spans="1:16">
      <c r="A86" s="13"/>
      <c r="B86" s="202"/>
      <c r="C86" s="13"/>
      <c r="D86" s="13"/>
      <c r="E86" s="13"/>
      <c r="F86" s="200"/>
      <c r="G86" s="13"/>
      <c r="H86" s="13"/>
      <c r="I86" s="13"/>
      <c r="J86" s="13"/>
      <c r="K86" s="13"/>
      <c r="L86" s="13"/>
      <c r="M86" s="13"/>
      <c r="N86" s="13"/>
      <c r="O86" s="13"/>
      <c r="P86" s="13"/>
    </row>
    <row r="87" spans="1:16">
      <c r="A87" s="13"/>
      <c r="B87" s="202"/>
      <c r="C87" s="13"/>
      <c r="D87" s="13"/>
      <c r="E87" s="13"/>
      <c r="F87" s="200"/>
      <c r="G87" s="13"/>
      <c r="H87" s="13"/>
      <c r="I87" s="13"/>
      <c r="J87" s="13"/>
      <c r="K87" s="13"/>
      <c r="L87" s="13"/>
      <c r="M87" s="13"/>
      <c r="N87" s="13"/>
      <c r="O87" s="13"/>
      <c r="P87" s="13"/>
    </row>
    <row r="88" spans="1:16">
      <c r="A88" s="13"/>
      <c r="B88" s="202"/>
      <c r="C88" s="13"/>
      <c r="D88" s="13"/>
      <c r="E88" s="13"/>
      <c r="F88" s="200"/>
      <c r="G88" s="13"/>
      <c r="H88" s="13"/>
      <c r="I88" s="13"/>
      <c r="J88" s="13"/>
      <c r="K88" s="13"/>
      <c r="L88" s="13"/>
      <c r="M88" s="13"/>
      <c r="N88" s="13"/>
      <c r="O88" s="13"/>
      <c r="P88" s="13"/>
    </row>
    <row r="89" spans="1:16">
      <c r="A89" s="13"/>
      <c r="B89" s="202"/>
      <c r="C89" s="13"/>
      <c r="D89" s="13"/>
      <c r="E89" s="13"/>
      <c r="F89" s="200"/>
      <c r="G89" s="13"/>
      <c r="H89" s="13"/>
      <c r="I89" s="13"/>
      <c r="J89" s="13"/>
      <c r="K89" s="13"/>
      <c r="L89" s="13"/>
      <c r="M89" s="13"/>
      <c r="N89" s="13"/>
      <c r="O89" s="13"/>
      <c r="P89" s="13"/>
    </row>
    <row r="90" spans="1:16">
      <c r="A90" s="13"/>
      <c r="B90" s="202"/>
      <c r="C90" s="13"/>
      <c r="D90" s="13"/>
      <c r="E90" s="13"/>
      <c r="F90" s="200"/>
      <c r="G90" s="13"/>
      <c r="H90" s="13"/>
      <c r="I90" s="13"/>
      <c r="J90" s="13"/>
      <c r="K90" s="13"/>
      <c r="L90" s="13"/>
      <c r="M90" s="13"/>
      <c r="N90" s="13"/>
      <c r="O90" s="13"/>
      <c r="P90" s="13"/>
    </row>
    <row r="91" spans="1:16">
      <c r="A91" s="13"/>
      <c r="B91" s="202"/>
      <c r="C91" s="13"/>
      <c r="D91" s="13"/>
      <c r="E91" s="13"/>
      <c r="F91" s="200"/>
      <c r="G91" s="13"/>
      <c r="H91" s="13"/>
      <c r="I91" s="13"/>
      <c r="J91" s="13"/>
      <c r="K91" s="13"/>
      <c r="L91" s="13"/>
      <c r="M91" s="13"/>
      <c r="N91" s="13"/>
      <c r="O91" s="13"/>
      <c r="P91" s="13"/>
    </row>
    <row r="92" spans="1:16">
      <c r="A92" s="13"/>
      <c r="B92" s="202"/>
      <c r="C92" s="13"/>
      <c r="D92" s="13"/>
      <c r="E92" s="13"/>
      <c r="F92" s="200"/>
      <c r="G92" s="13"/>
      <c r="H92" s="13"/>
      <c r="I92" s="13"/>
      <c r="J92" s="13"/>
      <c r="K92" s="13"/>
      <c r="L92" s="13"/>
      <c r="M92" s="13"/>
      <c r="N92" s="13"/>
      <c r="O92" s="13"/>
      <c r="P92" s="13"/>
    </row>
    <row r="93" spans="1:16">
      <c r="A93" s="13"/>
      <c r="B93" s="202"/>
      <c r="C93" s="13"/>
      <c r="D93" s="13"/>
      <c r="E93" s="13"/>
      <c r="F93" s="200"/>
      <c r="G93" s="13"/>
      <c r="H93" s="13"/>
      <c r="I93" s="13"/>
      <c r="J93" s="13"/>
      <c r="K93" s="13"/>
      <c r="L93" s="13"/>
      <c r="M93" s="13"/>
      <c r="N93" s="13"/>
      <c r="O93" s="13"/>
      <c r="P93" s="13"/>
    </row>
    <row r="94" spans="1:16">
      <c r="A94" s="13"/>
      <c r="B94" s="202"/>
      <c r="C94" s="13"/>
      <c r="D94" s="13"/>
      <c r="E94" s="13"/>
      <c r="F94" s="200"/>
      <c r="G94" s="13"/>
      <c r="H94" s="13"/>
      <c r="I94" s="13"/>
      <c r="J94" s="13"/>
      <c r="K94" s="13"/>
      <c r="L94" s="13"/>
      <c r="M94" s="13"/>
      <c r="N94" s="13"/>
      <c r="O94" s="13"/>
      <c r="P94" s="13"/>
    </row>
    <row r="95" spans="1:16">
      <c r="A95" s="13"/>
      <c r="B95" s="202"/>
      <c r="C95" s="13"/>
      <c r="D95" s="13"/>
      <c r="E95" s="13"/>
      <c r="F95" s="200"/>
      <c r="G95" s="13"/>
      <c r="H95" s="13"/>
      <c r="I95" s="13"/>
      <c r="J95" s="13"/>
      <c r="K95" s="13"/>
      <c r="L95" s="13"/>
      <c r="M95" s="13"/>
      <c r="N95" s="13"/>
      <c r="O95" s="13"/>
      <c r="P95" s="13"/>
    </row>
    <row r="96" spans="1:16">
      <c r="A96" s="13"/>
      <c r="B96" s="202"/>
      <c r="C96" s="13"/>
      <c r="D96" s="13"/>
      <c r="E96" s="13"/>
      <c r="F96" s="200"/>
      <c r="G96" s="13"/>
      <c r="H96" s="13"/>
      <c r="I96" s="13"/>
      <c r="J96" s="13"/>
      <c r="K96" s="13"/>
      <c r="L96" s="13"/>
      <c r="M96" s="13"/>
      <c r="N96" s="13"/>
      <c r="O96" s="13"/>
      <c r="P96" s="13"/>
    </row>
    <row r="97" spans="1:16">
      <c r="A97" s="13"/>
      <c r="B97" s="202"/>
      <c r="C97" s="13"/>
      <c r="D97" s="13"/>
      <c r="E97" s="13"/>
      <c r="F97" s="200"/>
      <c r="G97" s="13"/>
      <c r="H97" s="13"/>
      <c r="I97" s="13"/>
      <c r="J97" s="13"/>
      <c r="K97" s="13"/>
      <c r="L97" s="13"/>
      <c r="M97" s="13"/>
      <c r="N97" s="13"/>
      <c r="O97" s="13"/>
      <c r="P97" s="13"/>
    </row>
    <row r="98" spans="1:16">
      <c r="A98" s="13"/>
      <c r="B98" s="202"/>
      <c r="C98" s="13"/>
      <c r="D98" s="13"/>
      <c r="E98" s="13"/>
      <c r="F98" s="200"/>
      <c r="G98" s="13"/>
      <c r="H98" s="13"/>
      <c r="I98" s="13"/>
      <c r="J98" s="13"/>
      <c r="K98" s="13"/>
      <c r="L98" s="13"/>
      <c r="M98" s="13"/>
      <c r="N98" s="13"/>
      <c r="O98" s="13"/>
      <c r="P98" s="13"/>
    </row>
    <row r="99" spans="1:16">
      <c r="A99" s="13"/>
      <c r="B99" s="202"/>
      <c r="C99" s="13"/>
      <c r="D99" s="13"/>
      <c r="E99" s="13"/>
      <c r="F99" s="200"/>
      <c r="G99" s="13"/>
      <c r="H99" s="13"/>
      <c r="I99" s="13"/>
      <c r="J99" s="13"/>
      <c r="K99" s="13"/>
      <c r="L99" s="13"/>
      <c r="M99" s="13"/>
      <c r="N99" s="13"/>
      <c r="O99" s="13"/>
      <c r="P99" s="13"/>
    </row>
    <row r="100" spans="1:16">
      <c r="A100" s="13"/>
      <c r="B100" s="202"/>
      <c r="C100" s="13"/>
      <c r="D100" s="13"/>
      <c r="E100" s="13"/>
      <c r="F100" s="200"/>
      <c r="G100" s="13"/>
      <c r="H100" s="13"/>
      <c r="I100" s="13"/>
      <c r="J100" s="13"/>
      <c r="K100" s="13"/>
      <c r="L100" s="13"/>
      <c r="M100" s="13"/>
      <c r="N100" s="13"/>
      <c r="O100" s="13"/>
      <c r="P100" s="13"/>
    </row>
    <row r="101" spans="1:16">
      <c r="A101" s="13"/>
      <c r="B101" s="202"/>
      <c r="C101" s="13"/>
      <c r="D101" s="13"/>
      <c r="E101" s="13"/>
      <c r="F101" s="200"/>
      <c r="G101" s="13"/>
      <c r="H101" s="13"/>
      <c r="I101" s="13"/>
      <c r="J101" s="13"/>
      <c r="K101" s="13"/>
      <c r="L101" s="13"/>
      <c r="M101" s="13"/>
      <c r="N101" s="13"/>
      <c r="O101" s="13"/>
      <c r="P101" s="13"/>
    </row>
    <row r="102" spans="1:16">
      <c r="A102" s="13"/>
      <c r="B102" s="202"/>
      <c r="C102" s="13"/>
      <c r="D102" s="13"/>
      <c r="E102" s="13"/>
      <c r="F102" s="200"/>
      <c r="G102" s="13"/>
      <c r="H102" s="13"/>
      <c r="I102" s="13"/>
      <c r="J102" s="13"/>
      <c r="K102" s="13"/>
      <c r="L102" s="13"/>
      <c r="M102" s="13"/>
      <c r="N102" s="13"/>
      <c r="O102" s="13"/>
      <c r="P102" s="13"/>
    </row>
  </sheetData>
  <autoFilter ref="C4:C26"/>
  <mergeCells count="24">
    <mergeCell ref="A3:P3"/>
    <mergeCell ref="F5:F8"/>
    <mergeCell ref="L6:L8"/>
    <mergeCell ref="G5:H5"/>
    <mergeCell ref="G6:G8"/>
    <mergeCell ref="H6:H8"/>
    <mergeCell ref="I6:I8"/>
    <mergeCell ref="K6:K8"/>
    <mergeCell ref="Q4:Q8"/>
    <mergeCell ref="A1:P1"/>
    <mergeCell ref="A4:A8"/>
    <mergeCell ref="B4:B8"/>
    <mergeCell ref="C4:C8"/>
    <mergeCell ref="D4:D8"/>
    <mergeCell ref="E4:E8"/>
    <mergeCell ref="F4:H4"/>
    <mergeCell ref="I4:J5"/>
    <mergeCell ref="K4:L5"/>
    <mergeCell ref="J6:J8"/>
    <mergeCell ref="M4:M8"/>
    <mergeCell ref="N4:O5"/>
    <mergeCell ref="P4:P8"/>
    <mergeCell ref="N6:N8"/>
    <mergeCell ref="O6:O8"/>
  </mergeCells>
  <printOptions horizontalCentered="1"/>
  <pageMargins left="1.18" right="0.70866141732283472" top="0.31496062992125984" bottom="0.47244094488188981" header="0.19685039370078741" footer="0.31496062992125984"/>
  <pageSetup paperSize="9" scale="60" orientation="landscape" r:id="rId1"/>
  <headerFooter>
    <oddFoote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zoomScale="55" zoomScaleNormal="55" workbookViewId="0">
      <pane xSplit="2" ySplit="10" topLeftCell="C13" activePane="bottomRight" state="frozen"/>
      <selection pane="topRight" activeCell="C1" sqref="C1"/>
      <selection pane="bottomLeft" activeCell="A11" sqref="A11"/>
      <selection pane="bottomRight" activeCell="P16" sqref="P16"/>
    </sheetView>
  </sheetViews>
  <sheetFormatPr defaultRowHeight="15.75"/>
  <cols>
    <col min="1" max="1" width="14.28515625" style="120" customWidth="1"/>
    <col min="2" max="2" width="39.5703125" style="121" customWidth="1"/>
    <col min="3" max="3" width="10.5703125" style="122" customWidth="1"/>
    <col min="4" max="4" width="9.5703125" style="122" customWidth="1"/>
    <col min="5" max="5" width="9.85546875" style="122" customWidth="1"/>
    <col min="6" max="6" width="21.5703125" style="122" customWidth="1"/>
    <col min="7" max="7" width="12.5703125" style="123" customWidth="1"/>
    <col min="8" max="8" width="12" style="123" customWidth="1"/>
    <col min="9" max="9" width="11" style="123" hidden="1" customWidth="1"/>
    <col min="10" max="10" width="12.5703125" style="123" hidden="1" customWidth="1"/>
    <col min="11" max="12" width="12.85546875" style="123" hidden="1" customWidth="1"/>
    <col min="13" max="13" width="21.7109375" style="123" hidden="1" customWidth="1"/>
    <col min="14" max="15" width="13.140625" style="123" customWidth="1"/>
    <col min="16" max="16" width="14.7109375" style="123" customWidth="1"/>
    <col min="17" max="17" width="13.5703125" style="1290" customWidth="1"/>
    <col min="18" max="18" width="9.140625" style="1290" customWidth="1"/>
    <col min="19" max="216" width="9.140625" style="1290"/>
    <col min="217" max="217" width="5.140625" style="1290" customWidth="1"/>
    <col min="218" max="218" width="32.42578125" style="1290" customWidth="1"/>
    <col min="219" max="221" width="10.28515625" style="1290" customWidth="1"/>
    <col min="222" max="223" width="12.42578125" style="1290" customWidth="1"/>
    <col min="224" max="224" width="11.28515625" style="1290" customWidth="1"/>
    <col min="225" max="225" width="12.42578125" style="1290" customWidth="1"/>
    <col min="226" max="226" width="11.28515625" style="1290" customWidth="1"/>
    <col min="227" max="227" width="12.42578125" style="1290" customWidth="1"/>
    <col min="228" max="228" width="11.28515625" style="1290" customWidth="1"/>
    <col min="229" max="229" width="12.42578125" style="1290" customWidth="1"/>
    <col min="230" max="230" width="11.28515625" style="1290" customWidth="1"/>
    <col min="231" max="231" width="12.42578125" style="1290" customWidth="1"/>
    <col min="232" max="232" width="11.28515625" style="1290" customWidth="1"/>
    <col min="233" max="233" width="14.140625" style="1290" customWidth="1"/>
    <col min="234" max="234" width="10.28515625" style="1290" customWidth="1"/>
    <col min="235" max="235" width="17.140625" style="1290" customWidth="1"/>
    <col min="236" max="236" width="12" style="1290" customWidth="1"/>
    <col min="237" max="237" width="14.140625" style="1290" customWidth="1"/>
    <col min="238" max="238" width="10.28515625" style="1290" customWidth="1"/>
    <col min="239" max="239" width="17.140625" style="1290" customWidth="1"/>
    <col min="240" max="240" width="12" style="1290" customWidth="1"/>
    <col min="241" max="241" width="10.7109375" style="1290" customWidth="1"/>
    <col min="242" max="244" width="0" style="1290" hidden="1" customWidth="1"/>
    <col min="245" max="472" width="9.140625" style="1290"/>
    <col min="473" max="473" width="5.140625" style="1290" customWidth="1"/>
    <col min="474" max="474" width="32.42578125" style="1290" customWidth="1"/>
    <col min="475" max="477" width="10.28515625" style="1290" customWidth="1"/>
    <col min="478" max="479" width="12.42578125" style="1290" customWidth="1"/>
    <col min="480" max="480" width="11.28515625" style="1290" customWidth="1"/>
    <col min="481" max="481" width="12.42578125" style="1290" customWidth="1"/>
    <col min="482" max="482" width="11.28515625" style="1290" customWidth="1"/>
    <col min="483" max="483" width="12.42578125" style="1290" customWidth="1"/>
    <col min="484" max="484" width="11.28515625" style="1290" customWidth="1"/>
    <col min="485" max="485" width="12.42578125" style="1290" customWidth="1"/>
    <col min="486" max="486" width="11.28515625" style="1290" customWidth="1"/>
    <col min="487" max="487" width="12.42578125" style="1290" customWidth="1"/>
    <col min="488" max="488" width="11.28515625" style="1290" customWidth="1"/>
    <col min="489" max="489" width="14.140625" style="1290" customWidth="1"/>
    <col min="490" max="490" width="10.28515625" style="1290" customWidth="1"/>
    <col min="491" max="491" width="17.140625" style="1290" customWidth="1"/>
    <col min="492" max="492" width="12" style="1290" customWidth="1"/>
    <col min="493" max="493" width="14.140625" style="1290" customWidth="1"/>
    <col min="494" max="494" width="10.28515625" style="1290" customWidth="1"/>
    <col min="495" max="495" width="17.140625" style="1290" customWidth="1"/>
    <col min="496" max="496" width="12" style="1290" customWidth="1"/>
    <col min="497" max="497" width="10.7109375" style="1290" customWidth="1"/>
    <col min="498" max="500" width="0" style="1290" hidden="1" customWidth="1"/>
    <col min="501" max="728" width="9.140625" style="1290"/>
    <col min="729" max="729" width="5.140625" style="1290" customWidth="1"/>
    <col min="730" max="730" width="32.42578125" style="1290" customWidth="1"/>
    <col min="731" max="733" width="10.28515625" style="1290" customWidth="1"/>
    <col min="734" max="735" width="12.42578125" style="1290" customWidth="1"/>
    <col min="736" max="736" width="11.28515625" style="1290" customWidth="1"/>
    <col min="737" max="737" width="12.42578125" style="1290" customWidth="1"/>
    <col min="738" max="738" width="11.28515625" style="1290" customWidth="1"/>
    <col min="739" max="739" width="12.42578125" style="1290" customWidth="1"/>
    <col min="740" max="740" width="11.28515625" style="1290" customWidth="1"/>
    <col min="741" max="741" width="12.42578125" style="1290" customWidth="1"/>
    <col min="742" max="742" width="11.28515625" style="1290" customWidth="1"/>
    <col min="743" max="743" width="12.42578125" style="1290" customWidth="1"/>
    <col min="744" max="744" width="11.28515625" style="1290" customWidth="1"/>
    <col min="745" max="745" width="14.140625" style="1290" customWidth="1"/>
    <col min="746" max="746" width="10.28515625" style="1290" customWidth="1"/>
    <col min="747" max="747" width="17.140625" style="1290" customWidth="1"/>
    <col min="748" max="748" width="12" style="1290" customWidth="1"/>
    <col min="749" max="749" width="14.140625" style="1290" customWidth="1"/>
    <col min="750" max="750" width="10.28515625" style="1290" customWidth="1"/>
    <col min="751" max="751" width="17.140625" style="1290" customWidth="1"/>
    <col min="752" max="752" width="12" style="1290" customWidth="1"/>
    <col min="753" max="753" width="10.7109375" style="1290" customWidth="1"/>
    <col min="754" max="756" width="0" style="1290" hidden="1" customWidth="1"/>
    <col min="757" max="984" width="9.140625" style="1290"/>
    <col min="985" max="985" width="5.140625" style="1290" customWidth="1"/>
    <col min="986" max="986" width="32.42578125" style="1290" customWidth="1"/>
    <col min="987" max="989" width="10.28515625" style="1290" customWidth="1"/>
    <col min="990" max="991" width="12.42578125" style="1290" customWidth="1"/>
    <col min="992" max="992" width="11.28515625" style="1290" customWidth="1"/>
    <col min="993" max="993" width="12.42578125" style="1290" customWidth="1"/>
    <col min="994" max="994" width="11.28515625" style="1290" customWidth="1"/>
    <col min="995" max="995" width="12.42578125" style="1290" customWidth="1"/>
    <col min="996" max="996" width="11.28515625" style="1290" customWidth="1"/>
    <col min="997" max="997" width="12.42578125" style="1290" customWidth="1"/>
    <col min="998" max="998" width="11.28515625" style="1290" customWidth="1"/>
    <col min="999" max="999" width="12.42578125" style="1290" customWidth="1"/>
    <col min="1000" max="1000" width="11.28515625" style="1290" customWidth="1"/>
    <col min="1001" max="1001" width="14.140625" style="1290" customWidth="1"/>
    <col min="1002" max="1002" width="10.28515625" style="1290" customWidth="1"/>
    <col min="1003" max="1003" width="17.140625" style="1290" customWidth="1"/>
    <col min="1004" max="1004" width="12" style="1290" customWidth="1"/>
    <col min="1005" max="1005" width="14.140625" style="1290" customWidth="1"/>
    <col min="1006" max="1006" width="10.28515625" style="1290" customWidth="1"/>
    <col min="1007" max="1007" width="17.140625" style="1290" customWidth="1"/>
    <col min="1008" max="1008" width="12" style="1290" customWidth="1"/>
    <col min="1009" max="1009" width="10.7109375" style="1290" customWidth="1"/>
    <col min="1010" max="1012" width="0" style="1290" hidden="1" customWidth="1"/>
    <col min="1013" max="1240" width="9.140625" style="1290"/>
    <col min="1241" max="1241" width="5.140625" style="1290" customWidth="1"/>
    <col min="1242" max="1242" width="32.42578125" style="1290" customWidth="1"/>
    <col min="1243" max="1245" width="10.28515625" style="1290" customWidth="1"/>
    <col min="1246" max="1247" width="12.42578125" style="1290" customWidth="1"/>
    <col min="1248" max="1248" width="11.28515625" style="1290" customWidth="1"/>
    <col min="1249" max="1249" width="12.42578125" style="1290" customWidth="1"/>
    <col min="1250" max="1250" width="11.28515625" style="1290" customWidth="1"/>
    <col min="1251" max="1251" width="12.42578125" style="1290" customWidth="1"/>
    <col min="1252" max="1252" width="11.28515625" style="1290" customWidth="1"/>
    <col min="1253" max="1253" width="12.42578125" style="1290" customWidth="1"/>
    <col min="1254" max="1254" width="11.28515625" style="1290" customWidth="1"/>
    <col min="1255" max="1255" width="12.42578125" style="1290" customWidth="1"/>
    <col min="1256" max="1256" width="11.28515625" style="1290" customWidth="1"/>
    <col min="1257" max="1257" width="14.140625" style="1290" customWidth="1"/>
    <col min="1258" max="1258" width="10.28515625" style="1290" customWidth="1"/>
    <col min="1259" max="1259" width="17.140625" style="1290" customWidth="1"/>
    <col min="1260" max="1260" width="12" style="1290" customWidth="1"/>
    <col min="1261" max="1261" width="14.140625" style="1290" customWidth="1"/>
    <col min="1262" max="1262" width="10.28515625" style="1290" customWidth="1"/>
    <col min="1263" max="1263" width="17.140625" style="1290" customWidth="1"/>
    <col min="1264" max="1264" width="12" style="1290" customWidth="1"/>
    <col min="1265" max="1265" width="10.7109375" style="1290" customWidth="1"/>
    <col min="1266" max="1268" width="0" style="1290" hidden="1" customWidth="1"/>
    <col min="1269" max="1496" width="9.140625" style="1290"/>
    <col min="1497" max="1497" width="5.140625" style="1290" customWidth="1"/>
    <col min="1498" max="1498" width="32.42578125" style="1290" customWidth="1"/>
    <col min="1499" max="1501" width="10.28515625" style="1290" customWidth="1"/>
    <col min="1502" max="1503" width="12.42578125" style="1290" customWidth="1"/>
    <col min="1504" max="1504" width="11.28515625" style="1290" customWidth="1"/>
    <col min="1505" max="1505" width="12.42578125" style="1290" customWidth="1"/>
    <col min="1506" max="1506" width="11.28515625" style="1290" customWidth="1"/>
    <col min="1507" max="1507" width="12.42578125" style="1290" customWidth="1"/>
    <col min="1508" max="1508" width="11.28515625" style="1290" customWidth="1"/>
    <col min="1509" max="1509" width="12.42578125" style="1290" customWidth="1"/>
    <col min="1510" max="1510" width="11.28515625" style="1290" customWidth="1"/>
    <col min="1511" max="1511" width="12.42578125" style="1290" customWidth="1"/>
    <col min="1512" max="1512" width="11.28515625" style="1290" customWidth="1"/>
    <col min="1513" max="1513" width="14.140625" style="1290" customWidth="1"/>
    <col min="1514" max="1514" width="10.28515625" style="1290" customWidth="1"/>
    <col min="1515" max="1515" width="17.140625" style="1290" customWidth="1"/>
    <col min="1516" max="1516" width="12" style="1290" customWidth="1"/>
    <col min="1517" max="1517" width="14.140625" style="1290" customWidth="1"/>
    <col min="1518" max="1518" width="10.28515625" style="1290" customWidth="1"/>
    <col min="1519" max="1519" width="17.140625" style="1290" customWidth="1"/>
    <col min="1520" max="1520" width="12" style="1290" customWidth="1"/>
    <col min="1521" max="1521" width="10.7109375" style="1290" customWidth="1"/>
    <col min="1522" max="1524" width="0" style="1290" hidden="1" customWidth="1"/>
    <col min="1525" max="1752" width="9.140625" style="1290"/>
    <col min="1753" max="1753" width="5.140625" style="1290" customWidth="1"/>
    <col min="1754" max="1754" width="32.42578125" style="1290" customWidth="1"/>
    <col min="1755" max="1757" width="10.28515625" style="1290" customWidth="1"/>
    <col min="1758" max="1759" width="12.42578125" style="1290" customWidth="1"/>
    <col min="1760" max="1760" width="11.28515625" style="1290" customWidth="1"/>
    <col min="1761" max="1761" width="12.42578125" style="1290" customWidth="1"/>
    <col min="1762" max="1762" width="11.28515625" style="1290" customWidth="1"/>
    <col min="1763" max="1763" width="12.42578125" style="1290" customWidth="1"/>
    <col min="1764" max="1764" width="11.28515625" style="1290" customWidth="1"/>
    <col min="1765" max="1765" width="12.42578125" style="1290" customWidth="1"/>
    <col min="1766" max="1766" width="11.28515625" style="1290" customWidth="1"/>
    <col min="1767" max="1767" width="12.42578125" style="1290" customWidth="1"/>
    <col min="1768" max="1768" width="11.28515625" style="1290" customWidth="1"/>
    <col min="1769" max="1769" width="14.140625" style="1290" customWidth="1"/>
    <col min="1770" max="1770" width="10.28515625" style="1290" customWidth="1"/>
    <col min="1771" max="1771" width="17.140625" style="1290" customWidth="1"/>
    <col min="1772" max="1772" width="12" style="1290" customWidth="1"/>
    <col min="1773" max="1773" width="14.140625" style="1290" customWidth="1"/>
    <col min="1774" max="1774" width="10.28515625" style="1290" customWidth="1"/>
    <col min="1775" max="1775" width="17.140625" style="1290" customWidth="1"/>
    <col min="1776" max="1776" width="12" style="1290" customWidth="1"/>
    <col min="1777" max="1777" width="10.7109375" style="1290" customWidth="1"/>
    <col min="1778" max="1780" width="0" style="1290" hidden="1" customWidth="1"/>
    <col min="1781" max="2008" width="9.140625" style="1290"/>
    <col min="2009" max="2009" width="5.140625" style="1290" customWidth="1"/>
    <col min="2010" max="2010" width="32.42578125" style="1290" customWidth="1"/>
    <col min="2011" max="2013" width="10.28515625" style="1290" customWidth="1"/>
    <col min="2014" max="2015" width="12.42578125" style="1290" customWidth="1"/>
    <col min="2016" max="2016" width="11.28515625" style="1290" customWidth="1"/>
    <col min="2017" max="2017" width="12.42578125" style="1290" customWidth="1"/>
    <col min="2018" max="2018" width="11.28515625" style="1290" customWidth="1"/>
    <col min="2019" max="2019" width="12.42578125" style="1290" customWidth="1"/>
    <col min="2020" max="2020" width="11.28515625" style="1290" customWidth="1"/>
    <col min="2021" max="2021" width="12.42578125" style="1290" customWidth="1"/>
    <col min="2022" max="2022" width="11.28515625" style="1290" customWidth="1"/>
    <col min="2023" max="2023" width="12.42578125" style="1290" customWidth="1"/>
    <col min="2024" max="2024" width="11.28515625" style="1290" customWidth="1"/>
    <col min="2025" max="2025" width="14.140625" style="1290" customWidth="1"/>
    <col min="2026" max="2026" width="10.28515625" style="1290" customWidth="1"/>
    <col min="2027" max="2027" width="17.140625" style="1290" customWidth="1"/>
    <col min="2028" max="2028" width="12" style="1290" customWidth="1"/>
    <col min="2029" max="2029" width="14.140625" style="1290" customWidth="1"/>
    <col min="2030" max="2030" width="10.28515625" style="1290" customWidth="1"/>
    <col min="2031" max="2031" width="17.140625" style="1290" customWidth="1"/>
    <col min="2032" max="2032" width="12" style="1290" customWidth="1"/>
    <col min="2033" max="2033" width="10.7109375" style="1290" customWidth="1"/>
    <col min="2034" max="2036" width="0" style="1290" hidden="1" customWidth="1"/>
    <col min="2037" max="2264" width="9.140625" style="1290"/>
    <col min="2265" max="2265" width="5.140625" style="1290" customWidth="1"/>
    <col min="2266" max="2266" width="32.42578125" style="1290" customWidth="1"/>
    <col min="2267" max="2269" width="10.28515625" style="1290" customWidth="1"/>
    <col min="2270" max="2271" width="12.42578125" style="1290" customWidth="1"/>
    <col min="2272" max="2272" width="11.28515625" style="1290" customWidth="1"/>
    <col min="2273" max="2273" width="12.42578125" style="1290" customWidth="1"/>
    <col min="2274" max="2274" width="11.28515625" style="1290" customWidth="1"/>
    <col min="2275" max="2275" width="12.42578125" style="1290" customWidth="1"/>
    <col min="2276" max="2276" width="11.28515625" style="1290" customWidth="1"/>
    <col min="2277" max="2277" width="12.42578125" style="1290" customWidth="1"/>
    <col min="2278" max="2278" width="11.28515625" style="1290" customWidth="1"/>
    <col min="2279" max="2279" width="12.42578125" style="1290" customWidth="1"/>
    <col min="2280" max="2280" width="11.28515625" style="1290" customWidth="1"/>
    <col min="2281" max="2281" width="14.140625" style="1290" customWidth="1"/>
    <col min="2282" max="2282" width="10.28515625" style="1290" customWidth="1"/>
    <col min="2283" max="2283" width="17.140625" style="1290" customWidth="1"/>
    <col min="2284" max="2284" width="12" style="1290" customWidth="1"/>
    <col min="2285" max="2285" width="14.140625" style="1290" customWidth="1"/>
    <col min="2286" max="2286" width="10.28515625" style="1290" customWidth="1"/>
    <col min="2287" max="2287" width="17.140625" style="1290" customWidth="1"/>
    <col min="2288" max="2288" width="12" style="1290" customWidth="1"/>
    <col min="2289" max="2289" width="10.7109375" style="1290" customWidth="1"/>
    <col min="2290" max="2292" width="0" style="1290" hidden="1" customWidth="1"/>
    <col min="2293" max="2520" width="9.140625" style="1290"/>
    <col min="2521" max="2521" width="5.140625" style="1290" customWidth="1"/>
    <col min="2522" max="2522" width="32.42578125" style="1290" customWidth="1"/>
    <col min="2523" max="2525" width="10.28515625" style="1290" customWidth="1"/>
    <col min="2526" max="2527" width="12.42578125" style="1290" customWidth="1"/>
    <col min="2528" max="2528" width="11.28515625" style="1290" customWidth="1"/>
    <col min="2529" max="2529" width="12.42578125" style="1290" customWidth="1"/>
    <col min="2530" max="2530" width="11.28515625" style="1290" customWidth="1"/>
    <col min="2531" max="2531" width="12.42578125" style="1290" customWidth="1"/>
    <col min="2532" max="2532" width="11.28515625" style="1290" customWidth="1"/>
    <col min="2533" max="2533" width="12.42578125" style="1290" customWidth="1"/>
    <col min="2534" max="2534" width="11.28515625" style="1290" customWidth="1"/>
    <col min="2535" max="2535" width="12.42578125" style="1290" customWidth="1"/>
    <col min="2536" max="2536" width="11.28515625" style="1290" customWidth="1"/>
    <col min="2537" max="2537" width="14.140625" style="1290" customWidth="1"/>
    <col min="2538" max="2538" width="10.28515625" style="1290" customWidth="1"/>
    <col min="2539" max="2539" width="17.140625" style="1290" customWidth="1"/>
    <col min="2540" max="2540" width="12" style="1290" customWidth="1"/>
    <col min="2541" max="2541" width="14.140625" style="1290" customWidth="1"/>
    <col min="2542" max="2542" width="10.28515625" style="1290" customWidth="1"/>
    <col min="2543" max="2543" width="17.140625" style="1290" customWidth="1"/>
    <col min="2544" max="2544" width="12" style="1290" customWidth="1"/>
    <col min="2545" max="2545" width="10.7109375" style="1290" customWidth="1"/>
    <col min="2546" max="2548" width="0" style="1290" hidden="1" customWidth="1"/>
    <col min="2549" max="2776" width="9.140625" style="1290"/>
    <col min="2777" max="2777" width="5.140625" style="1290" customWidth="1"/>
    <col min="2778" max="2778" width="32.42578125" style="1290" customWidth="1"/>
    <col min="2779" max="2781" width="10.28515625" style="1290" customWidth="1"/>
    <col min="2782" max="2783" width="12.42578125" style="1290" customWidth="1"/>
    <col min="2784" max="2784" width="11.28515625" style="1290" customWidth="1"/>
    <col min="2785" max="2785" width="12.42578125" style="1290" customWidth="1"/>
    <col min="2786" max="2786" width="11.28515625" style="1290" customWidth="1"/>
    <col min="2787" max="2787" width="12.42578125" style="1290" customWidth="1"/>
    <col min="2788" max="2788" width="11.28515625" style="1290" customWidth="1"/>
    <col min="2789" max="2789" width="12.42578125" style="1290" customWidth="1"/>
    <col min="2790" max="2790" width="11.28515625" style="1290" customWidth="1"/>
    <col min="2791" max="2791" width="12.42578125" style="1290" customWidth="1"/>
    <col min="2792" max="2792" width="11.28515625" style="1290" customWidth="1"/>
    <col min="2793" max="2793" width="14.140625" style="1290" customWidth="1"/>
    <col min="2794" max="2794" width="10.28515625" style="1290" customWidth="1"/>
    <col min="2795" max="2795" width="17.140625" style="1290" customWidth="1"/>
    <col min="2796" max="2796" width="12" style="1290" customWidth="1"/>
    <col min="2797" max="2797" width="14.140625" style="1290" customWidth="1"/>
    <col min="2798" max="2798" width="10.28515625" style="1290" customWidth="1"/>
    <col min="2799" max="2799" width="17.140625" style="1290" customWidth="1"/>
    <col min="2800" max="2800" width="12" style="1290" customWidth="1"/>
    <col min="2801" max="2801" width="10.7109375" style="1290" customWidth="1"/>
    <col min="2802" max="2804" width="0" style="1290" hidden="1" customWidth="1"/>
    <col min="2805" max="3032" width="9.140625" style="1290"/>
    <col min="3033" max="3033" width="5.140625" style="1290" customWidth="1"/>
    <col min="3034" max="3034" width="32.42578125" style="1290" customWidth="1"/>
    <col min="3035" max="3037" width="10.28515625" style="1290" customWidth="1"/>
    <col min="3038" max="3039" width="12.42578125" style="1290" customWidth="1"/>
    <col min="3040" max="3040" width="11.28515625" style="1290" customWidth="1"/>
    <col min="3041" max="3041" width="12.42578125" style="1290" customWidth="1"/>
    <col min="3042" max="3042" width="11.28515625" style="1290" customWidth="1"/>
    <col min="3043" max="3043" width="12.42578125" style="1290" customWidth="1"/>
    <col min="3044" max="3044" width="11.28515625" style="1290" customWidth="1"/>
    <col min="3045" max="3045" width="12.42578125" style="1290" customWidth="1"/>
    <col min="3046" max="3046" width="11.28515625" style="1290" customWidth="1"/>
    <col min="3047" max="3047" width="12.42578125" style="1290" customWidth="1"/>
    <col min="3048" max="3048" width="11.28515625" style="1290" customWidth="1"/>
    <col min="3049" max="3049" width="14.140625" style="1290" customWidth="1"/>
    <col min="3050" max="3050" width="10.28515625" style="1290" customWidth="1"/>
    <col min="3051" max="3051" width="17.140625" style="1290" customWidth="1"/>
    <col min="3052" max="3052" width="12" style="1290" customWidth="1"/>
    <col min="3053" max="3053" width="14.140625" style="1290" customWidth="1"/>
    <col min="3054" max="3054" width="10.28515625" style="1290" customWidth="1"/>
    <col min="3055" max="3055" width="17.140625" style="1290" customWidth="1"/>
    <col min="3056" max="3056" width="12" style="1290" customWidth="1"/>
    <col min="3057" max="3057" width="10.7109375" style="1290" customWidth="1"/>
    <col min="3058" max="3060" width="0" style="1290" hidden="1" customWidth="1"/>
    <col min="3061" max="3288" width="9.140625" style="1290"/>
    <col min="3289" max="3289" width="5.140625" style="1290" customWidth="1"/>
    <col min="3290" max="3290" width="32.42578125" style="1290" customWidth="1"/>
    <col min="3291" max="3293" width="10.28515625" style="1290" customWidth="1"/>
    <col min="3294" max="3295" width="12.42578125" style="1290" customWidth="1"/>
    <col min="3296" max="3296" width="11.28515625" style="1290" customWidth="1"/>
    <col min="3297" max="3297" width="12.42578125" style="1290" customWidth="1"/>
    <col min="3298" max="3298" width="11.28515625" style="1290" customWidth="1"/>
    <col min="3299" max="3299" width="12.42578125" style="1290" customWidth="1"/>
    <col min="3300" max="3300" width="11.28515625" style="1290" customWidth="1"/>
    <col min="3301" max="3301" width="12.42578125" style="1290" customWidth="1"/>
    <col min="3302" max="3302" width="11.28515625" style="1290" customWidth="1"/>
    <col min="3303" max="3303" width="12.42578125" style="1290" customWidth="1"/>
    <col min="3304" max="3304" width="11.28515625" style="1290" customWidth="1"/>
    <col min="3305" max="3305" width="14.140625" style="1290" customWidth="1"/>
    <col min="3306" max="3306" width="10.28515625" style="1290" customWidth="1"/>
    <col min="3307" max="3307" width="17.140625" style="1290" customWidth="1"/>
    <col min="3308" max="3308" width="12" style="1290" customWidth="1"/>
    <col min="3309" max="3309" width="14.140625" style="1290" customWidth="1"/>
    <col min="3310" max="3310" width="10.28515625" style="1290" customWidth="1"/>
    <col min="3311" max="3311" width="17.140625" style="1290" customWidth="1"/>
    <col min="3312" max="3312" width="12" style="1290" customWidth="1"/>
    <col min="3313" max="3313" width="10.7109375" style="1290" customWidth="1"/>
    <col min="3314" max="3316" width="0" style="1290" hidden="1" customWidth="1"/>
    <col min="3317" max="3544" width="9.140625" style="1290"/>
    <col min="3545" max="3545" width="5.140625" style="1290" customWidth="1"/>
    <col min="3546" max="3546" width="32.42578125" style="1290" customWidth="1"/>
    <col min="3547" max="3549" width="10.28515625" style="1290" customWidth="1"/>
    <col min="3550" max="3551" width="12.42578125" style="1290" customWidth="1"/>
    <col min="3552" max="3552" width="11.28515625" style="1290" customWidth="1"/>
    <col min="3553" max="3553" width="12.42578125" style="1290" customWidth="1"/>
    <col min="3554" max="3554" width="11.28515625" style="1290" customWidth="1"/>
    <col min="3555" max="3555" width="12.42578125" style="1290" customWidth="1"/>
    <col min="3556" max="3556" width="11.28515625" style="1290" customWidth="1"/>
    <col min="3557" max="3557" width="12.42578125" style="1290" customWidth="1"/>
    <col min="3558" max="3558" width="11.28515625" style="1290" customWidth="1"/>
    <col min="3559" max="3559" width="12.42578125" style="1290" customWidth="1"/>
    <col min="3560" max="3560" width="11.28515625" style="1290" customWidth="1"/>
    <col min="3561" max="3561" width="14.140625" style="1290" customWidth="1"/>
    <col min="3562" max="3562" width="10.28515625" style="1290" customWidth="1"/>
    <col min="3563" max="3563" width="17.140625" style="1290" customWidth="1"/>
    <col min="3564" max="3564" width="12" style="1290" customWidth="1"/>
    <col min="3565" max="3565" width="14.140625" style="1290" customWidth="1"/>
    <col min="3566" max="3566" width="10.28515625" style="1290" customWidth="1"/>
    <col min="3567" max="3567" width="17.140625" style="1290" customWidth="1"/>
    <col min="3568" max="3568" width="12" style="1290" customWidth="1"/>
    <col min="3569" max="3569" width="10.7109375" style="1290" customWidth="1"/>
    <col min="3570" max="3572" width="0" style="1290" hidden="1" customWidth="1"/>
    <col min="3573" max="3800" width="9.140625" style="1290"/>
    <col min="3801" max="3801" width="5.140625" style="1290" customWidth="1"/>
    <col min="3802" max="3802" width="32.42578125" style="1290" customWidth="1"/>
    <col min="3803" max="3805" width="10.28515625" style="1290" customWidth="1"/>
    <col min="3806" max="3807" width="12.42578125" style="1290" customWidth="1"/>
    <col min="3808" max="3808" width="11.28515625" style="1290" customWidth="1"/>
    <col min="3809" max="3809" width="12.42578125" style="1290" customWidth="1"/>
    <col min="3810" max="3810" width="11.28515625" style="1290" customWidth="1"/>
    <col min="3811" max="3811" width="12.42578125" style="1290" customWidth="1"/>
    <col min="3812" max="3812" width="11.28515625" style="1290" customWidth="1"/>
    <col min="3813" max="3813" width="12.42578125" style="1290" customWidth="1"/>
    <col min="3814" max="3814" width="11.28515625" style="1290" customWidth="1"/>
    <col min="3815" max="3815" width="12.42578125" style="1290" customWidth="1"/>
    <col min="3816" max="3816" width="11.28515625" style="1290" customWidth="1"/>
    <col min="3817" max="3817" width="14.140625" style="1290" customWidth="1"/>
    <col min="3818" max="3818" width="10.28515625" style="1290" customWidth="1"/>
    <col min="3819" max="3819" width="17.140625" style="1290" customWidth="1"/>
    <col min="3820" max="3820" width="12" style="1290" customWidth="1"/>
    <col min="3821" max="3821" width="14.140625" style="1290" customWidth="1"/>
    <col min="3822" max="3822" width="10.28515625" style="1290" customWidth="1"/>
    <col min="3823" max="3823" width="17.140625" style="1290" customWidth="1"/>
    <col min="3824" max="3824" width="12" style="1290" customWidth="1"/>
    <col min="3825" max="3825" width="10.7109375" style="1290" customWidth="1"/>
    <col min="3826" max="3828" width="0" style="1290" hidden="1" customWidth="1"/>
    <col min="3829" max="4056" width="9.140625" style="1290"/>
    <col min="4057" max="4057" width="5.140625" style="1290" customWidth="1"/>
    <col min="4058" max="4058" width="32.42578125" style="1290" customWidth="1"/>
    <col min="4059" max="4061" width="10.28515625" style="1290" customWidth="1"/>
    <col min="4062" max="4063" width="12.42578125" style="1290" customWidth="1"/>
    <col min="4064" max="4064" width="11.28515625" style="1290" customWidth="1"/>
    <col min="4065" max="4065" width="12.42578125" style="1290" customWidth="1"/>
    <col min="4066" max="4066" width="11.28515625" style="1290" customWidth="1"/>
    <col min="4067" max="4067" width="12.42578125" style="1290" customWidth="1"/>
    <col min="4068" max="4068" width="11.28515625" style="1290" customWidth="1"/>
    <col min="4069" max="4069" width="12.42578125" style="1290" customWidth="1"/>
    <col min="4070" max="4070" width="11.28515625" style="1290" customWidth="1"/>
    <col min="4071" max="4071" width="12.42578125" style="1290" customWidth="1"/>
    <col min="4072" max="4072" width="11.28515625" style="1290" customWidth="1"/>
    <col min="4073" max="4073" width="14.140625" style="1290" customWidth="1"/>
    <col min="4074" max="4074" width="10.28515625" style="1290" customWidth="1"/>
    <col min="4075" max="4075" width="17.140625" style="1290" customWidth="1"/>
    <col min="4076" max="4076" width="12" style="1290" customWidth="1"/>
    <col min="4077" max="4077" width="14.140625" style="1290" customWidth="1"/>
    <col min="4078" max="4078" width="10.28515625" style="1290" customWidth="1"/>
    <col min="4079" max="4079" width="17.140625" style="1290" customWidth="1"/>
    <col min="4080" max="4080" width="12" style="1290" customWidth="1"/>
    <col min="4081" max="4081" width="10.7109375" style="1290" customWidth="1"/>
    <col min="4082" max="4084" width="0" style="1290" hidden="1" customWidth="1"/>
    <col min="4085" max="4312" width="9.140625" style="1290"/>
    <col min="4313" max="4313" width="5.140625" style="1290" customWidth="1"/>
    <col min="4314" max="4314" width="32.42578125" style="1290" customWidth="1"/>
    <col min="4315" max="4317" width="10.28515625" style="1290" customWidth="1"/>
    <col min="4318" max="4319" width="12.42578125" style="1290" customWidth="1"/>
    <col min="4320" max="4320" width="11.28515625" style="1290" customWidth="1"/>
    <col min="4321" max="4321" width="12.42578125" style="1290" customWidth="1"/>
    <col min="4322" max="4322" width="11.28515625" style="1290" customWidth="1"/>
    <col min="4323" max="4323" width="12.42578125" style="1290" customWidth="1"/>
    <col min="4324" max="4324" width="11.28515625" style="1290" customWidth="1"/>
    <col min="4325" max="4325" width="12.42578125" style="1290" customWidth="1"/>
    <col min="4326" max="4326" width="11.28515625" style="1290" customWidth="1"/>
    <col min="4327" max="4327" width="12.42578125" style="1290" customWidth="1"/>
    <col min="4328" max="4328" width="11.28515625" style="1290" customWidth="1"/>
    <col min="4329" max="4329" width="14.140625" style="1290" customWidth="1"/>
    <col min="4330" max="4330" width="10.28515625" style="1290" customWidth="1"/>
    <col min="4331" max="4331" width="17.140625" style="1290" customWidth="1"/>
    <col min="4332" max="4332" width="12" style="1290" customWidth="1"/>
    <col min="4333" max="4333" width="14.140625" style="1290" customWidth="1"/>
    <col min="4334" max="4334" width="10.28515625" style="1290" customWidth="1"/>
    <col min="4335" max="4335" width="17.140625" style="1290" customWidth="1"/>
    <col min="4336" max="4336" width="12" style="1290" customWidth="1"/>
    <col min="4337" max="4337" width="10.7109375" style="1290" customWidth="1"/>
    <col min="4338" max="4340" width="0" style="1290" hidden="1" customWidth="1"/>
    <col min="4341" max="4568" width="9.140625" style="1290"/>
    <col min="4569" max="4569" width="5.140625" style="1290" customWidth="1"/>
    <col min="4570" max="4570" width="32.42578125" style="1290" customWidth="1"/>
    <col min="4571" max="4573" width="10.28515625" style="1290" customWidth="1"/>
    <col min="4574" max="4575" width="12.42578125" style="1290" customWidth="1"/>
    <col min="4576" max="4576" width="11.28515625" style="1290" customWidth="1"/>
    <col min="4577" max="4577" width="12.42578125" style="1290" customWidth="1"/>
    <col min="4578" max="4578" width="11.28515625" style="1290" customWidth="1"/>
    <col min="4579" max="4579" width="12.42578125" style="1290" customWidth="1"/>
    <col min="4580" max="4580" width="11.28515625" style="1290" customWidth="1"/>
    <col min="4581" max="4581" width="12.42578125" style="1290" customWidth="1"/>
    <col min="4582" max="4582" width="11.28515625" style="1290" customWidth="1"/>
    <col min="4583" max="4583" width="12.42578125" style="1290" customWidth="1"/>
    <col min="4584" max="4584" width="11.28515625" style="1290" customWidth="1"/>
    <col min="4585" max="4585" width="14.140625" style="1290" customWidth="1"/>
    <col min="4586" max="4586" width="10.28515625" style="1290" customWidth="1"/>
    <col min="4587" max="4587" width="17.140625" style="1290" customWidth="1"/>
    <col min="4588" max="4588" width="12" style="1290" customWidth="1"/>
    <col min="4589" max="4589" width="14.140625" style="1290" customWidth="1"/>
    <col min="4590" max="4590" width="10.28515625" style="1290" customWidth="1"/>
    <col min="4591" max="4591" width="17.140625" style="1290" customWidth="1"/>
    <col min="4592" max="4592" width="12" style="1290" customWidth="1"/>
    <col min="4593" max="4593" width="10.7109375" style="1290" customWidth="1"/>
    <col min="4594" max="4596" width="0" style="1290" hidden="1" customWidth="1"/>
    <col min="4597" max="4824" width="9.140625" style="1290"/>
    <col min="4825" max="4825" width="5.140625" style="1290" customWidth="1"/>
    <col min="4826" max="4826" width="32.42578125" style="1290" customWidth="1"/>
    <col min="4827" max="4829" width="10.28515625" style="1290" customWidth="1"/>
    <col min="4830" max="4831" width="12.42578125" style="1290" customWidth="1"/>
    <col min="4832" max="4832" width="11.28515625" style="1290" customWidth="1"/>
    <col min="4833" max="4833" width="12.42578125" style="1290" customWidth="1"/>
    <col min="4834" max="4834" width="11.28515625" style="1290" customWidth="1"/>
    <col min="4835" max="4835" width="12.42578125" style="1290" customWidth="1"/>
    <col min="4836" max="4836" width="11.28515625" style="1290" customWidth="1"/>
    <col min="4837" max="4837" width="12.42578125" style="1290" customWidth="1"/>
    <col min="4838" max="4838" width="11.28515625" style="1290" customWidth="1"/>
    <col min="4839" max="4839" width="12.42578125" style="1290" customWidth="1"/>
    <col min="4840" max="4840" width="11.28515625" style="1290" customWidth="1"/>
    <col min="4841" max="4841" width="14.140625" style="1290" customWidth="1"/>
    <col min="4842" max="4842" width="10.28515625" style="1290" customWidth="1"/>
    <col min="4843" max="4843" width="17.140625" style="1290" customWidth="1"/>
    <col min="4844" max="4844" width="12" style="1290" customWidth="1"/>
    <col min="4845" max="4845" width="14.140625" style="1290" customWidth="1"/>
    <col min="4846" max="4846" width="10.28515625" style="1290" customWidth="1"/>
    <col min="4847" max="4847" width="17.140625" style="1290" customWidth="1"/>
    <col min="4848" max="4848" width="12" style="1290" customWidth="1"/>
    <col min="4849" max="4849" width="10.7109375" style="1290" customWidth="1"/>
    <col min="4850" max="4852" width="0" style="1290" hidden="1" customWidth="1"/>
    <col min="4853" max="5080" width="9.140625" style="1290"/>
    <col min="5081" max="5081" width="5.140625" style="1290" customWidth="1"/>
    <col min="5082" max="5082" width="32.42578125" style="1290" customWidth="1"/>
    <col min="5083" max="5085" width="10.28515625" style="1290" customWidth="1"/>
    <col min="5086" max="5087" width="12.42578125" style="1290" customWidth="1"/>
    <col min="5088" max="5088" width="11.28515625" style="1290" customWidth="1"/>
    <col min="5089" max="5089" width="12.42578125" style="1290" customWidth="1"/>
    <col min="5090" max="5090" width="11.28515625" style="1290" customWidth="1"/>
    <col min="5091" max="5091" width="12.42578125" style="1290" customWidth="1"/>
    <col min="5092" max="5092" width="11.28515625" style="1290" customWidth="1"/>
    <col min="5093" max="5093" width="12.42578125" style="1290" customWidth="1"/>
    <col min="5094" max="5094" width="11.28515625" style="1290" customWidth="1"/>
    <col min="5095" max="5095" width="12.42578125" style="1290" customWidth="1"/>
    <col min="5096" max="5096" width="11.28515625" style="1290" customWidth="1"/>
    <col min="5097" max="5097" width="14.140625" style="1290" customWidth="1"/>
    <col min="5098" max="5098" width="10.28515625" style="1290" customWidth="1"/>
    <col min="5099" max="5099" width="17.140625" style="1290" customWidth="1"/>
    <col min="5100" max="5100" width="12" style="1290" customWidth="1"/>
    <col min="5101" max="5101" width="14.140625" style="1290" customWidth="1"/>
    <col min="5102" max="5102" width="10.28515625" style="1290" customWidth="1"/>
    <col min="5103" max="5103" width="17.140625" style="1290" customWidth="1"/>
    <col min="5104" max="5104" width="12" style="1290" customWidth="1"/>
    <col min="5105" max="5105" width="10.7109375" style="1290" customWidth="1"/>
    <col min="5106" max="5108" width="0" style="1290" hidden="1" customWidth="1"/>
    <col min="5109" max="5336" width="9.140625" style="1290"/>
    <col min="5337" max="5337" width="5.140625" style="1290" customWidth="1"/>
    <col min="5338" max="5338" width="32.42578125" style="1290" customWidth="1"/>
    <col min="5339" max="5341" width="10.28515625" style="1290" customWidth="1"/>
    <col min="5342" max="5343" width="12.42578125" style="1290" customWidth="1"/>
    <col min="5344" max="5344" width="11.28515625" style="1290" customWidth="1"/>
    <col min="5345" max="5345" width="12.42578125" style="1290" customWidth="1"/>
    <col min="5346" max="5346" width="11.28515625" style="1290" customWidth="1"/>
    <col min="5347" max="5347" width="12.42578125" style="1290" customWidth="1"/>
    <col min="5348" max="5348" width="11.28515625" style="1290" customWidth="1"/>
    <col min="5349" max="5349" width="12.42578125" style="1290" customWidth="1"/>
    <col min="5350" max="5350" width="11.28515625" style="1290" customWidth="1"/>
    <col min="5351" max="5351" width="12.42578125" style="1290" customWidth="1"/>
    <col min="5352" max="5352" width="11.28515625" style="1290" customWidth="1"/>
    <col min="5353" max="5353" width="14.140625" style="1290" customWidth="1"/>
    <col min="5354" max="5354" width="10.28515625" style="1290" customWidth="1"/>
    <col min="5355" max="5355" width="17.140625" style="1290" customWidth="1"/>
    <col min="5356" max="5356" width="12" style="1290" customWidth="1"/>
    <col min="5357" max="5357" width="14.140625" style="1290" customWidth="1"/>
    <col min="5358" max="5358" width="10.28515625" style="1290" customWidth="1"/>
    <col min="5359" max="5359" width="17.140625" style="1290" customWidth="1"/>
    <col min="5360" max="5360" width="12" style="1290" customWidth="1"/>
    <col min="5361" max="5361" width="10.7109375" style="1290" customWidth="1"/>
    <col min="5362" max="5364" width="0" style="1290" hidden="1" customWidth="1"/>
    <col min="5365" max="5592" width="9.140625" style="1290"/>
    <col min="5593" max="5593" width="5.140625" style="1290" customWidth="1"/>
    <col min="5594" max="5594" width="32.42578125" style="1290" customWidth="1"/>
    <col min="5595" max="5597" width="10.28515625" style="1290" customWidth="1"/>
    <col min="5598" max="5599" width="12.42578125" style="1290" customWidth="1"/>
    <col min="5600" max="5600" width="11.28515625" style="1290" customWidth="1"/>
    <col min="5601" max="5601" width="12.42578125" style="1290" customWidth="1"/>
    <col min="5602" max="5602" width="11.28515625" style="1290" customWidth="1"/>
    <col min="5603" max="5603" width="12.42578125" style="1290" customWidth="1"/>
    <col min="5604" max="5604" width="11.28515625" style="1290" customWidth="1"/>
    <col min="5605" max="5605" width="12.42578125" style="1290" customWidth="1"/>
    <col min="5606" max="5606" width="11.28515625" style="1290" customWidth="1"/>
    <col min="5607" max="5607" width="12.42578125" style="1290" customWidth="1"/>
    <col min="5608" max="5608" width="11.28515625" style="1290" customWidth="1"/>
    <col min="5609" max="5609" width="14.140625" style="1290" customWidth="1"/>
    <col min="5610" max="5610" width="10.28515625" style="1290" customWidth="1"/>
    <col min="5611" max="5611" width="17.140625" style="1290" customWidth="1"/>
    <col min="5612" max="5612" width="12" style="1290" customWidth="1"/>
    <col min="5613" max="5613" width="14.140625" style="1290" customWidth="1"/>
    <col min="5614" max="5614" width="10.28515625" style="1290" customWidth="1"/>
    <col min="5615" max="5615" width="17.140625" style="1290" customWidth="1"/>
    <col min="5616" max="5616" width="12" style="1290" customWidth="1"/>
    <col min="5617" max="5617" width="10.7109375" style="1290" customWidth="1"/>
    <col min="5618" max="5620" width="0" style="1290" hidden="1" customWidth="1"/>
    <col min="5621" max="5848" width="9.140625" style="1290"/>
    <col min="5849" max="5849" width="5.140625" style="1290" customWidth="1"/>
    <col min="5850" max="5850" width="32.42578125" style="1290" customWidth="1"/>
    <col min="5851" max="5853" width="10.28515625" style="1290" customWidth="1"/>
    <col min="5854" max="5855" width="12.42578125" style="1290" customWidth="1"/>
    <col min="5856" max="5856" width="11.28515625" style="1290" customWidth="1"/>
    <col min="5857" max="5857" width="12.42578125" style="1290" customWidth="1"/>
    <col min="5858" max="5858" width="11.28515625" style="1290" customWidth="1"/>
    <col min="5859" max="5859" width="12.42578125" style="1290" customWidth="1"/>
    <col min="5860" max="5860" width="11.28515625" style="1290" customWidth="1"/>
    <col min="5861" max="5861" width="12.42578125" style="1290" customWidth="1"/>
    <col min="5862" max="5862" width="11.28515625" style="1290" customWidth="1"/>
    <col min="5863" max="5863" width="12.42578125" style="1290" customWidth="1"/>
    <col min="5864" max="5864" width="11.28515625" style="1290" customWidth="1"/>
    <col min="5865" max="5865" width="14.140625" style="1290" customWidth="1"/>
    <col min="5866" max="5866" width="10.28515625" style="1290" customWidth="1"/>
    <col min="5867" max="5867" width="17.140625" style="1290" customWidth="1"/>
    <col min="5868" max="5868" width="12" style="1290" customWidth="1"/>
    <col min="5869" max="5869" width="14.140625" style="1290" customWidth="1"/>
    <col min="5870" max="5870" width="10.28515625" style="1290" customWidth="1"/>
    <col min="5871" max="5871" width="17.140625" style="1290" customWidth="1"/>
    <col min="5872" max="5872" width="12" style="1290" customWidth="1"/>
    <col min="5873" max="5873" width="10.7109375" style="1290" customWidth="1"/>
    <col min="5874" max="5876" width="0" style="1290" hidden="1" customWidth="1"/>
    <col min="5877" max="6104" width="9.140625" style="1290"/>
    <col min="6105" max="6105" width="5.140625" style="1290" customWidth="1"/>
    <col min="6106" max="6106" width="32.42578125" style="1290" customWidth="1"/>
    <col min="6107" max="6109" width="10.28515625" style="1290" customWidth="1"/>
    <col min="6110" max="6111" width="12.42578125" style="1290" customWidth="1"/>
    <col min="6112" max="6112" width="11.28515625" style="1290" customWidth="1"/>
    <col min="6113" max="6113" width="12.42578125" style="1290" customWidth="1"/>
    <col min="6114" max="6114" width="11.28515625" style="1290" customWidth="1"/>
    <col min="6115" max="6115" width="12.42578125" style="1290" customWidth="1"/>
    <col min="6116" max="6116" width="11.28515625" style="1290" customWidth="1"/>
    <col min="6117" max="6117" width="12.42578125" style="1290" customWidth="1"/>
    <col min="6118" max="6118" width="11.28515625" style="1290" customWidth="1"/>
    <col min="6119" max="6119" width="12.42578125" style="1290" customWidth="1"/>
    <col min="6120" max="6120" width="11.28515625" style="1290" customWidth="1"/>
    <col min="6121" max="6121" width="14.140625" style="1290" customWidth="1"/>
    <col min="6122" max="6122" width="10.28515625" style="1290" customWidth="1"/>
    <col min="6123" max="6123" width="17.140625" style="1290" customWidth="1"/>
    <col min="6124" max="6124" width="12" style="1290" customWidth="1"/>
    <col min="6125" max="6125" width="14.140625" style="1290" customWidth="1"/>
    <col min="6126" max="6126" width="10.28515625" style="1290" customWidth="1"/>
    <col min="6127" max="6127" width="17.140625" style="1290" customWidth="1"/>
    <col min="6128" max="6128" width="12" style="1290" customWidth="1"/>
    <col min="6129" max="6129" width="10.7109375" style="1290" customWidth="1"/>
    <col min="6130" max="6132" width="0" style="1290" hidden="1" customWidth="1"/>
    <col min="6133" max="6360" width="9.140625" style="1290"/>
    <col min="6361" max="6361" width="5.140625" style="1290" customWidth="1"/>
    <col min="6362" max="6362" width="32.42578125" style="1290" customWidth="1"/>
    <col min="6363" max="6365" width="10.28515625" style="1290" customWidth="1"/>
    <col min="6366" max="6367" width="12.42578125" style="1290" customWidth="1"/>
    <col min="6368" max="6368" width="11.28515625" style="1290" customWidth="1"/>
    <col min="6369" max="6369" width="12.42578125" style="1290" customWidth="1"/>
    <col min="6370" max="6370" width="11.28515625" style="1290" customWidth="1"/>
    <col min="6371" max="6371" width="12.42578125" style="1290" customWidth="1"/>
    <col min="6372" max="6372" width="11.28515625" style="1290" customWidth="1"/>
    <col min="6373" max="6373" width="12.42578125" style="1290" customWidth="1"/>
    <col min="6374" max="6374" width="11.28515625" style="1290" customWidth="1"/>
    <col min="6375" max="6375" width="12.42578125" style="1290" customWidth="1"/>
    <col min="6376" max="6376" width="11.28515625" style="1290" customWidth="1"/>
    <col min="6377" max="6377" width="14.140625" style="1290" customWidth="1"/>
    <col min="6378" max="6378" width="10.28515625" style="1290" customWidth="1"/>
    <col min="6379" max="6379" width="17.140625" style="1290" customWidth="1"/>
    <col min="6380" max="6380" width="12" style="1290" customWidth="1"/>
    <col min="6381" max="6381" width="14.140625" style="1290" customWidth="1"/>
    <col min="6382" max="6382" width="10.28515625" style="1290" customWidth="1"/>
    <col min="6383" max="6383" width="17.140625" style="1290" customWidth="1"/>
    <col min="6384" max="6384" width="12" style="1290" customWidth="1"/>
    <col min="6385" max="6385" width="10.7109375" style="1290" customWidth="1"/>
    <col min="6386" max="6388" width="0" style="1290" hidden="1" customWidth="1"/>
    <col min="6389" max="6616" width="9.140625" style="1290"/>
    <col min="6617" max="6617" width="5.140625" style="1290" customWidth="1"/>
    <col min="6618" max="6618" width="32.42578125" style="1290" customWidth="1"/>
    <col min="6619" max="6621" width="10.28515625" style="1290" customWidth="1"/>
    <col min="6622" max="6623" width="12.42578125" style="1290" customWidth="1"/>
    <col min="6624" max="6624" width="11.28515625" style="1290" customWidth="1"/>
    <col min="6625" max="6625" width="12.42578125" style="1290" customWidth="1"/>
    <col min="6626" max="6626" width="11.28515625" style="1290" customWidth="1"/>
    <col min="6627" max="6627" width="12.42578125" style="1290" customWidth="1"/>
    <col min="6628" max="6628" width="11.28515625" style="1290" customWidth="1"/>
    <col min="6629" max="6629" width="12.42578125" style="1290" customWidth="1"/>
    <col min="6630" max="6630" width="11.28515625" style="1290" customWidth="1"/>
    <col min="6631" max="6631" width="12.42578125" style="1290" customWidth="1"/>
    <col min="6632" max="6632" width="11.28515625" style="1290" customWidth="1"/>
    <col min="6633" max="6633" width="14.140625" style="1290" customWidth="1"/>
    <col min="6634" max="6634" width="10.28515625" style="1290" customWidth="1"/>
    <col min="6635" max="6635" width="17.140625" style="1290" customWidth="1"/>
    <col min="6636" max="6636" width="12" style="1290" customWidth="1"/>
    <col min="6637" max="6637" width="14.140625" style="1290" customWidth="1"/>
    <col min="6638" max="6638" width="10.28515625" style="1290" customWidth="1"/>
    <col min="6639" max="6639" width="17.140625" style="1290" customWidth="1"/>
    <col min="6640" max="6640" width="12" style="1290" customWidth="1"/>
    <col min="6641" max="6641" width="10.7109375" style="1290" customWidth="1"/>
    <col min="6642" max="6644" width="0" style="1290" hidden="1" customWidth="1"/>
    <col min="6645" max="6872" width="9.140625" style="1290"/>
    <col min="6873" max="6873" width="5.140625" style="1290" customWidth="1"/>
    <col min="6874" max="6874" width="32.42578125" style="1290" customWidth="1"/>
    <col min="6875" max="6877" width="10.28515625" style="1290" customWidth="1"/>
    <col min="6878" max="6879" width="12.42578125" style="1290" customWidth="1"/>
    <col min="6880" max="6880" width="11.28515625" style="1290" customWidth="1"/>
    <col min="6881" max="6881" width="12.42578125" style="1290" customWidth="1"/>
    <col min="6882" max="6882" width="11.28515625" style="1290" customWidth="1"/>
    <col min="6883" max="6883" width="12.42578125" style="1290" customWidth="1"/>
    <col min="6884" max="6884" width="11.28515625" style="1290" customWidth="1"/>
    <col min="6885" max="6885" width="12.42578125" style="1290" customWidth="1"/>
    <col min="6886" max="6886" width="11.28515625" style="1290" customWidth="1"/>
    <col min="6887" max="6887" width="12.42578125" style="1290" customWidth="1"/>
    <col min="6888" max="6888" width="11.28515625" style="1290" customWidth="1"/>
    <col min="6889" max="6889" width="14.140625" style="1290" customWidth="1"/>
    <col min="6890" max="6890" width="10.28515625" style="1290" customWidth="1"/>
    <col min="6891" max="6891" width="17.140625" style="1290" customWidth="1"/>
    <col min="6892" max="6892" width="12" style="1290" customWidth="1"/>
    <col min="6893" max="6893" width="14.140625" style="1290" customWidth="1"/>
    <col min="6894" max="6894" width="10.28515625" style="1290" customWidth="1"/>
    <col min="6895" max="6895" width="17.140625" style="1290" customWidth="1"/>
    <col min="6896" max="6896" width="12" style="1290" customWidth="1"/>
    <col min="6897" max="6897" width="10.7109375" style="1290" customWidth="1"/>
    <col min="6898" max="6900" width="0" style="1290" hidden="1" customWidth="1"/>
    <col min="6901" max="7128" width="9.140625" style="1290"/>
    <col min="7129" max="7129" width="5.140625" style="1290" customWidth="1"/>
    <col min="7130" max="7130" width="32.42578125" style="1290" customWidth="1"/>
    <col min="7131" max="7133" width="10.28515625" style="1290" customWidth="1"/>
    <col min="7134" max="7135" width="12.42578125" style="1290" customWidth="1"/>
    <col min="7136" max="7136" width="11.28515625" style="1290" customWidth="1"/>
    <col min="7137" max="7137" width="12.42578125" style="1290" customWidth="1"/>
    <col min="7138" max="7138" width="11.28515625" style="1290" customWidth="1"/>
    <col min="7139" max="7139" width="12.42578125" style="1290" customWidth="1"/>
    <col min="7140" max="7140" width="11.28515625" style="1290" customWidth="1"/>
    <col min="7141" max="7141" width="12.42578125" style="1290" customWidth="1"/>
    <col min="7142" max="7142" width="11.28515625" style="1290" customWidth="1"/>
    <col min="7143" max="7143" width="12.42578125" style="1290" customWidth="1"/>
    <col min="7144" max="7144" width="11.28515625" style="1290" customWidth="1"/>
    <col min="7145" max="7145" width="14.140625" style="1290" customWidth="1"/>
    <col min="7146" max="7146" width="10.28515625" style="1290" customWidth="1"/>
    <col min="7147" max="7147" width="17.140625" style="1290" customWidth="1"/>
    <col min="7148" max="7148" width="12" style="1290" customWidth="1"/>
    <col min="7149" max="7149" width="14.140625" style="1290" customWidth="1"/>
    <col min="7150" max="7150" width="10.28515625" style="1290" customWidth="1"/>
    <col min="7151" max="7151" width="17.140625" style="1290" customWidth="1"/>
    <col min="7152" max="7152" width="12" style="1290" customWidth="1"/>
    <col min="7153" max="7153" width="10.7109375" style="1290" customWidth="1"/>
    <col min="7154" max="7156" width="0" style="1290" hidden="1" customWidth="1"/>
    <col min="7157" max="7384" width="9.140625" style="1290"/>
    <col min="7385" max="7385" width="5.140625" style="1290" customWidth="1"/>
    <col min="7386" max="7386" width="32.42578125" style="1290" customWidth="1"/>
    <col min="7387" max="7389" width="10.28515625" style="1290" customWidth="1"/>
    <col min="7390" max="7391" width="12.42578125" style="1290" customWidth="1"/>
    <col min="7392" max="7392" width="11.28515625" style="1290" customWidth="1"/>
    <col min="7393" max="7393" width="12.42578125" style="1290" customWidth="1"/>
    <col min="7394" max="7394" width="11.28515625" style="1290" customWidth="1"/>
    <col min="7395" max="7395" width="12.42578125" style="1290" customWidth="1"/>
    <col min="7396" max="7396" width="11.28515625" style="1290" customWidth="1"/>
    <col min="7397" max="7397" width="12.42578125" style="1290" customWidth="1"/>
    <col min="7398" max="7398" width="11.28515625" style="1290" customWidth="1"/>
    <col min="7399" max="7399" width="12.42578125" style="1290" customWidth="1"/>
    <col min="7400" max="7400" width="11.28515625" style="1290" customWidth="1"/>
    <col min="7401" max="7401" width="14.140625" style="1290" customWidth="1"/>
    <col min="7402" max="7402" width="10.28515625" style="1290" customWidth="1"/>
    <col min="7403" max="7403" width="17.140625" style="1290" customWidth="1"/>
    <col min="7404" max="7404" width="12" style="1290" customWidth="1"/>
    <col min="7405" max="7405" width="14.140625" style="1290" customWidth="1"/>
    <col min="7406" max="7406" width="10.28515625" style="1290" customWidth="1"/>
    <col min="7407" max="7407" width="17.140625" style="1290" customWidth="1"/>
    <col min="7408" max="7408" width="12" style="1290" customWidth="1"/>
    <col min="7409" max="7409" width="10.7109375" style="1290" customWidth="1"/>
    <col min="7410" max="7412" width="0" style="1290" hidden="1" customWidth="1"/>
    <col min="7413" max="7640" width="9.140625" style="1290"/>
    <col min="7641" max="7641" width="5.140625" style="1290" customWidth="1"/>
    <col min="7642" max="7642" width="32.42578125" style="1290" customWidth="1"/>
    <col min="7643" max="7645" width="10.28515625" style="1290" customWidth="1"/>
    <col min="7646" max="7647" width="12.42578125" style="1290" customWidth="1"/>
    <col min="7648" max="7648" width="11.28515625" style="1290" customWidth="1"/>
    <col min="7649" max="7649" width="12.42578125" style="1290" customWidth="1"/>
    <col min="7650" max="7650" width="11.28515625" style="1290" customWidth="1"/>
    <col min="7651" max="7651" width="12.42578125" style="1290" customWidth="1"/>
    <col min="7652" max="7652" width="11.28515625" style="1290" customWidth="1"/>
    <col min="7653" max="7653" width="12.42578125" style="1290" customWidth="1"/>
    <col min="7654" max="7654" width="11.28515625" style="1290" customWidth="1"/>
    <col min="7655" max="7655" width="12.42578125" style="1290" customWidth="1"/>
    <col min="7656" max="7656" width="11.28515625" style="1290" customWidth="1"/>
    <col min="7657" max="7657" width="14.140625" style="1290" customWidth="1"/>
    <col min="7658" max="7658" width="10.28515625" style="1290" customWidth="1"/>
    <col min="7659" max="7659" width="17.140625" style="1290" customWidth="1"/>
    <col min="7660" max="7660" width="12" style="1290" customWidth="1"/>
    <col min="7661" max="7661" width="14.140625" style="1290" customWidth="1"/>
    <col min="7662" max="7662" width="10.28515625" style="1290" customWidth="1"/>
    <col min="7663" max="7663" width="17.140625" style="1290" customWidth="1"/>
    <col min="7664" max="7664" width="12" style="1290" customWidth="1"/>
    <col min="7665" max="7665" width="10.7109375" style="1290" customWidth="1"/>
    <col min="7666" max="7668" width="0" style="1290" hidden="1" customWidth="1"/>
    <col min="7669" max="7896" width="9.140625" style="1290"/>
    <col min="7897" max="7897" width="5.140625" style="1290" customWidth="1"/>
    <col min="7898" max="7898" width="32.42578125" style="1290" customWidth="1"/>
    <col min="7899" max="7901" width="10.28515625" style="1290" customWidth="1"/>
    <col min="7902" max="7903" width="12.42578125" style="1290" customWidth="1"/>
    <col min="7904" max="7904" width="11.28515625" style="1290" customWidth="1"/>
    <col min="7905" max="7905" width="12.42578125" style="1290" customWidth="1"/>
    <col min="7906" max="7906" width="11.28515625" style="1290" customWidth="1"/>
    <col min="7907" max="7907" width="12.42578125" style="1290" customWidth="1"/>
    <col min="7908" max="7908" width="11.28515625" style="1290" customWidth="1"/>
    <col min="7909" max="7909" width="12.42578125" style="1290" customWidth="1"/>
    <col min="7910" max="7910" width="11.28515625" style="1290" customWidth="1"/>
    <col min="7911" max="7911" width="12.42578125" style="1290" customWidth="1"/>
    <col min="7912" max="7912" width="11.28515625" style="1290" customWidth="1"/>
    <col min="7913" max="7913" width="14.140625" style="1290" customWidth="1"/>
    <col min="7914" max="7914" width="10.28515625" style="1290" customWidth="1"/>
    <col min="7915" max="7915" width="17.140625" style="1290" customWidth="1"/>
    <col min="7916" max="7916" width="12" style="1290" customWidth="1"/>
    <col min="7917" max="7917" width="14.140625" style="1290" customWidth="1"/>
    <col min="7918" max="7918" width="10.28515625" style="1290" customWidth="1"/>
    <col min="7919" max="7919" width="17.140625" style="1290" customWidth="1"/>
    <col min="7920" max="7920" width="12" style="1290" customWidth="1"/>
    <col min="7921" max="7921" width="10.7109375" style="1290" customWidth="1"/>
    <col min="7922" max="7924" width="0" style="1290" hidden="1" customWidth="1"/>
    <col min="7925" max="8152" width="9.140625" style="1290"/>
    <col min="8153" max="8153" width="5.140625" style="1290" customWidth="1"/>
    <col min="8154" max="8154" width="32.42578125" style="1290" customWidth="1"/>
    <col min="8155" max="8157" width="10.28515625" style="1290" customWidth="1"/>
    <col min="8158" max="8159" width="12.42578125" style="1290" customWidth="1"/>
    <col min="8160" max="8160" width="11.28515625" style="1290" customWidth="1"/>
    <col min="8161" max="8161" width="12.42578125" style="1290" customWidth="1"/>
    <col min="8162" max="8162" width="11.28515625" style="1290" customWidth="1"/>
    <col min="8163" max="8163" width="12.42578125" style="1290" customWidth="1"/>
    <col min="8164" max="8164" width="11.28515625" style="1290" customWidth="1"/>
    <col min="8165" max="8165" width="12.42578125" style="1290" customWidth="1"/>
    <col min="8166" max="8166" width="11.28515625" style="1290" customWidth="1"/>
    <col min="8167" max="8167" width="12.42578125" style="1290" customWidth="1"/>
    <col min="8168" max="8168" width="11.28515625" style="1290" customWidth="1"/>
    <col min="8169" max="8169" width="14.140625" style="1290" customWidth="1"/>
    <col min="8170" max="8170" width="10.28515625" style="1290" customWidth="1"/>
    <col min="8171" max="8171" width="17.140625" style="1290" customWidth="1"/>
    <col min="8172" max="8172" width="12" style="1290" customWidth="1"/>
    <col min="8173" max="8173" width="14.140625" style="1290" customWidth="1"/>
    <col min="8174" max="8174" width="10.28515625" style="1290" customWidth="1"/>
    <col min="8175" max="8175" width="17.140625" style="1290" customWidth="1"/>
    <col min="8176" max="8176" width="12" style="1290" customWidth="1"/>
    <col min="8177" max="8177" width="10.7109375" style="1290" customWidth="1"/>
    <col min="8178" max="8180" width="0" style="1290" hidden="1" customWidth="1"/>
    <col min="8181" max="8408" width="9.140625" style="1290"/>
    <col min="8409" max="8409" width="5.140625" style="1290" customWidth="1"/>
    <col min="8410" max="8410" width="32.42578125" style="1290" customWidth="1"/>
    <col min="8411" max="8413" width="10.28515625" style="1290" customWidth="1"/>
    <col min="8414" max="8415" width="12.42578125" style="1290" customWidth="1"/>
    <col min="8416" max="8416" width="11.28515625" style="1290" customWidth="1"/>
    <col min="8417" max="8417" width="12.42578125" style="1290" customWidth="1"/>
    <col min="8418" max="8418" width="11.28515625" style="1290" customWidth="1"/>
    <col min="8419" max="8419" width="12.42578125" style="1290" customWidth="1"/>
    <col min="8420" max="8420" width="11.28515625" style="1290" customWidth="1"/>
    <col min="8421" max="8421" width="12.42578125" style="1290" customWidth="1"/>
    <col min="8422" max="8422" width="11.28515625" style="1290" customWidth="1"/>
    <col min="8423" max="8423" width="12.42578125" style="1290" customWidth="1"/>
    <col min="8424" max="8424" width="11.28515625" style="1290" customWidth="1"/>
    <col min="8425" max="8425" width="14.140625" style="1290" customWidth="1"/>
    <col min="8426" max="8426" width="10.28515625" style="1290" customWidth="1"/>
    <col min="8427" max="8427" width="17.140625" style="1290" customWidth="1"/>
    <col min="8428" max="8428" width="12" style="1290" customWidth="1"/>
    <col min="8429" max="8429" width="14.140625" style="1290" customWidth="1"/>
    <col min="8430" max="8430" width="10.28515625" style="1290" customWidth="1"/>
    <col min="8431" max="8431" width="17.140625" style="1290" customWidth="1"/>
    <col min="8432" max="8432" width="12" style="1290" customWidth="1"/>
    <col min="8433" max="8433" width="10.7109375" style="1290" customWidth="1"/>
    <col min="8434" max="8436" width="0" style="1290" hidden="1" customWidth="1"/>
    <col min="8437" max="8664" width="9.140625" style="1290"/>
    <col min="8665" max="8665" width="5.140625" style="1290" customWidth="1"/>
    <col min="8666" max="8666" width="32.42578125" style="1290" customWidth="1"/>
    <col min="8667" max="8669" width="10.28515625" style="1290" customWidth="1"/>
    <col min="8670" max="8671" width="12.42578125" style="1290" customWidth="1"/>
    <col min="8672" max="8672" width="11.28515625" style="1290" customWidth="1"/>
    <col min="8673" max="8673" width="12.42578125" style="1290" customWidth="1"/>
    <col min="8674" max="8674" width="11.28515625" style="1290" customWidth="1"/>
    <col min="8675" max="8675" width="12.42578125" style="1290" customWidth="1"/>
    <col min="8676" max="8676" width="11.28515625" style="1290" customWidth="1"/>
    <col min="8677" max="8677" width="12.42578125" style="1290" customWidth="1"/>
    <col min="8678" max="8678" width="11.28515625" style="1290" customWidth="1"/>
    <col min="8679" max="8679" width="12.42578125" style="1290" customWidth="1"/>
    <col min="8680" max="8680" width="11.28515625" style="1290" customWidth="1"/>
    <col min="8681" max="8681" width="14.140625" style="1290" customWidth="1"/>
    <col min="8682" max="8682" width="10.28515625" style="1290" customWidth="1"/>
    <col min="8683" max="8683" width="17.140625" style="1290" customWidth="1"/>
    <col min="8684" max="8684" width="12" style="1290" customWidth="1"/>
    <col min="8685" max="8685" width="14.140625" style="1290" customWidth="1"/>
    <col min="8686" max="8686" width="10.28515625" style="1290" customWidth="1"/>
    <col min="8687" max="8687" width="17.140625" style="1290" customWidth="1"/>
    <col min="8688" max="8688" width="12" style="1290" customWidth="1"/>
    <col min="8689" max="8689" width="10.7109375" style="1290" customWidth="1"/>
    <col min="8690" max="8692" width="0" style="1290" hidden="1" customWidth="1"/>
    <col min="8693" max="8920" width="9.140625" style="1290"/>
    <col min="8921" max="8921" width="5.140625" style="1290" customWidth="1"/>
    <col min="8922" max="8922" width="32.42578125" style="1290" customWidth="1"/>
    <col min="8923" max="8925" width="10.28515625" style="1290" customWidth="1"/>
    <col min="8926" max="8927" width="12.42578125" style="1290" customWidth="1"/>
    <col min="8928" max="8928" width="11.28515625" style="1290" customWidth="1"/>
    <col min="8929" max="8929" width="12.42578125" style="1290" customWidth="1"/>
    <col min="8930" max="8930" width="11.28515625" style="1290" customWidth="1"/>
    <col min="8931" max="8931" width="12.42578125" style="1290" customWidth="1"/>
    <col min="8932" max="8932" width="11.28515625" style="1290" customWidth="1"/>
    <col min="8933" max="8933" width="12.42578125" style="1290" customWidth="1"/>
    <col min="8934" max="8934" width="11.28515625" style="1290" customWidth="1"/>
    <col min="8935" max="8935" width="12.42578125" style="1290" customWidth="1"/>
    <col min="8936" max="8936" width="11.28515625" style="1290" customWidth="1"/>
    <col min="8937" max="8937" width="14.140625" style="1290" customWidth="1"/>
    <col min="8938" max="8938" width="10.28515625" style="1290" customWidth="1"/>
    <col min="8939" max="8939" width="17.140625" style="1290" customWidth="1"/>
    <col min="8940" max="8940" width="12" style="1290" customWidth="1"/>
    <col min="8941" max="8941" width="14.140625" style="1290" customWidth="1"/>
    <col min="8942" max="8942" width="10.28515625" style="1290" customWidth="1"/>
    <col min="8943" max="8943" width="17.140625" style="1290" customWidth="1"/>
    <col min="8944" max="8944" width="12" style="1290" customWidth="1"/>
    <col min="8945" max="8945" width="10.7109375" style="1290" customWidth="1"/>
    <col min="8946" max="8948" width="0" style="1290" hidden="1" customWidth="1"/>
    <col min="8949" max="9176" width="9.140625" style="1290"/>
    <col min="9177" max="9177" width="5.140625" style="1290" customWidth="1"/>
    <col min="9178" max="9178" width="32.42578125" style="1290" customWidth="1"/>
    <col min="9179" max="9181" width="10.28515625" style="1290" customWidth="1"/>
    <col min="9182" max="9183" width="12.42578125" style="1290" customWidth="1"/>
    <col min="9184" max="9184" width="11.28515625" style="1290" customWidth="1"/>
    <col min="9185" max="9185" width="12.42578125" style="1290" customWidth="1"/>
    <col min="9186" max="9186" width="11.28515625" style="1290" customWidth="1"/>
    <col min="9187" max="9187" width="12.42578125" style="1290" customWidth="1"/>
    <col min="9188" max="9188" width="11.28515625" style="1290" customWidth="1"/>
    <col min="9189" max="9189" width="12.42578125" style="1290" customWidth="1"/>
    <col min="9190" max="9190" width="11.28515625" style="1290" customWidth="1"/>
    <col min="9191" max="9191" width="12.42578125" style="1290" customWidth="1"/>
    <col min="9192" max="9192" width="11.28515625" style="1290" customWidth="1"/>
    <col min="9193" max="9193" width="14.140625" style="1290" customWidth="1"/>
    <col min="9194" max="9194" width="10.28515625" style="1290" customWidth="1"/>
    <col min="9195" max="9195" width="17.140625" style="1290" customWidth="1"/>
    <col min="9196" max="9196" width="12" style="1290" customWidth="1"/>
    <col min="9197" max="9197" width="14.140625" style="1290" customWidth="1"/>
    <col min="9198" max="9198" width="10.28515625" style="1290" customWidth="1"/>
    <col min="9199" max="9199" width="17.140625" style="1290" customWidth="1"/>
    <col min="9200" max="9200" width="12" style="1290" customWidth="1"/>
    <col min="9201" max="9201" width="10.7109375" style="1290" customWidth="1"/>
    <col min="9202" max="9204" width="0" style="1290" hidden="1" customWidth="1"/>
    <col min="9205" max="9432" width="9.140625" style="1290"/>
    <col min="9433" max="9433" width="5.140625" style="1290" customWidth="1"/>
    <col min="9434" max="9434" width="32.42578125" style="1290" customWidth="1"/>
    <col min="9435" max="9437" width="10.28515625" style="1290" customWidth="1"/>
    <col min="9438" max="9439" width="12.42578125" style="1290" customWidth="1"/>
    <col min="9440" max="9440" width="11.28515625" style="1290" customWidth="1"/>
    <col min="9441" max="9441" width="12.42578125" style="1290" customWidth="1"/>
    <col min="9442" max="9442" width="11.28515625" style="1290" customWidth="1"/>
    <col min="9443" max="9443" width="12.42578125" style="1290" customWidth="1"/>
    <col min="9444" max="9444" width="11.28515625" style="1290" customWidth="1"/>
    <col min="9445" max="9445" width="12.42578125" style="1290" customWidth="1"/>
    <col min="9446" max="9446" width="11.28515625" style="1290" customWidth="1"/>
    <col min="9447" max="9447" width="12.42578125" style="1290" customWidth="1"/>
    <col min="9448" max="9448" width="11.28515625" style="1290" customWidth="1"/>
    <col min="9449" max="9449" width="14.140625" style="1290" customWidth="1"/>
    <col min="9450" max="9450" width="10.28515625" style="1290" customWidth="1"/>
    <col min="9451" max="9451" width="17.140625" style="1290" customWidth="1"/>
    <col min="9452" max="9452" width="12" style="1290" customWidth="1"/>
    <col min="9453" max="9453" width="14.140625" style="1290" customWidth="1"/>
    <col min="9454" max="9454" width="10.28515625" style="1290" customWidth="1"/>
    <col min="9455" max="9455" width="17.140625" style="1290" customWidth="1"/>
    <col min="9456" max="9456" width="12" style="1290" customWidth="1"/>
    <col min="9457" max="9457" width="10.7109375" style="1290" customWidth="1"/>
    <col min="9458" max="9460" width="0" style="1290" hidden="1" customWidth="1"/>
    <col min="9461" max="9688" width="9.140625" style="1290"/>
    <col min="9689" max="9689" width="5.140625" style="1290" customWidth="1"/>
    <col min="9690" max="9690" width="32.42578125" style="1290" customWidth="1"/>
    <col min="9691" max="9693" width="10.28515625" style="1290" customWidth="1"/>
    <col min="9694" max="9695" width="12.42578125" style="1290" customWidth="1"/>
    <col min="9696" max="9696" width="11.28515625" style="1290" customWidth="1"/>
    <col min="9697" max="9697" width="12.42578125" style="1290" customWidth="1"/>
    <col min="9698" max="9698" width="11.28515625" style="1290" customWidth="1"/>
    <col min="9699" max="9699" width="12.42578125" style="1290" customWidth="1"/>
    <col min="9700" max="9700" width="11.28515625" style="1290" customWidth="1"/>
    <col min="9701" max="9701" width="12.42578125" style="1290" customWidth="1"/>
    <col min="9702" max="9702" width="11.28515625" style="1290" customWidth="1"/>
    <col min="9703" max="9703" width="12.42578125" style="1290" customWidth="1"/>
    <col min="9704" max="9704" width="11.28515625" style="1290" customWidth="1"/>
    <col min="9705" max="9705" width="14.140625" style="1290" customWidth="1"/>
    <col min="9706" max="9706" width="10.28515625" style="1290" customWidth="1"/>
    <col min="9707" max="9707" width="17.140625" style="1290" customWidth="1"/>
    <col min="9708" max="9708" width="12" style="1290" customWidth="1"/>
    <col min="9709" max="9709" width="14.140625" style="1290" customWidth="1"/>
    <col min="9710" max="9710" width="10.28515625" style="1290" customWidth="1"/>
    <col min="9711" max="9711" width="17.140625" style="1290" customWidth="1"/>
    <col min="9712" max="9712" width="12" style="1290" customWidth="1"/>
    <col min="9713" max="9713" width="10.7109375" style="1290" customWidth="1"/>
    <col min="9714" max="9716" width="0" style="1290" hidden="1" customWidth="1"/>
    <col min="9717" max="9944" width="9.140625" style="1290"/>
    <col min="9945" max="9945" width="5.140625" style="1290" customWidth="1"/>
    <col min="9946" max="9946" width="32.42578125" style="1290" customWidth="1"/>
    <col min="9947" max="9949" width="10.28515625" style="1290" customWidth="1"/>
    <col min="9950" max="9951" width="12.42578125" style="1290" customWidth="1"/>
    <col min="9952" max="9952" width="11.28515625" style="1290" customWidth="1"/>
    <col min="9953" max="9953" width="12.42578125" style="1290" customWidth="1"/>
    <col min="9954" max="9954" width="11.28515625" style="1290" customWidth="1"/>
    <col min="9955" max="9955" width="12.42578125" style="1290" customWidth="1"/>
    <col min="9956" max="9956" width="11.28515625" style="1290" customWidth="1"/>
    <col min="9957" max="9957" width="12.42578125" style="1290" customWidth="1"/>
    <col min="9958" max="9958" width="11.28515625" style="1290" customWidth="1"/>
    <col min="9959" max="9959" width="12.42578125" style="1290" customWidth="1"/>
    <col min="9960" max="9960" width="11.28515625" style="1290" customWidth="1"/>
    <col min="9961" max="9961" width="14.140625" style="1290" customWidth="1"/>
    <col min="9962" max="9962" width="10.28515625" style="1290" customWidth="1"/>
    <col min="9963" max="9963" width="17.140625" style="1290" customWidth="1"/>
    <col min="9964" max="9964" width="12" style="1290" customWidth="1"/>
    <col min="9965" max="9965" width="14.140625" style="1290" customWidth="1"/>
    <col min="9966" max="9966" width="10.28515625" style="1290" customWidth="1"/>
    <col min="9967" max="9967" width="17.140625" style="1290" customWidth="1"/>
    <col min="9968" max="9968" width="12" style="1290" customWidth="1"/>
    <col min="9969" max="9969" width="10.7109375" style="1290" customWidth="1"/>
    <col min="9970" max="9972" width="0" style="1290" hidden="1" customWidth="1"/>
    <col min="9973" max="10200" width="9.140625" style="1290"/>
    <col min="10201" max="10201" width="5.140625" style="1290" customWidth="1"/>
    <col min="10202" max="10202" width="32.42578125" style="1290" customWidth="1"/>
    <col min="10203" max="10205" width="10.28515625" style="1290" customWidth="1"/>
    <col min="10206" max="10207" width="12.42578125" style="1290" customWidth="1"/>
    <col min="10208" max="10208" width="11.28515625" style="1290" customWidth="1"/>
    <col min="10209" max="10209" width="12.42578125" style="1290" customWidth="1"/>
    <col min="10210" max="10210" width="11.28515625" style="1290" customWidth="1"/>
    <col min="10211" max="10211" width="12.42578125" style="1290" customWidth="1"/>
    <col min="10212" max="10212" width="11.28515625" style="1290" customWidth="1"/>
    <col min="10213" max="10213" width="12.42578125" style="1290" customWidth="1"/>
    <col min="10214" max="10214" width="11.28515625" style="1290" customWidth="1"/>
    <col min="10215" max="10215" width="12.42578125" style="1290" customWidth="1"/>
    <col min="10216" max="10216" width="11.28515625" style="1290" customWidth="1"/>
    <col min="10217" max="10217" width="14.140625" style="1290" customWidth="1"/>
    <col min="10218" max="10218" width="10.28515625" style="1290" customWidth="1"/>
    <col min="10219" max="10219" width="17.140625" style="1290" customWidth="1"/>
    <col min="10220" max="10220" width="12" style="1290" customWidth="1"/>
    <col min="10221" max="10221" width="14.140625" style="1290" customWidth="1"/>
    <col min="10222" max="10222" width="10.28515625" style="1290" customWidth="1"/>
    <col min="10223" max="10223" width="17.140625" style="1290" customWidth="1"/>
    <col min="10224" max="10224" width="12" style="1290" customWidth="1"/>
    <col min="10225" max="10225" width="10.7109375" style="1290" customWidth="1"/>
    <col min="10226" max="10228" width="0" style="1290" hidden="1" customWidth="1"/>
    <col min="10229" max="10456" width="9.140625" style="1290"/>
    <col min="10457" max="10457" width="5.140625" style="1290" customWidth="1"/>
    <col min="10458" max="10458" width="32.42578125" style="1290" customWidth="1"/>
    <col min="10459" max="10461" width="10.28515625" style="1290" customWidth="1"/>
    <col min="10462" max="10463" width="12.42578125" style="1290" customWidth="1"/>
    <col min="10464" max="10464" width="11.28515625" style="1290" customWidth="1"/>
    <col min="10465" max="10465" width="12.42578125" style="1290" customWidth="1"/>
    <col min="10466" max="10466" width="11.28515625" style="1290" customWidth="1"/>
    <col min="10467" max="10467" width="12.42578125" style="1290" customWidth="1"/>
    <col min="10468" max="10468" width="11.28515625" style="1290" customWidth="1"/>
    <col min="10469" max="10469" width="12.42578125" style="1290" customWidth="1"/>
    <col min="10470" max="10470" width="11.28515625" style="1290" customWidth="1"/>
    <col min="10471" max="10471" width="12.42578125" style="1290" customWidth="1"/>
    <col min="10472" max="10472" width="11.28515625" style="1290" customWidth="1"/>
    <col min="10473" max="10473" width="14.140625" style="1290" customWidth="1"/>
    <col min="10474" max="10474" width="10.28515625" style="1290" customWidth="1"/>
    <col min="10475" max="10475" width="17.140625" style="1290" customWidth="1"/>
    <col min="10476" max="10476" width="12" style="1290" customWidth="1"/>
    <col min="10477" max="10477" width="14.140625" style="1290" customWidth="1"/>
    <col min="10478" max="10478" width="10.28515625" style="1290" customWidth="1"/>
    <col min="10479" max="10479" width="17.140625" style="1290" customWidth="1"/>
    <col min="10480" max="10480" width="12" style="1290" customWidth="1"/>
    <col min="10481" max="10481" width="10.7109375" style="1290" customWidth="1"/>
    <col min="10482" max="10484" width="0" style="1290" hidden="1" customWidth="1"/>
    <col min="10485" max="10712" width="9.140625" style="1290"/>
    <col min="10713" max="10713" width="5.140625" style="1290" customWidth="1"/>
    <col min="10714" max="10714" width="32.42578125" style="1290" customWidth="1"/>
    <col min="10715" max="10717" width="10.28515625" style="1290" customWidth="1"/>
    <col min="10718" max="10719" width="12.42578125" style="1290" customWidth="1"/>
    <col min="10720" max="10720" width="11.28515625" style="1290" customWidth="1"/>
    <col min="10721" max="10721" width="12.42578125" style="1290" customWidth="1"/>
    <col min="10722" max="10722" width="11.28515625" style="1290" customWidth="1"/>
    <col min="10723" max="10723" width="12.42578125" style="1290" customWidth="1"/>
    <col min="10724" max="10724" width="11.28515625" style="1290" customWidth="1"/>
    <col min="10725" max="10725" width="12.42578125" style="1290" customWidth="1"/>
    <col min="10726" max="10726" width="11.28515625" style="1290" customWidth="1"/>
    <col min="10727" max="10727" width="12.42578125" style="1290" customWidth="1"/>
    <col min="10728" max="10728" width="11.28515625" style="1290" customWidth="1"/>
    <col min="10729" max="10729" width="14.140625" style="1290" customWidth="1"/>
    <col min="10730" max="10730" width="10.28515625" style="1290" customWidth="1"/>
    <col min="10731" max="10731" width="17.140625" style="1290" customWidth="1"/>
    <col min="10732" max="10732" width="12" style="1290" customWidth="1"/>
    <col min="10733" max="10733" width="14.140625" style="1290" customWidth="1"/>
    <col min="10734" max="10734" width="10.28515625" style="1290" customWidth="1"/>
    <col min="10735" max="10735" width="17.140625" style="1290" customWidth="1"/>
    <col min="10736" max="10736" width="12" style="1290" customWidth="1"/>
    <col min="10737" max="10737" width="10.7109375" style="1290" customWidth="1"/>
    <col min="10738" max="10740" width="0" style="1290" hidden="1" customWidth="1"/>
    <col min="10741" max="10968" width="9.140625" style="1290"/>
    <col min="10969" max="10969" width="5.140625" style="1290" customWidth="1"/>
    <col min="10970" max="10970" width="32.42578125" style="1290" customWidth="1"/>
    <col min="10971" max="10973" width="10.28515625" style="1290" customWidth="1"/>
    <col min="10974" max="10975" width="12.42578125" style="1290" customWidth="1"/>
    <col min="10976" max="10976" width="11.28515625" style="1290" customWidth="1"/>
    <col min="10977" max="10977" width="12.42578125" style="1290" customWidth="1"/>
    <col min="10978" max="10978" width="11.28515625" style="1290" customWidth="1"/>
    <col min="10979" max="10979" width="12.42578125" style="1290" customWidth="1"/>
    <col min="10980" max="10980" width="11.28515625" style="1290" customWidth="1"/>
    <col min="10981" max="10981" width="12.42578125" style="1290" customWidth="1"/>
    <col min="10982" max="10982" width="11.28515625" style="1290" customWidth="1"/>
    <col min="10983" max="10983" width="12.42578125" style="1290" customWidth="1"/>
    <col min="10984" max="10984" width="11.28515625" style="1290" customWidth="1"/>
    <col min="10985" max="10985" width="14.140625" style="1290" customWidth="1"/>
    <col min="10986" max="10986" width="10.28515625" style="1290" customWidth="1"/>
    <col min="10987" max="10987" width="17.140625" style="1290" customWidth="1"/>
    <col min="10988" max="10988" width="12" style="1290" customWidth="1"/>
    <col min="10989" max="10989" width="14.140625" style="1290" customWidth="1"/>
    <col min="10990" max="10990" width="10.28515625" style="1290" customWidth="1"/>
    <col min="10991" max="10991" width="17.140625" style="1290" customWidth="1"/>
    <col min="10992" max="10992" width="12" style="1290" customWidth="1"/>
    <col min="10993" max="10993" width="10.7109375" style="1290" customWidth="1"/>
    <col min="10994" max="10996" width="0" style="1290" hidden="1" customWidth="1"/>
    <col min="10997" max="11224" width="9.140625" style="1290"/>
    <col min="11225" max="11225" width="5.140625" style="1290" customWidth="1"/>
    <col min="11226" max="11226" width="32.42578125" style="1290" customWidth="1"/>
    <col min="11227" max="11229" width="10.28515625" style="1290" customWidth="1"/>
    <col min="11230" max="11231" width="12.42578125" style="1290" customWidth="1"/>
    <col min="11232" max="11232" width="11.28515625" style="1290" customWidth="1"/>
    <col min="11233" max="11233" width="12.42578125" style="1290" customWidth="1"/>
    <col min="11234" max="11234" width="11.28515625" style="1290" customWidth="1"/>
    <col min="11235" max="11235" width="12.42578125" style="1290" customWidth="1"/>
    <col min="11236" max="11236" width="11.28515625" style="1290" customWidth="1"/>
    <col min="11237" max="11237" width="12.42578125" style="1290" customWidth="1"/>
    <col min="11238" max="11238" width="11.28515625" style="1290" customWidth="1"/>
    <col min="11239" max="11239" width="12.42578125" style="1290" customWidth="1"/>
    <col min="11240" max="11240" width="11.28515625" style="1290" customWidth="1"/>
    <col min="11241" max="11241" width="14.140625" style="1290" customWidth="1"/>
    <col min="11242" max="11242" width="10.28515625" style="1290" customWidth="1"/>
    <col min="11243" max="11243" width="17.140625" style="1290" customWidth="1"/>
    <col min="11244" max="11244" width="12" style="1290" customWidth="1"/>
    <col min="11245" max="11245" width="14.140625" style="1290" customWidth="1"/>
    <col min="11246" max="11246" width="10.28515625" style="1290" customWidth="1"/>
    <col min="11247" max="11247" width="17.140625" style="1290" customWidth="1"/>
    <col min="11248" max="11248" width="12" style="1290" customWidth="1"/>
    <col min="11249" max="11249" width="10.7109375" style="1290" customWidth="1"/>
    <col min="11250" max="11252" width="0" style="1290" hidden="1" customWidth="1"/>
    <col min="11253" max="11480" width="9.140625" style="1290"/>
    <col min="11481" max="11481" width="5.140625" style="1290" customWidth="1"/>
    <col min="11482" max="11482" width="32.42578125" style="1290" customWidth="1"/>
    <col min="11483" max="11485" width="10.28515625" style="1290" customWidth="1"/>
    <col min="11486" max="11487" width="12.42578125" style="1290" customWidth="1"/>
    <col min="11488" max="11488" width="11.28515625" style="1290" customWidth="1"/>
    <col min="11489" max="11489" width="12.42578125" style="1290" customWidth="1"/>
    <col min="11490" max="11490" width="11.28515625" style="1290" customWidth="1"/>
    <col min="11491" max="11491" width="12.42578125" style="1290" customWidth="1"/>
    <col min="11492" max="11492" width="11.28515625" style="1290" customWidth="1"/>
    <col min="11493" max="11493" width="12.42578125" style="1290" customWidth="1"/>
    <col min="11494" max="11494" width="11.28515625" style="1290" customWidth="1"/>
    <col min="11495" max="11495" width="12.42578125" style="1290" customWidth="1"/>
    <col min="11496" max="11496" width="11.28515625" style="1290" customWidth="1"/>
    <col min="11497" max="11497" width="14.140625" style="1290" customWidth="1"/>
    <col min="11498" max="11498" width="10.28515625" style="1290" customWidth="1"/>
    <col min="11499" max="11499" width="17.140625" style="1290" customWidth="1"/>
    <col min="11500" max="11500" width="12" style="1290" customWidth="1"/>
    <col min="11501" max="11501" width="14.140625" style="1290" customWidth="1"/>
    <col min="11502" max="11502" width="10.28515625" style="1290" customWidth="1"/>
    <col min="11503" max="11503" width="17.140625" style="1290" customWidth="1"/>
    <col min="11504" max="11504" width="12" style="1290" customWidth="1"/>
    <col min="11505" max="11505" width="10.7109375" style="1290" customWidth="1"/>
    <col min="11506" max="11508" width="0" style="1290" hidden="1" customWidth="1"/>
    <col min="11509" max="11736" width="9.140625" style="1290"/>
    <col min="11737" max="11737" width="5.140625" style="1290" customWidth="1"/>
    <col min="11738" max="11738" width="32.42578125" style="1290" customWidth="1"/>
    <col min="11739" max="11741" width="10.28515625" style="1290" customWidth="1"/>
    <col min="11742" max="11743" width="12.42578125" style="1290" customWidth="1"/>
    <col min="11744" max="11744" width="11.28515625" style="1290" customWidth="1"/>
    <col min="11745" max="11745" width="12.42578125" style="1290" customWidth="1"/>
    <col min="11746" max="11746" width="11.28515625" style="1290" customWidth="1"/>
    <col min="11747" max="11747" width="12.42578125" style="1290" customWidth="1"/>
    <col min="11748" max="11748" width="11.28515625" style="1290" customWidth="1"/>
    <col min="11749" max="11749" width="12.42578125" style="1290" customWidth="1"/>
    <col min="11750" max="11750" width="11.28515625" style="1290" customWidth="1"/>
    <col min="11751" max="11751" width="12.42578125" style="1290" customWidth="1"/>
    <col min="11752" max="11752" width="11.28515625" style="1290" customWidth="1"/>
    <col min="11753" max="11753" width="14.140625" style="1290" customWidth="1"/>
    <col min="11754" max="11754" width="10.28515625" style="1290" customWidth="1"/>
    <col min="11755" max="11755" width="17.140625" style="1290" customWidth="1"/>
    <col min="11756" max="11756" width="12" style="1290" customWidth="1"/>
    <col min="11757" max="11757" width="14.140625" style="1290" customWidth="1"/>
    <col min="11758" max="11758" width="10.28515625" style="1290" customWidth="1"/>
    <col min="11759" max="11759" width="17.140625" style="1290" customWidth="1"/>
    <col min="11760" max="11760" width="12" style="1290" customWidth="1"/>
    <col min="11761" max="11761" width="10.7109375" style="1290" customWidth="1"/>
    <col min="11762" max="11764" width="0" style="1290" hidden="1" customWidth="1"/>
    <col min="11765" max="11992" width="9.140625" style="1290"/>
    <col min="11993" max="11993" width="5.140625" style="1290" customWidth="1"/>
    <col min="11994" max="11994" width="32.42578125" style="1290" customWidth="1"/>
    <col min="11995" max="11997" width="10.28515625" style="1290" customWidth="1"/>
    <col min="11998" max="11999" width="12.42578125" style="1290" customWidth="1"/>
    <col min="12000" max="12000" width="11.28515625" style="1290" customWidth="1"/>
    <col min="12001" max="12001" width="12.42578125" style="1290" customWidth="1"/>
    <col min="12002" max="12002" width="11.28515625" style="1290" customWidth="1"/>
    <col min="12003" max="12003" width="12.42578125" style="1290" customWidth="1"/>
    <col min="12004" max="12004" width="11.28515625" style="1290" customWidth="1"/>
    <col min="12005" max="12005" width="12.42578125" style="1290" customWidth="1"/>
    <col min="12006" max="12006" width="11.28515625" style="1290" customWidth="1"/>
    <col min="12007" max="12007" width="12.42578125" style="1290" customWidth="1"/>
    <col min="12008" max="12008" width="11.28515625" style="1290" customWidth="1"/>
    <col min="12009" max="12009" width="14.140625" style="1290" customWidth="1"/>
    <col min="12010" max="12010" width="10.28515625" style="1290" customWidth="1"/>
    <col min="12011" max="12011" width="17.140625" style="1290" customWidth="1"/>
    <col min="12012" max="12012" width="12" style="1290" customWidth="1"/>
    <col min="12013" max="12013" width="14.140625" style="1290" customWidth="1"/>
    <col min="12014" max="12014" width="10.28515625" style="1290" customWidth="1"/>
    <col min="12015" max="12015" width="17.140625" style="1290" customWidth="1"/>
    <col min="12016" max="12016" width="12" style="1290" customWidth="1"/>
    <col min="12017" max="12017" width="10.7109375" style="1290" customWidth="1"/>
    <col min="12018" max="12020" width="0" style="1290" hidden="1" customWidth="1"/>
    <col min="12021" max="12248" width="9.140625" style="1290"/>
    <col min="12249" max="12249" width="5.140625" style="1290" customWidth="1"/>
    <col min="12250" max="12250" width="32.42578125" style="1290" customWidth="1"/>
    <col min="12251" max="12253" width="10.28515625" style="1290" customWidth="1"/>
    <col min="12254" max="12255" width="12.42578125" style="1290" customWidth="1"/>
    <col min="12256" max="12256" width="11.28515625" style="1290" customWidth="1"/>
    <col min="12257" max="12257" width="12.42578125" style="1290" customWidth="1"/>
    <col min="12258" max="12258" width="11.28515625" style="1290" customWidth="1"/>
    <col min="12259" max="12259" width="12.42578125" style="1290" customWidth="1"/>
    <col min="12260" max="12260" width="11.28515625" style="1290" customWidth="1"/>
    <col min="12261" max="12261" width="12.42578125" style="1290" customWidth="1"/>
    <col min="12262" max="12262" width="11.28515625" style="1290" customWidth="1"/>
    <col min="12263" max="12263" width="12.42578125" style="1290" customWidth="1"/>
    <col min="12264" max="12264" width="11.28515625" style="1290" customWidth="1"/>
    <col min="12265" max="12265" width="14.140625" style="1290" customWidth="1"/>
    <col min="12266" max="12266" width="10.28515625" style="1290" customWidth="1"/>
    <col min="12267" max="12267" width="17.140625" style="1290" customWidth="1"/>
    <col min="12268" max="12268" width="12" style="1290" customWidth="1"/>
    <col min="12269" max="12269" width="14.140625" style="1290" customWidth="1"/>
    <col min="12270" max="12270" width="10.28515625" style="1290" customWidth="1"/>
    <col min="12271" max="12271" width="17.140625" style="1290" customWidth="1"/>
    <col min="12272" max="12272" width="12" style="1290" customWidth="1"/>
    <col min="12273" max="12273" width="10.7109375" style="1290" customWidth="1"/>
    <col min="12274" max="12276" width="0" style="1290" hidden="1" customWidth="1"/>
    <col min="12277" max="12504" width="9.140625" style="1290"/>
    <col min="12505" max="12505" width="5.140625" style="1290" customWidth="1"/>
    <col min="12506" max="12506" width="32.42578125" style="1290" customWidth="1"/>
    <col min="12507" max="12509" width="10.28515625" style="1290" customWidth="1"/>
    <col min="12510" max="12511" width="12.42578125" style="1290" customWidth="1"/>
    <col min="12512" max="12512" width="11.28515625" style="1290" customWidth="1"/>
    <col min="12513" max="12513" width="12.42578125" style="1290" customWidth="1"/>
    <col min="12514" max="12514" width="11.28515625" style="1290" customWidth="1"/>
    <col min="12515" max="12515" width="12.42578125" style="1290" customWidth="1"/>
    <col min="12516" max="12516" width="11.28515625" style="1290" customWidth="1"/>
    <col min="12517" max="12517" width="12.42578125" style="1290" customWidth="1"/>
    <col min="12518" max="12518" width="11.28515625" style="1290" customWidth="1"/>
    <col min="12519" max="12519" width="12.42578125" style="1290" customWidth="1"/>
    <col min="12520" max="12520" width="11.28515625" style="1290" customWidth="1"/>
    <col min="12521" max="12521" width="14.140625" style="1290" customWidth="1"/>
    <col min="12522" max="12522" width="10.28515625" style="1290" customWidth="1"/>
    <col min="12523" max="12523" width="17.140625" style="1290" customWidth="1"/>
    <col min="12524" max="12524" width="12" style="1290" customWidth="1"/>
    <col min="12525" max="12525" width="14.140625" style="1290" customWidth="1"/>
    <col min="12526" max="12526" width="10.28515625" style="1290" customWidth="1"/>
    <col min="12527" max="12527" width="17.140625" style="1290" customWidth="1"/>
    <col min="12528" max="12528" width="12" style="1290" customWidth="1"/>
    <col min="12529" max="12529" width="10.7109375" style="1290" customWidth="1"/>
    <col min="12530" max="12532" width="0" style="1290" hidden="1" customWidth="1"/>
    <col min="12533" max="12760" width="9.140625" style="1290"/>
    <col min="12761" max="12761" width="5.140625" style="1290" customWidth="1"/>
    <col min="12762" max="12762" width="32.42578125" style="1290" customWidth="1"/>
    <col min="12763" max="12765" width="10.28515625" style="1290" customWidth="1"/>
    <col min="12766" max="12767" width="12.42578125" style="1290" customWidth="1"/>
    <col min="12768" max="12768" width="11.28515625" style="1290" customWidth="1"/>
    <col min="12769" max="12769" width="12.42578125" style="1290" customWidth="1"/>
    <col min="12770" max="12770" width="11.28515625" style="1290" customWidth="1"/>
    <col min="12771" max="12771" width="12.42578125" style="1290" customWidth="1"/>
    <col min="12772" max="12772" width="11.28515625" style="1290" customWidth="1"/>
    <col min="12773" max="12773" width="12.42578125" style="1290" customWidth="1"/>
    <col min="12774" max="12774" width="11.28515625" style="1290" customWidth="1"/>
    <col min="12775" max="12775" width="12.42578125" style="1290" customWidth="1"/>
    <col min="12776" max="12776" width="11.28515625" style="1290" customWidth="1"/>
    <col min="12777" max="12777" width="14.140625" style="1290" customWidth="1"/>
    <col min="12778" max="12778" width="10.28515625" style="1290" customWidth="1"/>
    <col min="12779" max="12779" width="17.140625" style="1290" customWidth="1"/>
    <col min="12780" max="12780" width="12" style="1290" customWidth="1"/>
    <col min="12781" max="12781" width="14.140625" style="1290" customWidth="1"/>
    <col min="12782" max="12782" width="10.28515625" style="1290" customWidth="1"/>
    <col min="12783" max="12783" width="17.140625" style="1290" customWidth="1"/>
    <col min="12784" max="12784" width="12" style="1290" customWidth="1"/>
    <col min="12785" max="12785" width="10.7109375" style="1290" customWidth="1"/>
    <col min="12786" max="12788" width="0" style="1290" hidden="1" customWidth="1"/>
    <col min="12789" max="13016" width="9.140625" style="1290"/>
    <col min="13017" max="13017" width="5.140625" style="1290" customWidth="1"/>
    <col min="13018" max="13018" width="32.42578125" style="1290" customWidth="1"/>
    <col min="13019" max="13021" width="10.28515625" style="1290" customWidth="1"/>
    <col min="13022" max="13023" width="12.42578125" style="1290" customWidth="1"/>
    <col min="13024" max="13024" width="11.28515625" style="1290" customWidth="1"/>
    <col min="13025" max="13025" width="12.42578125" style="1290" customWidth="1"/>
    <col min="13026" max="13026" width="11.28515625" style="1290" customWidth="1"/>
    <col min="13027" max="13027" width="12.42578125" style="1290" customWidth="1"/>
    <col min="13028" max="13028" width="11.28515625" style="1290" customWidth="1"/>
    <col min="13029" max="13029" width="12.42578125" style="1290" customWidth="1"/>
    <col min="13030" max="13030" width="11.28515625" style="1290" customWidth="1"/>
    <col min="13031" max="13031" width="12.42578125" style="1290" customWidth="1"/>
    <col min="13032" max="13032" width="11.28515625" style="1290" customWidth="1"/>
    <col min="13033" max="13033" width="14.140625" style="1290" customWidth="1"/>
    <col min="13034" max="13034" width="10.28515625" style="1290" customWidth="1"/>
    <col min="13035" max="13035" width="17.140625" style="1290" customWidth="1"/>
    <col min="13036" max="13036" width="12" style="1290" customWidth="1"/>
    <col min="13037" max="13037" width="14.140625" style="1290" customWidth="1"/>
    <col min="13038" max="13038" width="10.28515625" style="1290" customWidth="1"/>
    <col min="13039" max="13039" width="17.140625" style="1290" customWidth="1"/>
    <col min="13040" max="13040" width="12" style="1290" customWidth="1"/>
    <col min="13041" max="13041" width="10.7109375" style="1290" customWidth="1"/>
    <col min="13042" max="13044" width="0" style="1290" hidden="1" customWidth="1"/>
    <col min="13045" max="13272" width="9.140625" style="1290"/>
    <col min="13273" max="13273" width="5.140625" style="1290" customWidth="1"/>
    <col min="13274" max="13274" width="32.42578125" style="1290" customWidth="1"/>
    <col min="13275" max="13277" width="10.28515625" style="1290" customWidth="1"/>
    <col min="13278" max="13279" width="12.42578125" style="1290" customWidth="1"/>
    <col min="13280" max="13280" width="11.28515625" style="1290" customWidth="1"/>
    <col min="13281" max="13281" width="12.42578125" style="1290" customWidth="1"/>
    <col min="13282" max="13282" width="11.28515625" style="1290" customWidth="1"/>
    <col min="13283" max="13283" width="12.42578125" style="1290" customWidth="1"/>
    <col min="13284" max="13284" width="11.28515625" style="1290" customWidth="1"/>
    <col min="13285" max="13285" width="12.42578125" style="1290" customWidth="1"/>
    <col min="13286" max="13286" width="11.28515625" style="1290" customWidth="1"/>
    <col min="13287" max="13287" width="12.42578125" style="1290" customWidth="1"/>
    <col min="13288" max="13288" width="11.28515625" style="1290" customWidth="1"/>
    <col min="13289" max="13289" width="14.140625" style="1290" customWidth="1"/>
    <col min="13290" max="13290" width="10.28515625" style="1290" customWidth="1"/>
    <col min="13291" max="13291" width="17.140625" style="1290" customWidth="1"/>
    <col min="13292" max="13292" width="12" style="1290" customWidth="1"/>
    <col min="13293" max="13293" width="14.140625" style="1290" customWidth="1"/>
    <col min="13294" max="13294" width="10.28515625" style="1290" customWidth="1"/>
    <col min="13295" max="13295" width="17.140625" style="1290" customWidth="1"/>
    <col min="13296" max="13296" width="12" style="1290" customWidth="1"/>
    <col min="13297" max="13297" width="10.7109375" style="1290" customWidth="1"/>
    <col min="13298" max="13300" width="0" style="1290" hidden="1" customWidth="1"/>
    <col min="13301" max="13528" width="9.140625" style="1290"/>
    <col min="13529" max="13529" width="5.140625" style="1290" customWidth="1"/>
    <col min="13530" max="13530" width="32.42578125" style="1290" customWidth="1"/>
    <col min="13531" max="13533" width="10.28515625" style="1290" customWidth="1"/>
    <col min="13534" max="13535" width="12.42578125" style="1290" customWidth="1"/>
    <col min="13536" max="13536" width="11.28515625" style="1290" customWidth="1"/>
    <col min="13537" max="13537" width="12.42578125" style="1290" customWidth="1"/>
    <col min="13538" max="13538" width="11.28515625" style="1290" customWidth="1"/>
    <col min="13539" max="13539" width="12.42578125" style="1290" customWidth="1"/>
    <col min="13540" max="13540" width="11.28515625" style="1290" customWidth="1"/>
    <col min="13541" max="13541" width="12.42578125" style="1290" customWidth="1"/>
    <col min="13542" max="13542" width="11.28515625" style="1290" customWidth="1"/>
    <col min="13543" max="13543" width="12.42578125" style="1290" customWidth="1"/>
    <col min="13544" max="13544" width="11.28515625" style="1290" customWidth="1"/>
    <col min="13545" max="13545" width="14.140625" style="1290" customWidth="1"/>
    <col min="13546" max="13546" width="10.28515625" style="1290" customWidth="1"/>
    <col min="13547" max="13547" width="17.140625" style="1290" customWidth="1"/>
    <col min="13548" max="13548" width="12" style="1290" customWidth="1"/>
    <col min="13549" max="13549" width="14.140625" style="1290" customWidth="1"/>
    <col min="13550" max="13550" width="10.28515625" style="1290" customWidth="1"/>
    <col min="13551" max="13551" width="17.140625" style="1290" customWidth="1"/>
    <col min="13552" max="13552" width="12" style="1290" customWidth="1"/>
    <col min="13553" max="13553" width="10.7109375" style="1290" customWidth="1"/>
    <col min="13554" max="13556" width="0" style="1290" hidden="1" customWidth="1"/>
    <col min="13557" max="13784" width="9.140625" style="1290"/>
    <col min="13785" max="13785" width="5.140625" style="1290" customWidth="1"/>
    <col min="13786" max="13786" width="32.42578125" style="1290" customWidth="1"/>
    <col min="13787" max="13789" width="10.28515625" style="1290" customWidth="1"/>
    <col min="13790" max="13791" width="12.42578125" style="1290" customWidth="1"/>
    <col min="13792" max="13792" width="11.28515625" style="1290" customWidth="1"/>
    <col min="13793" max="13793" width="12.42578125" style="1290" customWidth="1"/>
    <col min="13794" max="13794" width="11.28515625" style="1290" customWidth="1"/>
    <col min="13795" max="13795" width="12.42578125" style="1290" customWidth="1"/>
    <col min="13796" max="13796" width="11.28515625" style="1290" customWidth="1"/>
    <col min="13797" max="13797" width="12.42578125" style="1290" customWidth="1"/>
    <col min="13798" max="13798" width="11.28515625" style="1290" customWidth="1"/>
    <col min="13799" max="13799" width="12.42578125" style="1290" customWidth="1"/>
    <col min="13800" max="13800" width="11.28515625" style="1290" customWidth="1"/>
    <col min="13801" max="13801" width="14.140625" style="1290" customWidth="1"/>
    <col min="13802" max="13802" width="10.28515625" style="1290" customWidth="1"/>
    <col min="13803" max="13803" width="17.140625" style="1290" customWidth="1"/>
    <col min="13804" max="13804" width="12" style="1290" customWidth="1"/>
    <col min="13805" max="13805" width="14.140625" style="1290" customWidth="1"/>
    <col min="13806" max="13806" width="10.28515625" style="1290" customWidth="1"/>
    <col min="13807" max="13807" width="17.140625" style="1290" customWidth="1"/>
    <col min="13808" max="13808" width="12" style="1290" customWidth="1"/>
    <col min="13809" max="13809" width="10.7109375" style="1290" customWidth="1"/>
    <col min="13810" max="13812" width="0" style="1290" hidden="1" customWidth="1"/>
    <col min="13813" max="14040" width="9.140625" style="1290"/>
    <col min="14041" max="14041" width="5.140625" style="1290" customWidth="1"/>
    <col min="14042" max="14042" width="32.42578125" style="1290" customWidth="1"/>
    <col min="14043" max="14045" width="10.28515625" style="1290" customWidth="1"/>
    <col min="14046" max="14047" width="12.42578125" style="1290" customWidth="1"/>
    <col min="14048" max="14048" width="11.28515625" style="1290" customWidth="1"/>
    <col min="14049" max="14049" width="12.42578125" style="1290" customWidth="1"/>
    <col min="14050" max="14050" width="11.28515625" style="1290" customWidth="1"/>
    <col min="14051" max="14051" width="12.42578125" style="1290" customWidth="1"/>
    <col min="14052" max="14052" width="11.28515625" style="1290" customWidth="1"/>
    <col min="14053" max="14053" width="12.42578125" style="1290" customWidth="1"/>
    <col min="14054" max="14054" width="11.28515625" style="1290" customWidth="1"/>
    <col min="14055" max="14055" width="12.42578125" style="1290" customWidth="1"/>
    <col min="14056" max="14056" width="11.28515625" style="1290" customWidth="1"/>
    <col min="14057" max="14057" width="14.140625" style="1290" customWidth="1"/>
    <col min="14058" max="14058" width="10.28515625" style="1290" customWidth="1"/>
    <col min="14059" max="14059" width="17.140625" style="1290" customWidth="1"/>
    <col min="14060" max="14060" width="12" style="1290" customWidth="1"/>
    <col min="14061" max="14061" width="14.140625" style="1290" customWidth="1"/>
    <col min="14062" max="14062" width="10.28515625" style="1290" customWidth="1"/>
    <col min="14063" max="14063" width="17.140625" style="1290" customWidth="1"/>
    <col min="14064" max="14064" width="12" style="1290" customWidth="1"/>
    <col min="14065" max="14065" width="10.7109375" style="1290" customWidth="1"/>
    <col min="14066" max="14068" width="0" style="1290" hidden="1" customWidth="1"/>
    <col min="14069" max="14296" width="9.140625" style="1290"/>
    <col min="14297" max="14297" width="5.140625" style="1290" customWidth="1"/>
    <col min="14298" max="14298" width="32.42578125" style="1290" customWidth="1"/>
    <col min="14299" max="14301" width="10.28515625" style="1290" customWidth="1"/>
    <col min="14302" max="14303" width="12.42578125" style="1290" customWidth="1"/>
    <col min="14304" max="14304" width="11.28515625" style="1290" customWidth="1"/>
    <col min="14305" max="14305" width="12.42578125" style="1290" customWidth="1"/>
    <col min="14306" max="14306" width="11.28515625" style="1290" customWidth="1"/>
    <col min="14307" max="14307" width="12.42578125" style="1290" customWidth="1"/>
    <col min="14308" max="14308" width="11.28515625" style="1290" customWidth="1"/>
    <col min="14309" max="14309" width="12.42578125" style="1290" customWidth="1"/>
    <col min="14310" max="14310" width="11.28515625" style="1290" customWidth="1"/>
    <col min="14311" max="14311" width="12.42578125" style="1290" customWidth="1"/>
    <col min="14312" max="14312" width="11.28515625" style="1290" customWidth="1"/>
    <col min="14313" max="14313" width="14.140625" style="1290" customWidth="1"/>
    <col min="14314" max="14314" width="10.28515625" style="1290" customWidth="1"/>
    <col min="14315" max="14315" width="17.140625" style="1290" customWidth="1"/>
    <col min="14316" max="14316" width="12" style="1290" customWidth="1"/>
    <col min="14317" max="14317" width="14.140625" style="1290" customWidth="1"/>
    <col min="14318" max="14318" width="10.28515625" style="1290" customWidth="1"/>
    <col min="14319" max="14319" width="17.140625" style="1290" customWidth="1"/>
    <col min="14320" max="14320" width="12" style="1290" customWidth="1"/>
    <col min="14321" max="14321" width="10.7109375" style="1290" customWidth="1"/>
    <col min="14322" max="14324" width="0" style="1290" hidden="1" customWidth="1"/>
    <col min="14325" max="14552" width="9.140625" style="1290"/>
    <col min="14553" max="14553" width="5.140625" style="1290" customWidth="1"/>
    <col min="14554" max="14554" width="32.42578125" style="1290" customWidth="1"/>
    <col min="14555" max="14557" width="10.28515625" style="1290" customWidth="1"/>
    <col min="14558" max="14559" width="12.42578125" style="1290" customWidth="1"/>
    <col min="14560" max="14560" width="11.28515625" style="1290" customWidth="1"/>
    <col min="14561" max="14561" width="12.42578125" style="1290" customWidth="1"/>
    <col min="14562" max="14562" width="11.28515625" style="1290" customWidth="1"/>
    <col min="14563" max="14563" width="12.42578125" style="1290" customWidth="1"/>
    <col min="14564" max="14564" width="11.28515625" style="1290" customWidth="1"/>
    <col min="14565" max="14565" width="12.42578125" style="1290" customWidth="1"/>
    <col min="14566" max="14566" width="11.28515625" style="1290" customWidth="1"/>
    <col min="14567" max="14567" width="12.42578125" style="1290" customWidth="1"/>
    <col min="14568" max="14568" width="11.28515625" style="1290" customWidth="1"/>
    <col min="14569" max="14569" width="14.140625" style="1290" customWidth="1"/>
    <col min="14570" max="14570" width="10.28515625" style="1290" customWidth="1"/>
    <col min="14571" max="14571" width="17.140625" style="1290" customWidth="1"/>
    <col min="14572" max="14572" width="12" style="1290" customWidth="1"/>
    <col min="14573" max="14573" width="14.140625" style="1290" customWidth="1"/>
    <col min="14574" max="14574" width="10.28515625" style="1290" customWidth="1"/>
    <col min="14575" max="14575" width="17.140625" style="1290" customWidth="1"/>
    <col min="14576" max="14576" width="12" style="1290" customWidth="1"/>
    <col min="14577" max="14577" width="10.7109375" style="1290" customWidth="1"/>
    <col min="14578" max="14580" width="0" style="1290" hidden="1" customWidth="1"/>
    <col min="14581" max="14808" width="9.140625" style="1290"/>
    <col min="14809" max="14809" width="5.140625" style="1290" customWidth="1"/>
    <col min="14810" max="14810" width="32.42578125" style="1290" customWidth="1"/>
    <col min="14811" max="14813" width="10.28515625" style="1290" customWidth="1"/>
    <col min="14814" max="14815" width="12.42578125" style="1290" customWidth="1"/>
    <col min="14816" max="14816" width="11.28515625" style="1290" customWidth="1"/>
    <col min="14817" max="14817" width="12.42578125" style="1290" customWidth="1"/>
    <col min="14818" max="14818" width="11.28515625" style="1290" customWidth="1"/>
    <col min="14819" max="14819" width="12.42578125" style="1290" customWidth="1"/>
    <col min="14820" max="14820" width="11.28515625" style="1290" customWidth="1"/>
    <col min="14821" max="14821" width="12.42578125" style="1290" customWidth="1"/>
    <col min="14822" max="14822" width="11.28515625" style="1290" customWidth="1"/>
    <col min="14823" max="14823" width="12.42578125" style="1290" customWidth="1"/>
    <col min="14824" max="14824" width="11.28515625" style="1290" customWidth="1"/>
    <col min="14825" max="14825" width="14.140625" style="1290" customWidth="1"/>
    <col min="14826" max="14826" width="10.28515625" style="1290" customWidth="1"/>
    <col min="14827" max="14827" width="17.140625" style="1290" customWidth="1"/>
    <col min="14828" max="14828" width="12" style="1290" customWidth="1"/>
    <col min="14829" max="14829" width="14.140625" style="1290" customWidth="1"/>
    <col min="14830" max="14830" width="10.28515625" style="1290" customWidth="1"/>
    <col min="14831" max="14831" width="17.140625" style="1290" customWidth="1"/>
    <col min="14832" max="14832" width="12" style="1290" customWidth="1"/>
    <col min="14833" max="14833" width="10.7109375" style="1290" customWidth="1"/>
    <col min="14834" max="14836" width="0" style="1290" hidden="1" customWidth="1"/>
    <col min="14837" max="15064" width="9.140625" style="1290"/>
    <col min="15065" max="15065" width="5.140625" style="1290" customWidth="1"/>
    <col min="15066" max="15066" width="32.42578125" style="1290" customWidth="1"/>
    <col min="15067" max="15069" width="10.28515625" style="1290" customWidth="1"/>
    <col min="15070" max="15071" width="12.42578125" style="1290" customWidth="1"/>
    <col min="15072" max="15072" width="11.28515625" style="1290" customWidth="1"/>
    <col min="15073" max="15073" width="12.42578125" style="1290" customWidth="1"/>
    <col min="15074" max="15074" width="11.28515625" style="1290" customWidth="1"/>
    <col min="15075" max="15075" width="12.42578125" style="1290" customWidth="1"/>
    <col min="15076" max="15076" width="11.28515625" style="1290" customWidth="1"/>
    <col min="15077" max="15077" width="12.42578125" style="1290" customWidth="1"/>
    <col min="15078" max="15078" width="11.28515625" style="1290" customWidth="1"/>
    <col min="15079" max="15079" width="12.42578125" style="1290" customWidth="1"/>
    <col min="15080" max="15080" width="11.28515625" style="1290" customWidth="1"/>
    <col min="15081" max="15081" width="14.140625" style="1290" customWidth="1"/>
    <col min="15082" max="15082" width="10.28515625" style="1290" customWidth="1"/>
    <col min="15083" max="15083" width="17.140625" style="1290" customWidth="1"/>
    <col min="15084" max="15084" width="12" style="1290" customWidth="1"/>
    <col min="15085" max="15085" width="14.140625" style="1290" customWidth="1"/>
    <col min="15086" max="15086" width="10.28515625" style="1290" customWidth="1"/>
    <col min="15087" max="15087" width="17.140625" style="1290" customWidth="1"/>
    <col min="15088" max="15088" width="12" style="1290" customWidth="1"/>
    <col min="15089" max="15089" width="10.7109375" style="1290" customWidth="1"/>
    <col min="15090" max="15092" width="0" style="1290" hidden="1" customWidth="1"/>
    <col min="15093" max="15320" width="9.140625" style="1290"/>
    <col min="15321" max="15321" width="5.140625" style="1290" customWidth="1"/>
    <col min="15322" max="15322" width="32.42578125" style="1290" customWidth="1"/>
    <col min="15323" max="15325" width="10.28515625" style="1290" customWidth="1"/>
    <col min="15326" max="15327" width="12.42578125" style="1290" customWidth="1"/>
    <col min="15328" max="15328" width="11.28515625" style="1290" customWidth="1"/>
    <col min="15329" max="15329" width="12.42578125" style="1290" customWidth="1"/>
    <col min="15330" max="15330" width="11.28515625" style="1290" customWidth="1"/>
    <col min="15331" max="15331" width="12.42578125" style="1290" customWidth="1"/>
    <col min="15332" max="15332" width="11.28515625" style="1290" customWidth="1"/>
    <col min="15333" max="15333" width="12.42578125" style="1290" customWidth="1"/>
    <col min="15334" max="15334" width="11.28515625" style="1290" customWidth="1"/>
    <col min="15335" max="15335" width="12.42578125" style="1290" customWidth="1"/>
    <col min="15336" max="15336" width="11.28515625" style="1290" customWidth="1"/>
    <col min="15337" max="15337" width="14.140625" style="1290" customWidth="1"/>
    <col min="15338" max="15338" width="10.28515625" style="1290" customWidth="1"/>
    <col min="15339" max="15339" width="17.140625" style="1290" customWidth="1"/>
    <col min="15340" max="15340" width="12" style="1290" customWidth="1"/>
    <col min="15341" max="15341" width="14.140625" style="1290" customWidth="1"/>
    <col min="15342" max="15342" width="10.28515625" style="1290" customWidth="1"/>
    <col min="15343" max="15343" width="17.140625" style="1290" customWidth="1"/>
    <col min="15344" max="15344" width="12" style="1290" customWidth="1"/>
    <col min="15345" max="15345" width="10.7109375" style="1290" customWidth="1"/>
    <col min="15346" max="15348" width="0" style="1290" hidden="1" customWidth="1"/>
    <col min="15349" max="15576" width="9.140625" style="1290"/>
    <col min="15577" max="15577" width="5.140625" style="1290" customWidth="1"/>
    <col min="15578" max="15578" width="32.42578125" style="1290" customWidth="1"/>
    <col min="15579" max="15581" width="10.28515625" style="1290" customWidth="1"/>
    <col min="15582" max="15583" width="12.42578125" style="1290" customWidth="1"/>
    <col min="15584" max="15584" width="11.28515625" style="1290" customWidth="1"/>
    <col min="15585" max="15585" width="12.42578125" style="1290" customWidth="1"/>
    <col min="15586" max="15586" width="11.28515625" style="1290" customWidth="1"/>
    <col min="15587" max="15587" width="12.42578125" style="1290" customWidth="1"/>
    <col min="15588" max="15588" width="11.28515625" style="1290" customWidth="1"/>
    <col min="15589" max="15589" width="12.42578125" style="1290" customWidth="1"/>
    <col min="15590" max="15590" width="11.28515625" style="1290" customWidth="1"/>
    <col min="15591" max="15591" width="12.42578125" style="1290" customWidth="1"/>
    <col min="15592" max="15592" width="11.28515625" style="1290" customWidth="1"/>
    <col min="15593" max="15593" width="14.140625" style="1290" customWidth="1"/>
    <col min="15594" max="15594" width="10.28515625" style="1290" customWidth="1"/>
    <col min="15595" max="15595" width="17.140625" style="1290" customWidth="1"/>
    <col min="15596" max="15596" width="12" style="1290" customWidth="1"/>
    <col min="15597" max="15597" width="14.140625" style="1290" customWidth="1"/>
    <col min="15598" max="15598" width="10.28515625" style="1290" customWidth="1"/>
    <col min="15599" max="15599" width="17.140625" style="1290" customWidth="1"/>
    <col min="15600" max="15600" width="12" style="1290" customWidth="1"/>
    <col min="15601" max="15601" width="10.7109375" style="1290" customWidth="1"/>
    <col min="15602" max="15604" width="0" style="1290" hidden="1" customWidth="1"/>
    <col min="15605" max="15832" width="9.140625" style="1290"/>
    <col min="15833" max="15833" width="5.140625" style="1290" customWidth="1"/>
    <col min="15834" max="15834" width="32.42578125" style="1290" customWidth="1"/>
    <col min="15835" max="15837" width="10.28515625" style="1290" customWidth="1"/>
    <col min="15838" max="15839" width="12.42578125" style="1290" customWidth="1"/>
    <col min="15840" max="15840" width="11.28515625" style="1290" customWidth="1"/>
    <col min="15841" max="15841" width="12.42578125" style="1290" customWidth="1"/>
    <col min="15842" max="15842" width="11.28515625" style="1290" customWidth="1"/>
    <col min="15843" max="15843" width="12.42578125" style="1290" customWidth="1"/>
    <col min="15844" max="15844" width="11.28515625" style="1290" customWidth="1"/>
    <col min="15845" max="15845" width="12.42578125" style="1290" customWidth="1"/>
    <col min="15846" max="15846" width="11.28515625" style="1290" customWidth="1"/>
    <col min="15847" max="15847" width="12.42578125" style="1290" customWidth="1"/>
    <col min="15848" max="15848" width="11.28515625" style="1290" customWidth="1"/>
    <col min="15849" max="15849" width="14.140625" style="1290" customWidth="1"/>
    <col min="15850" max="15850" width="10.28515625" style="1290" customWidth="1"/>
    <col min="15851" max="15851" width="17.140625" style="1290" customWidth="1"/>
    <col min="15852" max="15852" width="12" style="1290" customWidth="1"/>
    <col min="15853" max="15853" width="14.140625" style="1290" customWidth="1"/>
    <col min="15854" max="15854" width="10.28515625" style="1290" customWidth="1"/>
    <col min="15855" max="15855" width="17.140625" style="1290" customWidth="1"/>
    <col min="15856" max="15856" width="12" style="1290" customWidth="1"/>
    <col min="15857" max="15857" width="10.7109375" style="1290" customWidth="1"/>
    <col min="15858" max="15860" width="0" style="1290" hidden="1" customWidth="1"/>
    <col min="15861" max="16088" width="9.140625" style="1290"/>
    <col min="16089" max="16089" width="5.140625" style="1290" customWidth="1"/>
    <col min="16090" max="16090" width="32.42578125" style="1290" customWidth="1"/>
    <col min="16091" max="16093" width="10.28515625" style="1290" customWidth="1"/>
    <col min="16094" max="16095" width="12.42578125" style="1290" customWidth="1"/>
    <col min="16096" max="16096" width="11.28515625" style="1290" customWidth="1"/>
    <col min="16097" max="16097" width="12.42578125" style="1290" customWidth="1"/>
    <col min="16098" max="16098" width="11.28515625" style="1290" customWidth="1"/>
    <col min="16099" max="16099" width="12.42578125" style="1290" customWidth="1"/>
    <col min="16100" max="16100" width="11.28515625" style="1290" customWidth="1"/>
    <col min="16101" max="16101" width="12.42578125" style="1290" customWidth="1"/>
    <col min="16102" max="16102" width="11.28515625" style="1290" customWidth="1"/>
    <col min="16103" max="16103" width="12.42578125" style="1290" customWidth="1"/>
    <col min="16104" max="16104" width="11.28515625" style="1290" customWidth="1"/>
    <col min="16105" max="16105" width="14.140625" style="1290" customWidth="1"/>
    <col min="16106" max="16106" width="10.28515625" style="1290" customWidth="1"/>
    <col min="16107" max="16107" width="17.140625" style="1290" customWidth="1"/>
    <col min="16108" max="16108" width="12" style="1290" customWidth="1"/>
    <col min="16109" max="16109" width="14.140625" style="1290" customWidth="1"/>
    <col min="16110" max="16110" width="10.28515625" style="1290" customWidth="1"/>
    <col min="16111" max="16111" width="17.140625" style="1290" customWidth="1"/>
    <col min="16112" max="16112" width="12" style="1290" customWidth="1"/>
    <col min="16113" max="16113" width="10.7109375" style="1290" customWidth="1"/>
    <col min="16114" max="16116" width="0" style="1290" hidden="1" customWidth="1"/>
    <col min="16117" max="16384" width="9.140625" style="1290"/>
  </cols>
  <sheetData>
    <row r="1" spans="1:17" ht="29.25" customHeight="1">
      <c r="A1" s="1726" t="s">
        <v>2583</v>
      </c>
      <c r="B1" s="1726"/>
      <c r="C1" s="1726"/>
      <c r="D1" s="1726"/>
      <c r="E1" s="1726"/>
      <c r="F1" s="1726"/>
      <c r="G1" s="1726"/>
      <c r="H1" s="1726"/>
      <c r="I1" s="1726"/>
      <c r="J1" s="1726"/>
      <c r="K1" s="1726"/>
      <c r="L1" s="1726"/>
      <c r="M1" s="1726"/>
      <c r="N1" s="1726"/>
      <c r="O1" s="1726"/>
      <c r="P1" s="1726"/>
    </row>
    <row r="2" spans="1:17" ht="27.75" customHeight="1">
      <c r="A2" s="1243" t="s">
        <v>2609</v>
      </c>
      <c r="B2" s="1584"/>
      <c r="C2" s="1584"/>
      <c r="D2" s="1584"/>
      <c r="E2" s="1584"/>
      <c r="F2" s="1584"/>
      <c r="G2" s="1584"/>
      <c r="H2" s="1584"/>
      <c r="I2" s="1584"/>
      <c r="J2" s="1584"/>
      <c r="K2" s="1584"/>
      <c r="L2" s="1584"/>
      <c r="M2" s="1584"/>
      <c r="N2" s="1584"/>
      <c r="O2" s="1584"/>
      <c r="P2" s="1584"/>
    </row>
    <row r="3" spans="1:17" s="1291" customFormat="1" ht="20.25" customHeight="1">
      <c r="A3" s="1727" t="s">
        <v>3</v>
      </c>
      <c r="B3" s="1727"/>
      <c r="C3" s="1727"/>
      <c r="D3" s="1727"/>
      <c r="E3" s="1727"/>
      <c r="F3" s="1727"/>
      <c r="G3" s="1727"/>
      <c r="H3" s="1727"/>
      <c r="I3" s="1727"/>
      <c r="J3" s="1727"/>
      <c r="K3" s="1727"/>
      <c r="L3" s="1727"/>
      <c r="M3" s="1727"/>
      <c r="N3" s="1644"/>
      <c r="O3" s="1644"/>
      <c r="P3" s="1644"/>
    </row>
    <row r="4" spans="1:17" s="1292" customFormat="1" ht="30" customHeight="1">
      <c r="A4" s="1712" t="s">
        <v>22</v>
      </c>
      <c r="B4" s="1712" t="s">
        <v>23</v>
      </c>
      <c r="C4" s="1712" t="s">
        <v>24</v>
      </c>
      <c r="D4" s="1712" t="s">
        <v>290</v>
      </c>
      <c r="E4" s="1712" t="s">
        <v>1986</v>
      </c>
      <c r="F4" s="1715" t="s">
        <v>1987</v>
      </c>
      <c r="G4" s="1716"/>
      <c r="H4" s="1717"/>
      <c r="I4" s="1719" t="s">
        <v>279</v>
      </c>
      <c r="J4" s="1723"/>
      <c r="K4" s="1719" t="s">
        <v>280</v>
      </c>
      <c r="L4" s="1720"/>
      <c r="M4" s="1712" t="s">
        <v>2417</v>
      </c>
      <c r="N4" s="1719" t="s">
        <v>2594</v>
      </c>
      <c r="O4" s="1720"/>
      <c r="P4" s="1712" t="s">
        <v>2554</v>
      </c>
      <c r="Q4" s="1710" t="s">
        <v>7</v>
      </c>
    </row>
    <row r="5" spans="1:17" s="1292" customFormat="1" ht="31.5" customHeight="1">
      <c r="A5" s="1713"/>
      <c r="B5" s="1713"/>
      <c r="C5" s="1713"/>
      <c r="D5" s="1713"/>
      <c r="E5" s="1713"/>
      <c r="F5" s="1712" t="s">
        <v>30</v>
      </c>
      <c r="G5" s="1715" t="s">
        <v>31</v>
      </c>
      <c r="H5" s="1717"/>
      <c r="I5" s="1721"/>
      <c r="J5" s="1724"/>
      <c r="K5" s="1721"/>
      <c r="L5" s="1722"/>
      <c r="M5" s="1713"/>
      <c r="N5" s="1721"/>
      <c r="O5" s="1722"/>
      <c r="P5" s="1713"/>
      <c r="Q5" s="1710"/>
    </row>
    <row r="6" spans="1:17" s="1292" customFormat="1" ht="33.75" customHeight="1">
      <c r="A6" s="1713"/>
      <c r="B6" s="1713"/>
      <c r="C6" s="1713"/>
      <c r="D6" s="1713"/>
      <c r="E6" s="1713"/>
      <c r="F6" s="1713"/>
      <c r="G6" s="1712" t="s">
        <v>32</v>
      </c>
      <c r="H6" s="1712" t="s">
        <v>278</v>
      </c>
      <c r="I6" s="1712" t="s">
        <v>283</v>
      </c>
      <c r="J6" s="1712" t="s">
        <v>278</v>
      </c>
      <c r="K6" s="1712" t="s">
        <v>9</v>
      </c>
      <c r="L6" s="1712" t="s">
        <v>278</v>
      </c>
      <c r="M6" s="1713"/>
      <c r="N6" s="1712" t="s">
        <v>9</v>
      </c>
      <c r="O6" s="1712" t="s">
        <v>278</v>
      </c>
      <c r="P6" s="1713"/>
      <c r="Q6" s="1710"/>
    </row>
    <row r="7" spans="1:17" s="1292" customFormat="1" ht="45" customHeight="1">
      <c r="A7" s="1713"/>
      <c r="B7" s="1713"/>
      <c r="C7" s="1713"/>
      <c r="D7" s="1713"/>
      <c r="E7" s="1713"/>
      <c r="F7" s="1713"/>
      <c r="G7" s="1713"/>
      <c r="H7" s="1713"/>
      <c r="I7" s="1713"/>
      <c r="J7" s="1713"/>
      <c r="K7" s="1713"/>
      <c r="L7" s="1713"/>
      <c r="M7" s="1713"/>
      <c r="N7" s="1713"/>
      <c r="O7" s="1713"/>
      <c r="P7" s="1713"/>
      <c r="Q7" s="1710"/>
    </row>
    <row r="8" spans="1:17" s="1292" customFormat="1" ht="39" customHeight="1">
      <c r="A8" s="1714"/>
      <c r="B8" s="1714"/>
      <c r="C8" s="1714"/>
      <c r="D8" s="1714"/>
      <c r="E8" s="1714"/>
      <c r="F8" s="1714"/>
      <c r="G8" s="1714"/>
      <c r="H8" s="1714"/>
      <c r="I8" s="1714"/>
      <c r="J8" s="1714"/>
      <c r="K8" s="1714"/>
      <c r="L8" s="1714"/>
      <c r="M8" s="1714"/>
      <c r="N8" s="1714"/>
      <c r="O8" s="1714"/>
      <c r="P8" s="1714"/>
      <c r="Q8" s="1710"/>
    </row>
    <row r="9" spans="1:17" s="1293" customFormat="1" ht="24" customHeight="1">
      <c r="A9" s="95">
        <v>1</v>
      </c>
      <c r="B9" s="95">
        <f>A9+1</f>
        <v>2</v>
      </c>
      <c r="C9" s="95">
        <f>B9+1</f>
        <v>3</v>
      </c>
      <c r="D9" s="95">
        <f t="shared" ref="D9:L9" si="0">C9+1</f>
        <v>4</v>
      </c>
      <c r="E9" s="95">
        <f t="shared" si="0"/>
        <v>5</v>
      </c>
      <c r="F9" s="95">
        <f t="shared" si="0"/>
        <v>6</v>
      </c>
      <c r="G9" s="95">
        <f t="shared" si="0"/>
        <v>7</v>
      </c>
      <c r="H9" s="95">
        <f t="shared" si="0"/>
        <v>8</v>
      </c>
      <c r="I9" s="95">
        <f t="shared" si="0"/>
        <v>9</v>
      </c>
      <c r="J9" s="95">
        <f t="shared" si="0"/>
        <v>10</v>
      </c>
      <c r="K9" s="95">
        <f t="shared" si="0"/>
        <v>11</v>
      </c>
      <c r="L9" s="95">
        <f t="shared" si="0"/>
        <v>12</v>
      </c>
      <c r="M9" s="95">
        <f t="shared" ref="M9" si="1">L9+1</f>
        <v>13</v>
      </c>
      <c r="N9" s="1227">
        <v>9</v>
      </c>
      <c r="O9" s="1227">
        <v>10</v>
      </c>
      <c r="P9" s="1227">
        <v>11</v>
      </c>
      <c r="Q9" s="1560"/>
    </row>
    <row r="10" spans="1:17" s="1293" customFormat="1" ht="27" customHeight="1">
      <c r="A10" s="1227"/>
      <c r="B10" s="1228" t="s">
        <v>13</v>
      </c>
      <c r="C10" s="1227"/>
      <c r="D10" s="1227"/>
      <c r="E10" s="1227"/>
      <c r="F10" s="1227"/>
      <c r="G10" s="204">
        <f t="shared" ref="G10:O10" si="2">SUBTOTAL(109,G11:G16)</f>
        <v>1034390</v>
      </c>
      <c r="H10" s="204">
        <f t="shared" si="2"/>
        <v>588606</v>
      </c>
      <c r="I10" s="204">
        <f t="shared" si="2"/>
        <v>368259</v>
      </c>
      <c r="J10" s="204">
        <f t="shared" si="2"/>
        <v>368259</v>
      </c>
      <c r="K10" s="204">
        <f t="shared" si="2"/>
        <v>240500</v>
      </c>
      <c r="L10" s="204">
        <f t="shared" si="2"/>
        <v>240500</v>
      </c>
      <c r="M10" s="204">
        <f t="shared" si="2"/>
        <v>127759</v>
      </c>
      <c r="N10" s="204">
        <f t="shared" si="2"/>
        <v>856143</v>
      </c>
      <c r="O10" s="204">
        <f t="shared" si="2"/>
        <v>425269</v>
      </c>
      <c r="P10" s="204">
        <f>SUBTOTAL(109,P11:P18)</f>
        <v>95590.1</v>
      </c>
      <c r="Q10" s="1560"/>
    </row>
    <row r="11" spans="1:17" ht="95.25" customHeight="1">
      <c r="A11" s="1213">
        <v>1</v>
      </c>
      <c r="B11" s="1232" t="s">
        <v>1348</v>
      </c>
      <c r="C11" s="1216" t="str">
        <f>VLOOKUP($B11,DATA!$B$7:$AV$679,6,0)</f>
        <v>Đồng Hới</v>
      </c>
      <c r="D11" s="1230">
        <f>VLOOKUP($B11,DATA!$B$7:$AV$679,7,0)</f>
        <v>2013</v>
      </c>
      <c r="E11" s="1230">
        <f>VLOOKUP($B11,DATA!$B$7:$AV$679,9,0)</f>
        <v>2019</v>
      </c>
      <c r="F11" s="1216" t="str">
        <f>VLOOKUP($B11,DATA!$B$7:$AV$679,12,0)</f>
        <v>2429/QĐ-UBND ngày 04/10/2013; 3419/QĐ-UBND 26/11/2014; 3490/QĐ-UBND 04/12/2015</v>
      </c>
      <c r="G11" s="1217">
        <f>VLOOKUP($B11,DATA!$B$7:$AV$679,13,0)</f>
        <v>391940</v>
      </c>
      <c r="H11" s="1217">
        <f>VLOOKUP($B11,DATA!$B$7:$AV$679,15,0)</f>
        <v>126940</v>
      </c>
      <c r="I11" s="1217">
        <v>78152</v>
      </c>
      <c r="J11" s="1217">
        <v>78152</v>
      </c>
      <c r="K11" s="1540">
        <v>66968</v>
      </c>
      <c r="L11" s="1540">
        <v>66968</v>
      </c>
      <c r="M11" s="1217">
        <f>5684+3000+2500</f>
        <v>11184</v>
      </c>
      <c r="N11" s="1217">
        <f>K11+M11+283000</f>
        <v>361152</v>
      </c>
      <c r="O11" s="1217">
        <f>L11+M11+32910</f>
        <v>111062</v>
      </c>
      <c r="P11" s="1217">
        <f>H11*0.9-O11</f>
        <v>3184</v>
      </c>
      <c r="Q11" s="1229"/>
    </row>
    <row r="12" spans="1:17" ht="76.5" customHeight="1">
      <c r="A12" s="1213">
        <v>2</v>
      </c>
      <c r="B12" s="1232" t="s">
        <v>1353</v>
      </c>
      <c r="C12" s="1216" t="str">
        <f>VLOOKUP($B12,DATA!$B$7:$AV$679,6,0)</f>
        <v>Đồng Hới</v>
      </c>
      <c r="D12" s="1230">
        <f>VLOOKUP($B12,DATA!$B$7:$AV$679,7,0)</f>
        <v>2015</v>
      </c>
      <c r="E12" s="1230">
        <f>VLOOKUP($B12,DATA!$B$7:$AV$679,9,0)</f>
        <v>2019</v>
      </c>
      <c r="F12" s="1216" t="str">
        <f>VLOOKUP($B12,DATA!$B$7:$AV$679,12,0)</f>
        <v>3120/QĐ-UBND ngày 31/10/2014</v>
      </c>
      <c r="G12" s="1217">
        <v>220272</v>
      </c>
      <c r="H12" s="1217">
        <v>100272</v>
      </c>
      <c r="I12" s="1217">
        <v>73934</v>
      </c>
      <c r="J12" s="1217">
        <v>73934</v>
      </c>
      <c r="K12" s="1540">
        <v>62623</v>
      </c>
      <c r="L12" s="1540">
        <v>62623</v>
      </c>
      <c r="M12" s="1217">
        <f>13811-2500</f>
        <v>11311</v>
      </c>
      <c r="N12" s="1217">
        <f>K12+M12+300+120000</f>
        <v>194234</v>
      </c>
      <c r="O12" s="1217">
        <f>L12+M12+300</f>
        <v>74234</v>
      </c>
      <c r="P12" s="1217">
        <v>14795</v>
      </c>
      <c r="Q12" s="1539" t="s">
        <v>2602</v>
      </c>
    </row>
    <row r="13" spans="1:17" ht="70.5" customHeight="1">
      <c r="A13" s="1213">
        <v>3</v>
      </c>
      <c r="B13" s="1288" t="s">
        <v>1356</v>
      </c>
      <c r="C13" s="1216" t="str">
        <f>VLOOKUP($B13,DATA!$B$7:$AV$679,6,0)</f>
        <v>Quảng Trạch</v>
      </c>
      <c r="D13" s="1230">
        <f>VLOOKUP($B13,DATA!$B$7:$AV$679,7,0)</f>
        <v>2015</v>
      </c>
      <c r="E13" s="1230">
        <f>VLOOKUP($B13,DATA!$B$7:$AV$679,9,0)</f>
        <v>2019</v>
      </c>
      <c r="F13" s="1216" t="str">
        <f>VLOOKUP($B13,DATA!$B$7:$AV$679,12,0)</f>
        <v>3044/QĐ-UBND
ngày 28/10/2014; 3400/QĐ-UBND ngày 25/11/2014</v>
      </c>
      <c r="G13" s="1217">
        <v>74989</v>
      </c>
      <c r="H13" s="1217">
        <v>29989</v>
      </c>
      <c r="I13" s="1217">
        <v>26658</v>
      </c>
      <c r="J13" s="1217">
        <v>26658</v>
      </c>
      <c r="K13" s="1540">
        <v>21394</v>
      </c>
      <c r="L13" s="1540">
        <v>21394</v>
      </c>
      <c r="M13" s="1217">
        <f>3197+2067</f>
        <v>5264</v>
      </c>
      <c r="N13" s="1217">
        <f>K13+M13+45000</f>
        <v>71658</v>
      </c>
      <c r="O13" s="1217">
        <f t="shared" ref="O13:O16" si="3">L13+M13</f>
        <v>26658</v>
      </c>
      <c r="P13" s="1217">
        <v>141</v>
      </c>
      <c r="Q13" s="1539" t="s">
        <v>2602</v>
      </c>
    </row>
    <row r="14" spans="1:17" ht="114" customHeight="1">
      <c r="A14" s="1213">
        <v>4</v>
      </c>
      <c r="B14" s="1288" t="s">
        <v>1364</v>
      </c>
      <c r="C14" s="1216" t="str">
        <f>VLOOKUP($B14,DATA!$B$7:$AV$679,6,0)</f>
        <v>Đồng Hới</v>
      </c>
      <c r="D14" s="1230">
        <f>VLOOKUP($B14,DATA!$B$7:$AV$679,7,0)</f>
        <v>2016</v>
      </c>
      <c r="E14" s="1230">
        <f>VLOOKUP($B14,DATA!$B$7:$AV$679,9,0)</f>
        <v>2018</v>
      </c>
      <c r="F14" s="1216" t="str">
        <f>VLOOKUP($B14,DATA!$B$7:$AV$679,12,0)</f>
        <v>3464/QĐ-UBND ngày 28/10/2016</v>
      </c>
      <c r="G14" s="1217">
        <f>VLOOKUP($B14,DATA!$B$7:$AV$679,13,0)</f>
        <v>150000</v>
      </c>
      <c r="H14" s="1203">
        <f>150000-15784</f>
        <v>134216</v>
      </c>
      <c r="I14" s="1217">
        <v>63515</v>
      </c>
      <c r="J14" s="1217">
        <v>63515</v>
      </c>
      <c r="K14" s="1540">
        <v>43515</v>
      </c>
      <c r="L14" s="1540">
        <v>43515</v>
      </c>
      <c r="M14" s="1217">
        <v>20000</v>
      </c>
      <c r="N14" s="1217">
        <f>K14+M14+9300+14500+15784</f>
        <v>103099</v>
      </c>
      <c r="O14" s="1217">
        <f>L14+M14+9300+14500</f>
        <v>87315</v>
      </c>
      <c r="P14" s="1217">
        <v>26000</v>
      </c>
      <c r="Q14" s="1539"/>
    </row>
    <row r="15" spans="1:17" ht="65.25" customHeight="1">
      <c r="A15" s="1213">
        <v>5</v>
      </c>
      <c r="B15" s="1288" t="s">
        <v>1368</v>
      </c>
      <c r="C15" s="1216" t="str">
        <f>VLOOKUP($B15,DATA!$B$7:$AV$679,6,0)</f>
        <v>Đồng Hới</v>
      </c>
      <c r="D15" s="1230">
        <f>VLOOKUP($B15,DATA!$B$7:$AV$679,7,0)</f>
        <v>2019</v>
      </c>
      <c r="E15" s="1230">
        <f>VLOOKUP($B15,DATA!$B$7:$AV$679,9,0)</f>
        <v>2020</v>
      </c>
      <c r="F15" s="1216" t="str">
        <f>VLOOKUP($B15,DATA!$B$7:$AV$679,12,0)</f>
        <v>3741/QĐ-UBND ngày 30/10/2018; 4723/QĐ-UBND ngày 04/12/2019</v>
      </c>
      <c r="G15" s="1217">
        <f>VLOOKUP($B15,DATA!$B$7:$AV$679,13,0)</f>
        <v>113800</v>
      </c>
      <c r="H15" s="1217">
        <f>VLOOKUP($B15,DATA!$B$7:$AV$679,15,0)</f>
        <v>113800</v>
      </c>
      <c r="I15" s="1217">
        <v>61000</v>
      </c>
      <c r="J15" s="1217">
        <v>61000</v>
      </c>
      <c r="K15" s="1540">
        <v>21000</v>
      </c>
      <c r="L15" s="1540">
        <v>21000</v>
      </c>
      <c r="M15" s="1217">
        <v>40000</v>
      </c>
      <c r="N15" s="1217">
        <f t="shared" ref="N15:N16" si="4">K15+M15</f>
        <v>61000</v>
      </c>
      <c r="O15" s="1217">
        <f t="shared" si="3"/>
        <v>61000</v>
      </c>
      <c r="P15" s="1217">
        <f t="shared" ref="P15:P16" si="5">H15*0.9-O15</f>
        <v>41420</v>
      </c>
      <c r="Q15" s="1229"/>
    </row>
    <row r="16" spans="1:17" ht="71.25" customHeight="1">
      <c r="A16" s="1213">
        <v>6</v>
      </c>
      <c r="B16" s="1288" t="s">
        <v>1371</v>
      </c>
      <c r="C16" s="1216" t="str">
        <f>VLOOKUP($B16,DATA!$B$7:$AV$679,6,0)</f>
        <v>Đồng Hới</v>
      </c>
      <c r="D16" s="1230">
        <f>VLOOKUP($B16,DATA!$B$7:$AV$679,7,0)</f>
        <v>2019</v>
      </c>
      <c r="E16" s="1230">
        <f>VLOOKUP($B16,DATA!$B$7:$AV$679,9,0)</f>
        <v>2020</v>
      </c>
      <c r="F16" s="1216" t="str">
        <f>VLOOKUP($B16,DATA!$B$7:$AV$679,12,0)</f>
        <v>3557/QĐ-UBND ngày 24/10/2018; 3918/QĐ-UBND ngày 19/10/2020</v>
      </c>
      <c r="G16" s="1217">
        <v>83389</v>
      </c>
      <c r="H16" s="1217">
        <v>83389</v>
      </c>
      <c r="I16" s="1217">
        <v>65000</v>
      </c>
      <c r="J16" s="1217">
        <v>65000</v>
      </c>
      <c r="K16" s="1540">
        <v>25000</v>
      </c>
      <c r="L16" s="1540">
        <v>25000</v>
      </c>
      <c r="M16" s="1217">
        <v>40000</v>
      </c>
      <c r="N16" s="1217">
        <f t="shared" si="4"/>
        <v>65000</v>
      </c>
      <c r="O16" s="1217">
        <f t="shared" si="3"/>
        <v>65000</v>
      </c>
      <c r="P16" s="1217">
        <f t="shared" si="5"/>
        <v>10050.100000000006</v>
      </c>
      <c r="Q16" s="1229"/>
    </row>
  </sheetData>
  <autoFilter ref="C4:C16"/>
  <mergeCells count="24">
    <mergeCell ref="N4:O5"/>
    <mergeCell ref="P4:P8"/>
    <mergeCell ref="N6:N8"/>
    <mergeCell ref="O6:O8"/>
    <mergeCell ref="G6:G8"/>
    <mergeCell ref="H6:H8"/>
    <mergeCell ref="I6:I8"/>
    <mergeCell ref="K6:K8"/>
    <mergeCell ref="Q4:Q8"/>
    <mergeCell ref="A1:P1"/>
    <mergeCell ref="A3:M3"/>
    <mergeCell ref="A4:A8"/>
    <mergeCell ref="B4:B8"/>
    <mergeCell ref="C4:C8"/>
    <mergeCell ref="D4:D8"/>
    <mergeCell ref="E4:E8"/>
    <mergeCell ref="F4:H4"/>
    <mergeCell ref="I4:J5"/>
    <mergeCell ref="K4:L5"/>
    <mergeCell ref="J6:J8"/>
    <mergeCell ref="M4:M8"/>
    <mergeCell ref="F5:F8"/>
    <mergeCell ref="L6:L8"/>
    <mergeCell ref="G5:H5"/>
  </mergeCells>
  <printOptions horizontalCentered="1"/>
  <pageMargins left="0.94488188976377963" right="0.27559055118110237" top="0.47244094488188981" bottom="0.39370078740157483" header="0.31496062992125984" footer="0.31496062992125984"/>
  <pageSetup paperSize="9" scale="60" orientation="landscape" r:id="rId1"/>
  <headerFooter>
    <oddFoote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0"/>
  <sheetViews>
    <sheetView zoomScale="55" zoomScaleNormal="55" workbookViewId="0">
      <pane xSplit="2" ySplit="10" topLeftCell="C141" activePane="bottomRight" state="frozen"/>
      <selection pane="topRight" activeCell="C1" sqref="C1"/>
      <selection pane="bottomLeft" activeCell="A12" sqref="A12"/>
      <selection pane="bottomRight" activeCell="V142" sqref="V142"/>
    </sheetView>
  </sheetViews>
  <sheetFormatPr defaultRowHeight="18.75"/>
  <cols>
    <col min="1" max="1" width="11.7109375" style="40" customWidth="1"/>
    <col min="2" max="2" width="43.5703125" style="203" customWidth="1"/>
    <col min="3" max="3" width="10.5703125" style="44" customWidth="1"/>
    <col min="4" max="4" width="9.5703125" style="44" customWidth="1"/>
    <col min="5" max="5" width="9.85546875" style="44" customWidth="1"/>
    <col min="6" max="6" width="19.42578125" style="201" customWidth="1"/>
    <col min="7" max="7" width="12.5703125" style="3" customWidth="1"/>
    <col min="8" max="8" width="15.140625" style="3" customWidth="1"/>
    <col min="9" max="9" width="11" style="3" hidden="1" customWidth="1"/>
    <col min="10" max="10" width="12.5703125" style="3" hidden="1" customWidth="1"/>
    <col min="11" max="12" width="12.85546875" style="3" hidden="1" customWidth="1"/>
    <col min="13" max="13" width="30.28515625" style="3" hidden="1" customWidth="1"/>
    <col min="14" max="14" width="9.7109375" style="40" hidden="1" customWidth="1"/>
    <col min="15" max="15" width="11" style="40" hidden="1" customWidth="1"/>
    <col min="16" max="16" width="25.140625" style="40" hidden="1" customWidth="1"/>
    <col min="17" max="17" width="11" style="40" hidden="1" customWidth="1"/>
    <col min="18" max="18" width="25.140625" style="40" hidden="1" customWidth="1"/>
    <col min="19" max="19" width="21.7109375" style="40" hidden="1" customWidth="1"/>
    <col min="20" max="21" width="12.85546875" style="40" customWidth="1"/>
    <col min="22" max="22" width="14" style="40" customWidth="1"/>
    <col min="23" max="23" width="15.5703125" style="13" customWidth="1"/>
    <col min="24" max="24" width="18" style="13" hidden="1" customWidth="1"/>
    <col min="25" max="25" width="14.140625" style="13" hidden="1" customWidth="1"/>
    <col min="26" max="26" width="9.140625" style="13" customWidth="1"/>
    <col min="27" max="220" width="9.140625" style="13"/>
    <col min="221" max="221" width="5.140625" style="13" customWidth="1"/>
    <col min="222" max="222" width="32.42578125" style="13" customWidth="1"/>
    <col min="223" max="225" width="10.28515625" style="13" customWidth="1"/>
    <col min="226" max="227" width="12.42578125" style="13" customWidth="1"/>
    <col min="228" max="228" width="11.28515625" style="13" customWidth="1"/>
    <col min="229" max="229" width="12.42578125" style="13" customWidth="1"/>
    <col min="230" max="230" width="11.28515625" style="13" customWidth="1"/>
    <col min="231" max="231" width="12.42578125" style="13" customWidth="1"/>
    <col min="232" max="232" width="11.28515625" style="13" customWidth="1"/>
    <col min="233" max="233" width="12.42578125" style="13" customWidth="1"/>
    <col min="234" max="234" width="11.28515625" style="13" customWidth="1"/>
    <col min="235" max="235" width="12.42578125" style="13" customWidth="1"/>
    <col min="236" max="236" width="11.28515625" style="13" customWidth="1"/>
    <col min="237" max="237" width="14.140625" style="13" customWidth="1"/>
    <col min="238" max="238" width="10.28515625" style="13" customWidth="1"/>
    <col min="239" max="239" width="17.140625" style="13" customWidth="1"/>
    <col min="240" max="240" width="12" style="13" customWidth="1"/>
    <col min="241" max="241" width="14.140625" style="13" customWidth="1"/>
    <col min="242" max="242" width="10.28515625" style="13" customWidth="1"/>
    <col min="243" max="243" width="17.140625" style="13" customWidth="1"/>
    <col min="244" max="244" width="12" style="13" customWidth="1"/>
    <col min="245" max="245" width="10.7109375" style="13" customWidth="1"/>
    <col min="246" max="248" width="0" style="13" hidden="1" customWidth="1"/>
    <col min="249" max="476" width="9.140625" style="13"/>
    <col min="477" max="477" width="5.140625" style="13" customWidth="1"/>
    <col min="478" max="478" width="32.42578125" style="13" customWidth="1"/>
    <col min="479" max="481" width="10.28515625" style="13" customWidth="1"/>
    <col min="482" max="483" width="12.42578125" style="13" customWidth="1"/>
    <col min="484" max="484" width="11.28515625" style="13" customWidth="1"/>
    <col min="485" max="485" width="12.42578125" style="13" customWidth="1"/>
    <col min="486" max="486" width="11.28515625" style="13" customWidth="1"/>
    <col min="487" max="487" width="12.42578125" style="13" customWidth="1"/>
    <col min="488" max="488" width="11.28515625" style="13" customWidth="1"/>
    <col min="489" max="489" width="12.42578125" style="13" customWidth="1"/>
    <col min="490" max="490" width="11.28515625" style="13" customWidth="1"/>
    <col min="491" max="491" width="12.42578125" style="13" customWidth="1"/>
    <col min="492" max="492" width="11.28515625" style="13" customWidth="1"/>
    <col min="493" max="493" width="14.140625" style="13" customWidth="1"/>
    <col min="494" max="494" width="10.28515625" style="13" customWidth="1"/>
    <col min="495" max="495" width="17.140625" style="13" customWidth="1"/>
    <col min="496" max="496" width="12" style="13" customWidth="1"/>
    <col min="497" max="497" width="14.140625" style="13" customWidth="1"/>
    <col min="498" max="498" width="10.28515625" style="13" customWidth="1"/>
    <col min="499" max="499" width="17.140625" style="13" customWidth="1"/>
    <col min="500" max="500" width="12" style="13" customWidth="1"/>
    <col min="501" max="501" width="10.7109375" style="13" customWidth="1"/>
    <col min="502" max="504" width="0" style="13" hidden="1" customWidth="1"/>
    <col min="505" max="732" width="9.140625" style="13"/>
    <col min="733" max="733" width="5.140625" style="13" customWidth="1"/>
    <col min="734" max="734" width="32.42578125" style="13" customWidth="1"/>
    <col min="735" max="737" width="10.28515625" style="13" customWidth="1"/>
    <col min="738" max="739" width="12.42578125" style="13" customWidth="1"/>
    <col min="740" max="740" width="11.28515625" style="13" customWidth="1"/>
    <col min="741" max="741" width="12.42578125" style="13" customWidth="1"/>
    <col min="742" max="742" width="11.28515625" style="13" customWidth="1"/>
    <col min="743" max="743" width="12.42578125" style="13" customWidth="1"/>
    <col min="744" max="744" width="11.28515625" style="13" customWidth="1"/>
    <col min="745" max="745" width="12.42578125" style="13" customWidth="1"/>
    <col min="746" max="746" width="11.28515625" style="13" customWidth="1"/>
    <col min="747" max="747" width="12.42578125" style="13" customWidth="1"/>
    <col min="748" max="748" width="11.28515625" style="13" customWidth="1"/>
    <col min="749" max="749" width="14.140625" style="13" customWidth="1"/>
    <col min="750" max="750" width="10.28515625" style="13" customWidth="1"/>
    <col min="751" max="751" width="17.140625" style="13" customWidth="1"/>
    <col min="752" max="752" width="12" style="13" customWidth="1"/>
    <col min="753" max="753" width="14.140625" style="13" customWidth="1"/>
    <col min="754" max="754" width="10.28515625" style="13" customWidth="1"/>
    <col min="755" max="755" width="17.140625" style="13" customWidth="1"/>
    <col min="756" max="756" width="12" style="13" customWidth="1"/>
    <col min="757" max="757" width="10.7109375" style="13" customWidth="1"/>
    <col min="758" max="760" width="0" style="13" hidden="1" customWidth="1"/>
    <col min="761" max="988" width="9.140625" style="13"/>
    <col min="989" max="989" width="5.140625" style="13" customWidth="1"/>
    <col min="990" max="990" width="32.42578125" style="13" customWidth="1"/>
    <col min="991" max="993" width="10.28515625" style="13" customWidth="1"/>
    <col min="994" max="995" width="12.42578125" style="13" customWidth="1"/>
    <col min="996" max="996" width="11.28515625" style="13" customWidth="1"/>
    <col min="997" max="997" width="12.42578125" style="13" customWidth="1"/>
    <col min="998" max="998" width="11.28515625" style="13" customWidth="1"/>
    <col min="999" max="999" width="12.42578125" style="13" customWidth="1"/>
    <col min="1000" max="1000" width="11.28515625" style="13" customWidth="1"/>
    <col min="1001" max="1001" width="12.42578125" style="13" customWidth="1"/>
    <col min="1002" max="1002" width="11.28515625" style="13" customWidth="1"/>
    <col min="1003" max="1003" width="12.42578125" style="13" customWidth="1"/>
    <col min="1004" max="1004" width="11.28515625" style="13" customWidth="1"/>
    <col min="1005" max="1005" width="14.140625" style="13" customWidth="1"/>
    <col min="1006" max="1006" width="10.28515625" style="13" customWidth="1"/>
    <col min="1007" max="1007" width="17.140625" style="13" customWidth="1"/>
    <col min="1008" max="1008" width="12" style="13" customWidth="1"/>
    <col min="1009" max="1009" width="14.140625" style="13" customWidth="1"/>
    <col min="1010" max="1010" width="10.28515625" style="13" customWidth="1"/>
    <col min="1011" max="1011" width="17.140625" style="13" customWidth="1"/>
    <col min="1012" max="1012" width="12" style="13" customWidth="1"/>
    <col min="1013" max="1013" width="10.7109375" style="13" customWidth="1"/>
    <col min="1014" max="1016" width="0" style="13" hidden="1" customWidth="1"/>
    <col min="1017" max="1244" width="9.140625" style="13"/>
    <col min="1245" max="1245" width="5.140625" style="13" customWidth="1"/>
    <col min="1246" max="1246" width="32.42578125" style="13" customWidth="1"/>
    <col min="1247" max="1249" width="10.28515625" style="13" customWidth="1"/>
    <col min="1250" max="1251" width="12.42578125" style="13" customWidth="1"/>
    <col min="1252" max="1252" width="11.28515625" style="13" customWidth="1"/>
    <col min="1253" max="1253" width="12.42578125" style="13" customWidth="1"/>
    <col min="1254" max="1254" width="11.28515625" style="13" customWidth="1"/>
    <col min="1255" max="1255" width="12.42578125" style="13" customWidth="1"/>
    <col min="1256" max="1256" width="11.28515625" style="13" customWidth="1"/>
    <col min="1257" max="1257" width="12.42578125" style="13" customWidth="1"/>
    <col min="1258" max="1258" width="11.28515625" style="13" customWidth="1"/>
    <col min="1259" max="1259" width="12.42578125" style="13" customWidth="1"/>
    <col min="1260" max="1260" width="11.28515625" style="13" customWidth="1"/>
    <col min="1261" max="1261" width="14.140625" style="13" customWidth="1"/>
    <col min="1262" max="1262" width="10.28515625" style="13" customWidth="1"/>
    <col min="1263" max="1263" width="17.140625" style="13" customWidth="1"/>
    <col min="1264" max="1264" width="12" style="13" customWidth="1"/>
    <col min="1265" max="1265" width="14.140625" style="13" customWidth="1"/>
    <col min="1266" max="1266" width="10.28515625" style="13" customWidth="1"/>
    <col min="1267" max="1267" width="17.140625" style="13" customWidth="1"/>
    <col min="1268" max="1268" width="12" style="13" customWidth="1"/>
    <col min="1269" max="1269" width="10.7109375" style="13" customWidth="1"/>
    <col min="1270" max="1272" width="0" style="13" hidden="1" customWidth="1"/>
    <col min="1273" max="1500" width="9.140625" style="13"/>
    <col min="1501" max="1501" width="5.140625" style="13" customWidth="1"/>
    <col min="1502" max="1502" width="32.42578125" style="13" customWidth="1"/>
    <col min="1503" max="1505" width="10.28515625" style="13" customWidth="1"/>
    <col min="1506" max="1507" width="12.42578125" style="13" customWidth="1"/>
    <col min="1508" max="1508" width="11.28515625" style="13" customWidth="1"/>
    <col min="1509" max="1509" width="12.42578125" style="13" customWidth="1"/>
    <col min="1510" max="1510" width="11.28515625" style="13" customWidth="1"/>
    <col min="1511" max="1511" width="12.42578125" style="13" customWidth="1"/>
    <col min="1512" max="1512" width="11.28515625" style="13" customWidth="1"/>
    <col min="1513" max="1513" width="12.42578125" style="13" customWidth="1"/>
    <col min="1514" max="1514" width="11.28515625" style="13" customWidth="1"/>
    <col min="1515" max="1515" width="12.42578125" style="13" customWidth="1"/>
    <col min="1516" max="1516" width="11.28515625" style="13" customWidth="1"/>
    <col min="1517" max="1517" width="14.140625" style="13" customWidth="1"/>
    <col min="1518" max="1518" width="10.28515625" style="13" customWidth="1"/>
    <col min="1519" max="1519" width="17.140625" style="13" customWidth="1"/>
    <col min="1520" max="1520" width="12" style="13" customWidth="1"/>
    <col min="1521" max="1521" width="14.140625" style="13" customWidth="1"/>
    <col min="1522" max="1522" width="10.28515625" style="13" customWidth="1"/>
    <col min="1523" max="1523" width="17.140625" style="13" customWidth="1"/>
    <col min="1524" max="1524" width="12" style="13" customWidth="1"/>
    <col min="1525" max="1525" width="10.7109375" style="13" customWidth="1"/>
    <col min="1526" max="1528" width="0" style="13" hidden="1" customWidth="1"/>
    <col min="1529" max="1756" width="9.140625" style="13"/>
    <col min="1757" max="1757" width="5.140625" style="13" customWidth="1"/>
    <col min="1758" max="1758" width="32.42578125" style="13" customWidth="1"/>
    <col min="1759" max="1761" width="10.28515625" style="13" customWidth="1"/>
    <col min="1762" max="1763" width="12.42578125" style="13" customWidth="1"/>
    <col min="1764" max="1764" width="11.28515625" style="13" customWidth="1"/>
    <col min="1765" max="1765" width="12.42578125" style="13" customWidth="1"/>
    <col min="1766" max="1766" width="11.28515625" style="13" customWidth="1"/>
    <col min="1767" max="1767" width="12.42578125" style="13" customWidth="1"/>
    <col min="1768" max="1768" width="11.28515625" style="13" customWidth="1"/>
    <col min="1769" max="1769" width="12.42578125" style="13" customWidth="1"/>
    <col min="1770" max="1770" width="11.28515625" style="13" customWidth="1"/>
    <col min="1771" max="1771" width="12.42578125" style="13" customWidth="1"/>
    <col min="1772" max="1772" width="11.28515625" style="13" customWidth="1"/>
    <col min="1773" max="1773" width="14.140625" style="13" customWidth="1"/>
    <col min="1774" max="1774" width="10.28515625" style="13" customWidth="1"/>
    <col min="1775" max="1775" width="17.140625" style="13" customWidth="1"/>
    <col min="1776" max="1776" width="12" style="13" customWidth="1"/>
    <col min="1777" max="1777" width="14.140625" style="13" customWidth="1"/>
    <col min="1778" max="1778" width="10.28515625" style="13" customWidth="1"/>
    <col min="1779" max="1779" width="17.140625" style="13" customWidth="1"/>
    <col min="1780" max="1780" width="12" style="13" customWidth="1"/>
    <col min="1781" max="1781" width="10.7109375" style="13" customWidth="1"/>
    <col min="1782" max="1784" width="0" style="13" hidden="1" customWidth="1"/>
    <col min="1785" max="2012" width="9.140625" style="13"/>
    <col min="2013" max="2013" width="5.140625" style="13" customWidth="1"/>
    <col min="2014" max="2014" width="32.42578125" style="13" customWidth="1"/>
    <col min="2015" max="2017" width="10.28515625" style="13" customWidth="1"/>
    <col min="2018" max="2019" width="12.42578125" style="13" customWidth="1"/>
    <col min="2020" max="2020" width="11.28515625" style="13" customWidth="1"/>
    <col min="2021" max="2021" width="12.42578125" style="13" customWidth="1"/>
    <col min="2022" max="2022" width="11.28515625" style="13" customWidth="1"/>
    <col min="2023" max="2023" width="12.42578125" style="13" customWidth="1"/>
    <col min="2024" max="2024" width="11.28515625" style="13" customWidth="1"/>
    <col min="2025" max="2025" width="12.42578125" style="13" customWidth="1"/>
    <col min="2026" max="2026" width="11.28515625" style="13" customWidth="1"/>
    <col min="2027" max="2027" width="12.42578125" style="13" customWidth="1"/>
    <col min="2028" max="2028" width="11.28515625" style="13" customWidth="1"/>
    <col min="2029" max="2029" width="14.140625" style="13" customWidth="1"/>
    <col min="2030" max="2030" width="10.28515625" style="13" customWidth="1"/>
    <col min="2031" max="2031" width="17.140625" style="13" customWidth="1"/>
    <col min="2032" max="2032" width="12" style="13" customWidth="1"/>
    <col min="2033" max="2033" width="14.140625" style="13" customWidth="1"/>
    <col min="2034" max="2034" width="10.28515625" style="13" customWidth="1"/>
    <col min="2035" max="2035" width="17.140625" style="13" customWidth="1"/>
    <col min="2036" max="2036" width="12" style="13" customWidth="1"/>
    <col min="2037" max="2037" width="10.7109375" style="13" customWidth="1"/>
    <col min="2038" max="2040" width="0" style="13" hidden="1" customWidth="1"/>
    <col min="2041" max="2268" width="9.140625" style="13"/>
    <col min="2269" max="2269" width="5.140625" style="13" customWidth="1"/>
    <col min="2270" max="2270" width="32.42578125" style="13" customWidth="1"/>
    <col min="2271" max="2273" width="10.28515625" style="13" customWidth="1"/>
    <col min="2274" max="2275" width="12.42578125" style="13" customWidth="1"/>
    <col min="2276" max="2276" width="11.28515625" style="13" customWidth="1"/>
    <col min="2277" max="2277" width="12.42578125" style="13" customWidth="1"/>
    <col min="2278" max="2278" width="11.28515625" style="13" customWidth="1"/>
    <col min="2279" max="2279" width="12.42578125" style="13" customWidth="1"/>
    <col min="2280" max="2280" width="11.28515625" style="13" customWidth="1"/>
    <col min="2281" max="2281" width="12.42578125" style="13" customWidth="1"/>
    <col min="2282" max="2282" width="11.28515625" style="13" customWidth="1"/>
    <col min="2283" max="2283" width="12.42578125" style="13" customWidth="1"/>
    <col min="2284" max="2284" width="11.28515625" style="13" customWidth="1"/>
    <col min="2285" max="2285" width="14.140625" style="13" customWidth="1"/>
    <col min="2286" max="2286" width="10.28515625" style="13" customWidth="1"/>
    <col min="2287" max="2287" width="17.140625" style="13" customWidth="1"/>
    <col min="2288" max="2288" width="12" style="13" customWidth="1"/>
    <col min="2289" max="2289" width="14.140625" style="13" customWidth="1"/>
    <col min="2290" max="2290" width="10.28515625" style="13" customWidth="1"/>
    <col min="2291" max="2291" width="17.140625" style="13" customWidth="1"/>
    <col min="2292" max="2292" width="12" style="13" customWidth="1"/>
    <col min="2293" max="2293" width="10.7109375" style="13" customWidth="1"/>
    <col min="2294" max="2296" width="0" style="13" hidden="1" customWidth="1"/>
    <col min="2297" max="2524" width="9.140625" style="13"/>
    <col min="2525" max="2525" width="5.140625" style="13" customWidth="1"/>
    <col min="2526" max="2526" width="32.42578125" style="13" customWidth="1"/>
    <col min="2527" max="2529" width="10.28515625" style="13" customWidth="1"/>
    <col min="2530" max="2531" width="12.42578125" style="13" customWidth="1"/>
    <col min="2532" max="2532" width="11.28515625" style="13" customWidth="1"/>
    <col min="2533" max="2533" width="12.42578125" style="13" customWidth="1"/>
    <col min="2534" max="2534" width="11.28515625" style="13" customWidth="1"/>
    <col min="2535" max="2535" width="12.42578125" style="13" customWidth="1"/>
    <col min="2536" max="2536" width="11.28515625" style="13" customWidth="1"/>
    <col min="2537" max="2537" width="12.42578125" style="13" customWidth="1"/>
    <col min="2538" max="2538" width="11.28515625" style="13" customWidth="1"/>
    <col min="2539" max="2539" width="12.42578125" style="13" customWidth="1"/>
    <col min="2540" max="2540" width="11.28515625" style="13" customWidth="1"/>
    <col min="2541" max="2541" width="14.140625" style="13" customWidth="1"/>
    <col min="2542" max="2542" width="10.28515625" style="13" customWidth="1"/>
    <col min="2543" max="2543" width="17.140625" style="13" customWidth="1"/>
    <col min="2544" max="2544" width="12" style="13" customWidth="1"/>
    <col min="2545" max="2545" width="14.140625" style="13" customWidth="1"/>
    <col min="2546" max="2546" width="10.28515625" style="13" customWidth="1"/>
    <col min="2547" max="2547" width="17.140625" style="13" customWidth="1"/>
    <col min="2548" max="2548" width="12" style="13" customWidth="1"/>
    <col min="2549" max="2549" width="10.7109375" style="13" customWidth="1"/>
    <col min="2550" max="2552" width="0" style="13" hidden="1" customWidth="1"/>
    <col min="2553" max="2780" width="9.140625" style="13"/>
    <col min="2781" max="2781" width="5.140625" style="13" customWidth="1"/>
    <col min="2782" max="2782" width="32.42578125" style="13" customWidth="1"/>
    <col min="2783" max="2785" width="10.28515625" style="13" customWidth="1"/>
    <col min="2786" max="2787" width="12.42578125" style="13" customWidth="1"/>
    <col min="2788" max="2788" width="11.28515625" style="13" customWidth="1"/>
    <col min="2789" max="2789" width="12.42578125" style="13" customWidth="1"/>
    <col min="2790" max="2790" width="11.28515625" style="13" customWidth="1"/>
    <col min="2791" max="2791" width="12.42578125" style="13" customWidth="1"/>
    <col min="2792" max="2792" width="11.28515625" style="13" customWidth="1"/>
    <col min="2793" max="2793" width="12.42578125" style="13" customWidth="1"/>
    <col min="2794" max="2794" width="11.28515625" style="13" customWidth="1"/>
    <col min="2795" max="2795" width="12.42578125" style="13" customWidth="1"/>
    <col min="2796" max="2796" width="11.28515625" style="13" customWidth="1"/>
    <col min="2797" max="2797" width="14.140625" style="13" customWidth="1"/>
    <col min="2798" max="2798" width="10.28515625" style="13" customWidth="1"/>
    <col min="2799" max="2799" width="17.140625" style="13" customWidth="1"/>
    <col min="2800" max="2800" width="12" style="13" customWidth="1"/>
    <col min="2801" max="2801" width="14.140625" style="13" customWidth="1"/>
    <col min="2802" max="2802" width="10.28515625" style="13" customWidth="1"/>
    <col min="2803" max="2803" width="17.140625" style="13" customWidth="1"/>
    <col min="2804" max="2804" width="12" style="13" customWidth="1"/>
    <col min="2805" max="2805" width="10.7109375" style="13" customWidth="1"/>
    <col min="2806" max="2808" width="0" style="13" hidden="1" customWidth="1"/>
    <col min="2809" max="3036" width="9.140625" style="13"/>
    <col min="3037" max="3037" width="5.140625" style="13" customWidth="1"/>
    <col min="3038" max="3038" width="32.42578125" style="13" customWidth="1"/>
    <col min="3039" max="3041" width="10.28515625" style="13" customWidth="1"/>
    <col min="3042" max="3043" width="12.42578125" style="13" customWidth="1"/>
    <col min="3044" max="3044" width="11.28515625" style="13" customWidth="1"/>
    <col min="3045" max="3045" width="12.42578125" style="13" customWidth="1"/>
    <col min="3046" max="3046" width="11.28515625" style="13" customWidth="1"/>
    <col min="3047" max="3047" width="12.42578125" style="13" customWidth="1"/>
    <col min="3048" max="3048" width="11.28515625" style="13" customWidth="1"/>
    <col min="3049" max="3049" width="12.42578125" style="13" customWidth="1"/>
    <col min="3050" max="3050" width="11.28515625" style="13" customWidth="1"/>
    <col min="3051" max="3051" width="12.42578125" style="13" customWidth="1"/>
    <col min="3052" max="3052" width="11.28515625" style="13" customWidth="1"/>
    <col min="3053" max="3053" width="14.140625" style="13" customWidth="1"/>
    <col min="3054" max="3054" width="10.28515625" style="13" customWidth="1"/>
    <col min="3055" max="3055" width="17.140625" style="13" customWidth="1"/>
    <col min="3056" max="3056" width="12" style="13" customWidth="1"/>
    <col min="3057" max="3057" width="14.140625" style="13" customWidth="1"/>
    <col min="3058" max="3058" width="10.28515625" style="13" customWidth="1"/>
    <col min="3059" max="3059" width="17.140625" style="13" customWidth="1"/>
    <col min="3060" max="3060" width="12" style="13" customWidth="1"/>
    <col min="3061" max="3061" width="10.7109375" style="13" customWidth="1"/>
    <col min="3062" max="3064" width="0" style="13" hidden="1" customWidth="1"/>
    <col min="3065" max="3292" width="9.140625" style="13"/>
    <col min="3293" max="3293" width="5.140625" style="13" customWidth="1"/>
    <col min="3294" max="3294" width="32.42578125" style="13" customWidth="1"/>
    <col min="3295" max="3297" width="10.28515625" style="13" customWidth="1"/>
    <col min="3298" max="3299" width="12.42578125" style="13" customWidth="1"/>
    <col min="3300" max="3300" width="11.28515625" style="13" customWidth="1"/>
    <col min="3301" max="3301" width="12.42578125" style="13" customWidth="1"/>
    <col min="3302" max="3302" width="11.28515625" style="13" customWidth="1"/>
    <col min="3303" max="3303" width="12.42578125" style="13" customWidth="1"/>
    <col min="3304" max="3304" width="11.28515625" style="13" customWidth="1"/>
    <col min="3305" max="3305" width="12.42578125" style="13" customWidth="1"/>
    <col min="3306" max="3306" width="11.28515625" style="13" customWidth="1"/>
    <col min="3307" max="3307" width="12.42578125" style="13" customWidth="1"/>
    <col min="3308" max="3308" width="11.28515625" style="13" customWidth="1"/>
    <col min="3309" max="3309" width="14.140625" style="13" customWidth="1"/>
    <col min="3310" max="3310" width="10.28515625" style="13" customWidth="1"/>
    <col min="3311" max="3311" width="17.140625" style="13" customWidth="1"/>
    <col min="3312" max="3312" width="12" style="13" customWidth="1"/>
    <col min="3313" max="3313" width="14.140625" style="13" customWidth="1"/>
    <col min="3314" max="3314" width="10.28515625" style="13" customWidth="1"/>
    <col min="3315" max="3315" width="17.140625" style="13" customWidth="1"/>
    <col min="3316" max="3316" width="12" style="13" customWidth="1"/>
    <col min="3317" max="3317" width="10.7109375" style="13" customWidth="1"/>
    <col min="3318" max="3320" width="0" style="13" hidden="1" customWidth="1"/>
    <col min="3321" max="3548" width="9.140625" style="13"/>
    <col min="3549" max="3549" width="5.140625" style="13" customWidth="1"/>
    <col min="3550" max="3550" width="32.42578125" style="13" customWidth="1"/>
    <col min="3551" max="3553" width="10.28515625" style="13" customWidth="1"/>
    <col min="3554" max="3555" width="12.42578125" style="13" customWidth="1"/>
    <col min="3556" max="3556" width="11.28515625" style="13" customWidth="1"/>
    <col min="3557" max="3557" width="12.42578125" style="13" customWidth="1"/>
    <col min="3558" max="3558" width="11.28515625" style="13" customWidth="1"/>
    <col min="3559" max="3559" width="12.42578125" style="13" customWidth="1"/>
    <col min="3560" max="3560" width="11.28515625" style="13" customWidth="1"/>
    <col min="3561" max="3561" width="12.42578125" style="13" customWidth="1"/>
    <col min="3562" max="3562" width="11.28515625" style="13" customWidth="1"/>
    <col min="3563" max="3563" width="12.42578125" style="13" customWidth="1"/>
    <col min="3564" max="3564" width="11.28515625" style="13" customWidth="1"/>
    <col min="3565" max="3565" width="14.140625" style="13" customWidth="1"/>
    <col min="3566" max="3566" width="10.28515625" style="13" customWidth="1"/>
    <col min="3567" max="3567" width="17.140625" style="13" customWidth="1"/>
    <col min="3568" max="3568" width="12" style="13" customWidth="1"/>
    <col min="3569" max="3569" width="14.140625" style="13" customWidth="1"/>
    <col min="3570" max="3570" width="10.28515625" style="13" customWidth="1"/>
    <col min="3571" max="3571" width="17.140625" style="13" customWidth="1"/>
    <col min="3572" max="3572" width="12" style="13" customWidth="1"/>
    <col min="3573" max="3573" width="10.7109375" style="13" customWidth="1"/>
    <col min="3574" max="3576" width="0" style="13" hidden="1" customWidth="1"/>
    <col min="3577" max="3804" width="9.140625" style="13"/>
    <col min="3805" max="3805" width="5.140625" style="13" customWidth="1"/>
    <col min="3806" max="3806" width="32.42578125" style="13" customWidth="1"/>
    <col min="3807" max="3809" width="10.28515625" style="13" customWidth="1"/>
    <col min="3810" max="3811" width="12.42578125" style="13" customWidth="1"/>
    <col min="3812" max="3812" width="11.28515625" style="13" customWidth="1"/>
    <col min="3813" max="3813" width="12.42578125" style="13" customWidth="1"/>
    <col min="3814" max="3814" width="11.28515625" style="13" customWidth="1"/>
    <col min="3815" max="3815" width="12.42578125" style="13" customWidth="1"/>
    <col min="3816" max="3816" width="11.28515625" style="13" customWidth="1"/>
    <col min="3817" max="3817" width="12.42578125" style="13" customWidth="1"/>
    <col min="3818" max="3818" width="11.28515625" style="13" customWidth="1"/>
    <col min="3819" max="3819" width="12.42578125" style="13" customWidth="1"/>
    <col min="3820" max="3820" width="11.28515625" style="13" customWidth="1"/>
    <col min="3821" max="3821" width="14.140625" style="13" customWidth="1"/>
    <col min="3822" max="3822" width="10.28515625" style="13" customWidth="1"/>
    <col min="3823" max="3823" width="17.140625" style="13" customWidth="1"/>
    <col min="3824" max="3824" width="12" style="13" customWidth="1"/>
    <col min="3825" max="3825" width="14.140625" style="13" customWidth="1"/>
    <col min="3826" max="3826" width="10.28515625" style="13" customWidth="1"/>
    <col min="3827" max="3827" width="17.140625" style="13" customWidth="1"/>
    <col min="3828" max="3828" width="12" style="13" customWidth="1"/>
    <col min="3829" max="3829" width="10.7109375" style="13" customWidth="1"/>
    <col min="3830" max="3832" width="0" style="13" hidden="1" customWidth="1"/>
    <col min="3833" max="4060" width="9.140625" style="13"/>
    <col min="4061" max="4061" width="5.140625" style="13" customWidth="1"/>
    <col min="4062" max="4062" width="32.42578125" style="13" customWidth="1"/>
    <col min="4063" max="4065" width="10.28515625" style="13" customWidth="1"/>
    <col min="4066" max="4067" width="12.42578125" style="13" customWidth="1"/>
    <col min="4068" max="4068" width="11.28515625" style="13" customWidth="1"/>
    <col min="4069" max="4069" width="12.42578125" style="13" customWidth="1"/>
    <col min="4070" max="4070" width="11.28515625" style="13" customWidth="1"/>
    <col min="4071" max="4071" width="12.42578125" style="13" customWidth="1"/>
    <col min="4072" max="4072" width="11.28515625" style="13" customWidth="1"/>
    <col min="4073" max="4073" width="12.42578125" style="13" customWidth="1"/>
    <col min="4074" max="4074" width="11.28515625" style="13" customWidth="1"/>
    <col min="4075" max="4075" width="12.42578125" style="13" customWidth="1"/>
    <col min="4076" max="4076" width="11.28515625" style="13" customWidth="1"/>
    <col min="4077" max="4077" width="14.140625" style="13" customWidth="1"/>
    <col min="4078" max="4078" width="10.28515625" style="13" customWidth="1"/>
    <col min="4079" max="4079" width="17.140625" style="13" customWidth="1"/>
    <col min="4080" max="4080" width="12" style="13" customWidth="1"/>
    <col min="4081" max="4081" width="14.140625" style="13" customWidth="1"/>
    <col min="4082" max="4082" width="10.28515625" style="13" customWidth="1"/>
    <col min="4083" max="4083" width="17.140625" style="13" customWidth="1"/>
    <col min="4084" max="4084" width="12" style="13" customWidth="1"/>
    <col min="4085" max="4085" width="10.7109375" style="13" customWidth="1"/>
    <col min="4086" max="4088" width="0" style="13" hidden="1" customWidth="1"/>
    <col min="4089" max="4316" width="9.140625" style="13"/>
    <col min="4317" max="4317" width="5.140625" style="13" customWidth="1"/>
    <col min="4318" max="4318" width="32.42578125" style="13" customWidth="1"/>
    <col min="4319" max="4321" width="10.28515625" style="13" customWidth="1"/>
    <col min="4322" max="4323" width="12.42578125" style="13" customWidth="1"/>
    <col min="4324" max="4324" width="11.28515625" style="13" customWidth="1"/>
    <col min="4325" max="4325" width="12.42578125" style="13" customWidth="1"/>
    <col min="4326" max="4326" width="11.28515625" style="13" customWidth="1"/>
    <col min="4327" max="4327" width="12.42578125" style="13" customWidth="1"/>
    <col min="4328" max="4328" width="11.28515625" style="13" customWidth="1"/>
    <col min="4329" max="4329" width="12.42578125" style="13" customWidth="1"/>
    <col min="4330" max="4330" width="11.28515625" style="13" customWidth="1"/>
    <col min="4331" max="4331" width="12.42578125" style="13" customWidth="1"/>
    <col min="4332" max="4332" width="11.28515625" style="13" customWidth="1"/>
    <col min="4333" max="4333" width="14.140625" style="13" customWidth="1"/>
    <col min="4334" max="4334" width="10.28515625" style="13" customWidth="1"/>
    <col min="4335" max="4335" width="17.140625" style="13" customWidth="1"/>
    <col min="4336" max="4336" width="12" style="13" customWidth="1"/>
    <col min="4337" max="4337" width="14.140625" style="13" customWidth="1"/>
    <col min="4338" max="4338" width="10.28515625" style="13" customWidth="1"/>
    <col min="4339" max="4339" width="17.140625" style="13" customWidth="1"/>
    <col min="4340" max="4340" width="12" style="13" customWidth="1"/>
    <col min="4341" max="4341" width="10.7109375" style="13" customWidth="1"/>
    <col min="4342" max="4344" width="0" style="13" hidden="1" customWidth="1"/>
    <col min="4345" max="4572" width="9.140625" style="13"/>
    <col min="4573" max="4573" width="5.140625" style="13" customWidth="1"/>
    <col min="4574" max="4574" width="32.42578125" style="13" customWidth="1"/>
    <col min="4575" max="4577" width="10.28515625" style="13" customWidth="1"/>
    <col min="4578" max="4579" width="12.42578125" style="13" customWidth="1"/>
    <col min="4580" max="4580" width="11.28515625" style="13" customWidth="1"/>
    <col min="4581" max="4581" width="12.42578125" style="13" customWidth="1"/>
    <col min="4582" max="4582" width="11.28515625" style="13" customWidth="1"/>
    <col min="4583" max="4583" width="12.42578125" style="13" customWidth="1"/>
    <col min="4584" max="4584" width="11.28515625" style="13" customWidth="1"/>
    <col min="4585" max="4585" width="12.42578125" style="13" customWidth="1"/>
    <col min="4586" max="4586" width="11.28515625" style="13" customWidth="1"/>
    <col min="4587" max="4587" width="12.42578125" style="13" customWidth="1"/>
    <col min="4588" max="4588" width="11.28515625" style="13" customWidth="1"/>
    <col min="4589" max="4589" width="14.140625" style="13" customWidth="1"/>
    <col min="4590" max="4590" width="10.28515625" style="13" customWidth="1"/>
    <col min="4591" max="4591" width="17.140625" style="13" customWidth="1"/>
    <col min="4592" max="4592" width="12" style="13" customWidth="1"/>
    <col min="4593" max="4593" width="14.140625" style="13" customWidth="1"/>
    <col min="4594" max="4594" width="10.28515625" style="13" customWidth="1"/>
    <col min="4595" max="4595" width="17.140625" style="13" customWidth="1"/>
    <col min="4596" max="4596" width="12" style="13" customWidth="1"/>
    <col min="4597" max="4597" width="10.7109375" style="13" customWidth="1"/>
    <col min="4598" max="4600" width="0" style="13" hidden="1" customWidth="1"/>
    <col min="4601" max="4828" width="9.140625" style="13"/>
    <col min="4829" max="4829" width="5.140625" style="13" customWidth="1"/>
    <col min="4830" max="4830" width="32.42578125" style="13" customWidth="1"/>
    <col min="4831" max="4833" width="10.28515625" style="13" customWidth="1"/>
    <col min="4834" max="4835" width="12.42578125" style="13" customWidth="1"/>
    <col min="4836" max="4836" width="11.28515625" style="13" customWidth="1"/>
    <col min="4837" max="4837" width="12.42578125" style="13" customWidth="1"/>
    <col min="4838" max="4838" width="11.28515625" style="13" customWidth="1"/>
    <col min="4839" max="4839" width="12.42578125" style="13" customWidth="1"/>
    <col min="4840" max="4840" width="11.28515625" style="13" customWidth="1"/>
    <col min="4841" max="4841" width="12.42578125" style="13" customWidth="1"/>
    <col min="4842" max="4842" width="11.28515625" style="13" customWidth="1"/>
    <col min="4843" max="4843" width="12.42578125" style="13" customWidth="1"/>
    <col min="4844" max="4844" width="11.28515625" style="13" customWidth="1"/>
    <col min="4845" max="4845" width="14.140625" style="13" customWidth="1"/>
    <col min="4846" max="4846" width="10.28515625" style="13" customWidth="1"/>
    <col min="4847" max="4847" width="17.140625" style="13" customWidth="1"/>
    <col min="4848" max="4848" width="12" style="13" customWidth="1"/>
    <col min="4849" max="4849" width="14.140625" style="13" customWidth="1"/>
    <col min="4850" max="4850" width="10.28515625" style="13" customWidth="1"/>
    <col min="4851" max="4851" width="17.140625" style="13" customWidth="1"/>
    <col min="4852" max="4852" width="12" style="13" customWidth="1"/>
    <col min="4853" max="4853" width="10.7109375" style="13" customWidth="1"/>
    <col min="4854" max="4856" width="0" style="13" hidden="1" customWidth="1"/>
    <col min="4857" max="5084" width="9.140625" style="13"/>
    <col min="5085" max="5085" width="5.140625" style="13" customWidth="1"/>
    <col min="5086" max="5086" width="32.42578125" style="13" customWidth="1"/>
    <col min="5087" max="5089" width="10.28515625" style="13" customWidth="1"/>
    <col min="5090" max="5091" width="12.42578125" style="13" customWidth="1"/>
    <col min="5092" max="5092" width="11.28515625" style="13" customWidth="1"/>
    <col min="5093" max="5093" width="12.42578125" style="13" customWidth="1"/>
    <col min="5094" max="5094" width="11.28515625" style="13" customWidth="1"/>
    <col min="5095" max="5095" width="12.42578125" style="13" customWidth="1"/>
    <col min="5096" max="5096" width="11.28515625" style="13" customWidth="1"/>
    <col min="5097" max="5097" width="12.42578125" style="13" customWidth="1"/>
    <col min="5098" max="5098" width="11.28515625" style="13" customWidth="1"/>
    <col min="5099" max="5099" width="12.42578125" style="13" customWidth="1"/>
    <col min="5100" max="5100" width="11.28515625" style="13" customWidth="1"/>
    <col min="5101" max="5101" width="14.140625" style="13" customWidth="1"/>
    <col min="5102" max="5102" width="10.28515625" style="13" customWidth="1"/>
    <col min="5103" max="5103" width="17.140625" style="13" customWidth="1"/>
    <col min="5104" max="5104" width="12" style="13" customWidth="1"/>
    <col min="5105" max="5105" width="14.140625" style="13" customWidth="1"/>
    <col min="5106" max="5106" width="10.28515625" style="13" customWidth="1"/>
    <col min="5107" max="5107" width="17.140625" style="13" customWidth="1"/>
    <col min="5108" max="5108" width="12" style="13" customWidth="1"/>
    <col min="5109" max="5109" width="10.7109375" style="13" customWidth="1"/>
    <col min="5110" max="5112" width="0" style="13" hidden="1" customWidth="1"/>
    <col min="5113" max="5340" width="9.140625" style="13"/>
    <col min="5341" max="5341" width="5.140625" style="13" customWidth="1"/>
    <col min="5342" max="5342" width="32.42578125" style="13" customWidth="1"/>
    <col min="5343" max="5345" width="10.28515625" style="13" customWidth="1"/>
    <col min="5346" max="5347" width="12.42578125" style="13" customWidth="1"/>
    <col min="5348" max="5348" width="11.28515625" style="13" customWidth="1"/>
    <col min="5349" max="5349" width="12.42578125" style="13" customWidth="1"/>
    <col min="5350" max="5350" width="11.28515625" style="13" customWidth="1"/>
    <col min="5351" max="5351" width="12.42578125" style="13" customWidth="1"/>
    <col min="5352" max="5352" width="11.28515625" style="13" customWidth="1"/>
    <col min="5353" max="5353" width="12.42578125" style="13" customWidth="1"/>
    <col min="5354" max="5354" width="11.28515625" style="13" customWidth="1"/>
    <col min="5355" max="5355" width="12.42578125" style="13" customWidth="1"/>
    <col min="5356" max="5356" width="11.28515625" style="13" customWidth="1"/>
    <col min="5357" max="5357" width="14.140625" style="13" customWidth="1"/>
    <col min="5358" max="5358" width="10.28515625" style="13" customWidth="1"/>
    <col min="5359" max="5359" width="17.140625" style="13" customWidth="1"/>
    <col min="5360" max="5360" width="12" style="13" customWidth="1"/>
    <col min="5361" max="5361" width="14.140625" style="13" customWidth="1"/>
    <col min="5362" max="5362" width="10.28515625" style="13" customWidth="1"/>
    <col min="5363" max="5363" width="17.140625" style="13" customWidth="1"/>
    <col min="5364" max="5364" width="12" style="13" customWidth="1"/>
    <col min="5365" max="5365" width="10.7109375" style="13" customWidth="1"/>
    <col min="5366" max="5368" width="0" style="13" hidden="1" customWidth="1"/>
    <col min="5369" max="5596" width="9.140625" style="13"/>
    <col min="5597" max="5597" width="5.140625" style="13" customWidth="1"/>
    <col min="5598" max="5598" width="32.42578125" style="13" customWidth="1"/>
    <col min="5599" max="5601" width="10.28515625" style="13" customWidth="1"/>
    <col min="5602" max="5603" width="12.42578125" style="13" customWidth="1"/>
    <col min="5604" max="5604" width="11.28515625" style="13" customWidth="1"/>
    <col min="5605" max="5605" width="12.42578125" style="13" customWidth="1"/>
    <col min="5606" max="5606" width="11.28515625" style="13" customWidth="1"/>
    <col min="5607" max="5607" width="12.42578125" style="13" customWidth="1"/>
    <col min="5608" max="5608" width="11.28515625" style="13" customWidth="1"/>
    <col min="5609" max="5609" width="12.42578125" style="13" customWidth="1"/>
    <col min="5610" max="5610" width="11.28515625" style="13" customWidth="1"/>
    <col min="5611" max="5611" width="12.42578125" style="13" customWidth="1"/>
    <col min="5612" max="5612" width="11.28515625" style="13" customWidth="1"/>
    <col min="5613" max="5613" width="14.140625" style="13" customWidth="1"/>
    <col min="5614" max="5614" width="10.28515625" style="13" customWidth="1"/>
    <col min="5615" max="5615" width="17.140625" style="13" customWidth="1"/>
    <col min="5616" max="5616" width="12" style="13" customWidth="1"/>
    <col min="5617" max="5617" width="14.140625" style="13" customWidth="1"/>
    <col min="5618" max="5618" width="10.28515625" style="13" customWidth="1"/>
    <col min="5619" max="5619" width="17.140625" style="13" customWidth="1"/>
    <col min="5620" max="5620" width="12" style="13" customWidth="1"/>
    <col min="5621" max="5621" width="10.7109375" style="13" customWidth="1"/>
    <col min="5622" max="5624" width="0" style="13" hidden="1" customWidth="1"/>
    <col min="5625" max="5852" width="9.140625" style="13"/>
    <col min="5853" max="5853" width="5.140625" style="13" customWidth="1"/>
    <col min="5854" max="5854" width="32.42578125" style="13" customWidth="1"/>
    <col min="5855" max="5857" width="10.28515625" style="13" customWidth="1"/>
    <col min="5858" max="5859" width="12.42578125" style="13" customWidth="1"/>
    <col min="5860" max="5860" width="11.28515625" style="13" customWidth="1"/>
    <col min="5861" max="5861" width="12.42578125" style="13" customWidth="1"/>
    <col min="5862" max="5862" width="11.28515625" style="13" customWidth="1"/>
    <col min="5863" max="5863" width="12.42578125" style="13" customWidth="1"/>
    <col min="5864" max="5864" width="11.28515625" style="13" customWidth="1"/>
    <col min="5865" max="5865" width="12.42578125" style="13" customWidth="1"/>
    <col min="5866" max="5866" width="11.28515625" style="13" customWidth="1"/>
    <col min="5867" max="5867" width="12.42578125" style="13" customWidth="1"/>
    <col min="5868" max="5868" width="11.28515625" style="13" customWidth="1"/>
    <col min="5869" max="5869" width="14.140625" style="13" customWidth="1"/>
    <col min="5870" max="5870" width="10.28515625" style="13" customWidth="1"/>
    <col min="5871" max="5871" width="17.140625" style="13" customWidth="1"/>
    <col min="5872" max="5872" width="12" style="13" customWidth="1"/>
    <col min="5873" max="5873" width="14.140625" style="13" customWidth="1"/>
    <col min="5874" max="5874" width="10.28515625" style="13" customWidth="1"/>
    <col min="5875" max="5875" width="17.140625" style="13" customWidth="1"/>
    <col min="5876" max="5876" width="12" style="13" customWidth="1"/>
    <col min="5877" max="5877" width="10.7109375" style="13" customWidth="1"/>
    <col min="5878" max="5880" width="0" style="13" hidden="1" customWidth="1"/>
    <col min="5881" max="6108" width="9.140625" style="13"/>
    <col min="6109" max="6109" width="5.140625" style="13" customWidth="1"/>
    <col min="6110" max="6110" width="32.42578125" style="13" customWidth="1"/>
    <col min="6111" max="6113" width="10.28515625" style="13" customWidth="1"/>
    <col min="6114" max="6115" width="12.42578125" style="13" customWidth="1"/>
    <col min="6116" max="6116" width="11.28515625" style="13" customWidth="1"/>
    <col min="6117" max="6117" width="12.42578125" style="13" customWidth="1"/>
    <col min="6118" max="6118" width="11.28515625" style="13" customWidth="1"/>
    <col min="6119" max="6119" width="12.42578125" style="13" customWidth="1"/>
    <col min="6120" max="6120" width="11.28515625" style="13" customWidth="1"/>
    <col min="6121" max="6121" width="12.42578125" style="13" customWidth="1"/>
    <col min="6122" max="6122" width="11.28515625" style="13" customWidth="1"/>
    <col min="6123" max="6123" width="12.42578125" style="13" customWidth="1"/>
    <col min="6124" max="6124" width="11.28515625" style="13" customWidth="1"/>
    <col min="6125" max="6125" width="14.140625" style="13" customWidth="1"/>
    <col min="6126" max="6126" width="10.28515625" style="13" customWidth="1"/>
    <col min="6127" max="6127" width="17.140625" style="13" customWidth="1"/>
    <col min="6128" max="6128" width="12" style="13" customWidth="1"/>
    <col min="6129" max="6129" width="14.140625" style="13" customWidth="1"/>
    <col min="6130" max="6130" width="10.28515625" style="13" customWidth="1"/>
    <col min="6131" max="6131" width="17.140625" style="13" customWidth="1"/>
    <col min="6132" max="6132" width="12" style="13" customWidth="1"/>
    <col min="6133" max="6133" width="10.7109375" style="13" customWidth="1"/>
    <col min="6134" max="6136" width="0" style="13" hidden="1" customWidth="1"/>
    <col min="6137" max="6364" width="9.140625" style="13"/>
    <col min="6365" max="6365" width="5.140625" style="13" customWidth="1"/>
    <col min="6366" max="6366" width="32.42578125" style="13" customWidth="1"/>
    <col min="6367" max="6369" width="10.28515625" style="13" customWidth="1"/>
    <col min="6370" max="6371" width="12.42578125" style="13" customWidth="1"/>
    <col min="6372" max="6372" width="11.28515625" style="13" customWidth="1"/>
    <col min="6373" max="6373" width="12.42578125" style="13" customWidth="1"/>
    <col min="6374" max="6374" width="11.28515625" style="13" customWidth="1"/>
    <col min="6375" max="6375" width="12.42578125" style="13" customWidth="1"/>
    <col min="6376" max="6376" width="11.28515625" style="13" customWidth="1"/>
    <col min="6377" max="6377" width="12.42578125" style="13" customWidth="1"/>
    <col min="6378" max="6378" width="11.28515625" style="13" customWidth="1"/>
    <col min="6379" max="6379" width="12.42578125" style="13" customWidth="1"/>
    <col min="6380" max="6380" width="11.28515625" style="13" customWidth="1"/>
    <col min="6381" max="6381" width="14.140625" style="13" customWidth="1"/>
    <col min="6382" max="6382" width="10.28515625" style="13" customWidth="1"/>
    <col min="6383" max="6383" width="17.140625" style="13" customWidth="1"/>
    <col min="6384" max="6384" width="12" style="13" customWidth="1"/>
    <col min="6385" max="6385" width="14.140625" style="13" customWidth="1"/>
    <col min="6386" max="6386" width="10.28515625" style="13" customWidth="1"/>
    <col min="6387" max="6387" width="17.140625" style="13" customWidth="1"/>
    <col min="6388" max="6388" width="12" style="13" customWidth="1"/>
    <col min="6389" max="6389" width="10.7109375" style="13" customWidth="1"/>
    <col min="6390" max="6392" width="0" style="13" hidden="1" customWidth="1"/>
    <col min="6393" max="6620" width="9.140625" style="13"/>
    <col min="6621" max="6621" width="5.140625" style="13" customWidth="1"/>
    <col min="6622" max="6622" width="32.42578125" style="13" customWidth="1"/>
    <col min="6623" max="6625" width="10.28515625" style="13" customWidth="1"/>
    <col min="6626" max="6627" width="12.42578125" style="13" customWidth="1"/>
    <col min="6628" max="6628" width="11.28515625" style="13" customWidth="1"/>
    <col min="6629" max="6629" width="12.42578125" style="13" customWidth="1"/>
    <col min="6630" max="6630" width="11.28515625" style="13" customWidth="1"/>
    <col min="6631" max="6631" width="12.42578125" style="13" customWidth="1"/>
    <col min="6632" max="6632" width="11.28515625" style="13" customWidth="1"/>
    <col min="6633" max="6633" width="12.42578125" style="13" customWidth="1"/>
    <col min="6634" max="6634" width="11.28515625" style="13" customWidth="1"/>
    <col min="6635" max="6635" width="12.42578125" style="13" customWidth="1"/>
    <col min="6636" max="6636" width="11.28515625" style="13" customWidth="1"/>
    <col min="6637" max="6637" width="14.140625" style="13" customWidth="1"/>
    <col min="6638" max="6638" width="10.28515625" style="13" customWidth="1"/>
    <col min="6639" max="6639" width="17.140625" style="13" customWidth="1"/>
    <col min="6640" max="6640" width="12" style="13" customWidth="1"/>
    <col min="6641" max="6641" width="14.140625" style="13" customWidth="1"/>
    <col min="6642" max="6642" width="10.28515625" style="13" customWidth="1"/>
    <col min="6643" max="6643" width="17.140625" style="13" customWidth="1"/>
    <col min="6644" max="6644" width="12" style="13" customWidth="1"/>
    <col min="6645" max="6645" width="10.7109375" style="13" customWidth="1"/>
    <col min="6646" max="6648" width="0" style="13" hidden="1" customWidth="1"/>
    <col min="6649" max="6876" width="9.140625" style="13"/>
    <col min="6877" max="6877" width="5.140625" style="13" customWidth="1"/>
    <col min="6878" max="6878" width="32.42578125" style="13" customWidth="1"/>
    <col min="6879" max="6881" width="10.28515625" style="13" customWidth="1"/>
    <col min="6882" max="6883" width="12.42578125" style="13" customWidth="1"/>
    <col min="6884" max="6884" width="11.28515625" style="13" customWidth="1"/>
    <col min="6885" max="6885" width="12.42578125" style="13" customWidth="1"/>
    <col min="6886" max="6886" width="11.28515625" style="13" customWidth="1"/>
    <col min="6887" max="6887" width="12.42578125" style="13" customWidth="1"/>
    <col min="6888" max="6888" width="11.28515625" style="13" customWidth="1"/>
    <col min="6889" max="6889" width="12.42578125" style="13" customWidth="1"/>
    <col min="6890" max="6890" width="11.28515625" style="13" customWidth="1"/>
    <col min="6891" max="6891" width="12.42578125" style="13" customWidth="1"/>
    <col min="6892" max="6892" width="11.28515625" style="13" customWidth="1"/>
    <col min="6893" max="6893" width="14.140625" style="13" customWidth="1"/>
    <col min="6894" max="6894" width="10.28515625" style="13" customWidth="1"/>
    <col min="6895" max="6895" width="17.140625" style="13" customWidth="1"/>
    <col min="6896" max="6896" width="12" style="13" customWidth="1"/>
    <col min="6897" max="6897" width="14.140625" style="13" customWidth="1"/>
    <col min="6898" max="6898" width="10.28515625" style="13" customWidth="1"/>
    <col min="6899" max="6899" width="17.140625" style="13" customWidth="1"/>
    <col min="6900" max="6900" width="12" style="13" customWidth="1"/>
    <col min="6901" max="6901" width="10.7109375" style="13" customWidth="1"/>
    <col min="6902" max="6904" width="0" style="13" hidden="1" customWidth="1"/>
    <col min="6905" max="7132" width="9.140625" style="13"/>
    <col min="7133" max="7133" width="5.140625" style="13" customWidth="1"/>
    <col min="7134" max="7134" width="32.42578125" style="13" customWidth="1"/>
    <col min="7135" max="7137" width="10.28515625" style="13" customWidth="1"/>
    <col min="7138" max="7139" width="12.42578125" style="13" customWidth="1"/>
    <col min="7140" max="7140" width="11.28515625" style="13" customWidth="1"/>
    <col min="7141" max="7141" width="12.42578125" style="13" customWidth="1"/>
    <col min="7142" max="7142" width="11.28515625" style="13" customWidth="1"/>
    <col min="7143" max="7143" width="12.42578125" style="13" customWidth="1"/>
    <col min="7144" max="7144" width="11.28515625" style="13" customWidth="1"/>
    <col min="7145" max="7145" width="12.42578125" style="13" customWidth="1"/>
    <col min="7146" max="7146" width="11.28515625" style="13" customWidth="1"/>
    <col min="7147" max="7147" width="12.42578125" style="13" customWidth="1"/>
    <col min="7148" max="7148" width="11.28515625" style="13" customWidth="1"/>
    <col min="7149" max="7149" width="14.140625" style="13" customWidth="1"/>
    <col min="7150" max="7150" width="10.28515625" style="13" customWidth="1"/>
    <col min="7151" max="7151" width="17.140625" style="13" customWidth="1"/>
    <col min="7152" max="7152" width="12" style="13" customWidth="1"/>
    <col min="7153" max="7153" width="14.140625" style="13" customWidth="1"/>
    <col min="7154" max="7154" width="10.28515625" style="13" customWidth="1"/>
    <col min="7155" max="7155" width="17.140625" style="13" customWidth="1"/>
    <col min="7156" max="7156" width="12" style="13" customWidth="1"/>
    <col min="7157" max="7157" width="10.7109375" style="13" customWidth="1"/>
    <col min="7158" max="7160" width="0" style="13" hidden="1" customWidth="1"/>
    <col min="7161" max="7388" width="9.140625" style="13"/>
    <col min="7389" max="7389" width="5.140625" style="13" customWidth="1"/>
    <col min="7390" max="7390" width="32.42578125" style="13" customWidth="1"/>
    <col min="7391" max="7393" width="10.28515625" style="13" customWidth="1"/>
    <col min="7394" max="7395" width="12.42578125" style="13" customWidth="1"/>
    <col min="7396" max="7396" width="11.28515625" style="13" customWidth="1"/>
    <col min="7397" max="7397" width="12.42578125" style="13" customWidth="1"/>
    <col min="7398" max="7398" width="11.28515625" style="13" customWidth="1"/>
    <col min="7399" max="7399" width="12.42578125" style="13" customWidth="1"/>
    <col min="7400" max="7400" width="11.28515625" style="13" customWidth="1"/>
    <col min="7401" max="7401" width="12.42578125" style="13" customWidth="1"/>
    <col min="7402" max="7402" width="11.28515625" style="13" customWidth="1"/>
    <col min="7403" max="7403" width="12.42578125" style="13" customWidth="1"/>
    <col min="7404" max="7404" width="11.28515625" style="13" customWidth="1"/>
    <col min="7405" max="7405" width="14.140625" style="13" customWidth="1"/>
    <col min="7406" max="7406" width="10.28515625" style="13" customWidth="1"/>
    <col min="7407" max="7407" width="17.140625" style="13" customWidth="1"/>
    <col min="7408" max="7408" width="12" style="13" customWidth="1"/>
    <col min="7409" max="7409" width="14.140625" style="13" customWidth="1"/>
    <col min="7410" max="7410" width="10.28515625" style="13" customWidth="1"/>
    <col min="7411" max="7411" width="17.140625" style="13" customWidth="1"/>
    <col min="7412" max="7412" width="12" style="13" customWidth="1"/>
    <col min="7413" max="7413" width="10.7109375" style="13" customWidth="1"/>
    <col min="7414" max="7416" width="0" style="13" hidden="1" customWidth="1"/>
    <col min="7417" max="7644" width="9.140625" style="13"/>
    <col min="7645" max="7645" width="5.140625" style="13" customWidth="1"/>
    <col min="7646" max="7646" width="32.42578125" style="13" customWidth="1"/>
    <col min="7647" max="7649" width="10.28515625" style="13" customWidth="1"/>
    <col min="7650" max="7651" width="12.42578125" style="13" customWidth="1"/>
    <col min="7652" max="7652" width="11.28515625" style="13" customWidth="1"/>
    <col min="7653" max="7653" width="12.42578125" style="13" customWidth="1"/>
    <col min="7654" max="7654" width="11.28515625" style="13" customWidth="1"/>
    <col min="7655" max="7655" width="12.42578125" style="13" customWidth="1"/>
    <col min="7656" max="7656" width="11.28515625" style="13" customWidth="1"/>
    <col min="7657" max="7657" width="12.42578125" style="13" customWidth="1"/>
    <col min="7658" max="7658" width="11.28515625" style="13" customWidth="1"/>
    <col min="7659" max="7659" width="12.42578125" style="13" customWidth="1"/>
    <col min="7660" max="7660" width="11.28515625" style="13" customWidth="1"/>
    <col min="7661" max="7661" width="14.140625" style="13" customWidth="1"/>
    <col min="7662" max="7662" width="10.28515625" style="13" customWidth="1"/>
    <col min="7663" max="7663" width="17.140625" style="13" customWidth="1"/>
    <col min="7664" max="7664" width="12" style="13" customWidth="1"/>
    <col min="7665" max="7665" width="14.140625" style="13" customWidth="1"/>
    <col min="7666" max="7666" width="10.28515625" style="13" customWidth="1"/>
    <col min="7667" max="7667" width="17.140625" style="13" customWidth="1"/>
    <col min="7668" max="7668" width="12" style="13" customWidth="1"/>
    <col min="7669" max="7669" width="10.7109375" style="13" customWidth="1"/>
    <col min="7670" max="7672" width="0" style="13" hidden="1" customWidth="1"/>
    <col min="7673" max="7900" width="9.140625" style="13"/>
    <col min="7901" max="7901" width="5.140625" style="13" customWidth="1"/>
    <col min="7902" max="7902" width="32.42578125" style="13" customWidth="1"/>
    <col min="7903" max="7905" width="10.28515625" style="13" customWidth="1"/>
    <col min="7906" max="7907" width="12.42578125" style="13" customWidth="1"/>
    <col min="7908" max="7908" width="11.28515625" style="13" customWidth="1"/>
    <col min="7909" max="7909" width="12.42578125" style="13" customWidth="1"/>
    <col min="7910" max="7910" width="11.28515625" style="13" customWidth="1"/>
    <col min="7911" max="7911" width="12.42578125" style="13" customWidth="1"/>
    <col min="7912" max="7912" width="11.28515625" style="13" customWidth="1"/>
    <col min="7913" max="7913" width="12.42578125" style="13" customWidth="1"/>
    <col min="7914" max="7914" width="11.28515625" style="13" customWidth="1"/>
    <col min="7915" max="7915" width="12.42578125" style="13" customWidth="1"/>
    <col min="7916" max="7916" width="11.28515625" style="13" customWidth="1"/>
    <col min="7917" max="7917" width="14.140625" style="13" customWidth="1"/>
    <col min="7918" max="7918" width="10.28515625" style="13" customWidth="1"/>
    <col min="7919" max="7919" width="17.140625" style="13" customWidth="1"/>
    <col min="7920" max="7920" width="12" style="13" customWidth="1"/>
    <col min="7921" max="7921" width="14.140625" style="13" customWidth="1"/>
    <col min="7922" max="7922" width="10.28515625" style="13" customWidth="1"/>
    <col min="7923" max="7923" width="17.140625" style="13" customWidth="1"/>
    <col min="7924" max="7924" width="12" style="13" customWidth="1"/>
    <col min="7925" max="7925" width="10.7109375" style="13" customWidth="1"/>
    <col min="7926" max="7928" width="0" style="13" hidden="1" customWidth="1"/>
    <col min="7929" max="8156" width="9.140625" style="13"/>
    <col min="8157" max="8157" width="5.140625" style="13" customWidth="1"/>
    <col min="8158" max="8158" width="32.42578125" style="13" customWidth="1"/>
    <col min="8159" max="8161" width="10.28515625" style="13" customWidth="1"/>
    <col min="8162" max="8163" width="12.42578125" style="13" customWidth="1"/>
    <col min="8164" max="8164" width="11.28515625" style="13" customWidth="1"/>
    <col min="8165" max="8165" width="12.42578125" style="13" customWidth="1"/>
    <col min="8166" max="8166" width="11.28515625" style="13" customWidth="1"/>
    <col min="8167" max="8167" width="12.42578125" style="13" customWidth="1"/>
    <col min="8168" max="8168" width="11.28515625" style="13" customWidth="1"/>
    <col min="8169" max="8169" width="12.42578125" style="13" customWidth="1"/>
    <col min="8170" max="8170" width="11.28515625" style="13" customWidth="1"/>
    <col min="8171" max="8171" width="12.42578125" style="13" customWidth="1"/>
    <col min="8172" max="8172" width="11.28515625" style="13" customWidth="1"/>
    <col min="8173" max="8173" width="14.140625" style="13" customWidth="1"/>
    <col min="8174" max="8174" width="10.28515625" style="13" customWidth="1"/>
    <col min="8175" max="8175" width="17.140625" style="13" customWidth="1"/>
    <col min="8176" max="8176" width="12" style="13" customWidth="1"/>
    <col min="8177" max="8177" width="14.140625" style="13" customWidth="1"/>
    <col min="8178" max="8178" width="10.28515625" style="13" customWidth="1"/>
    <col min="8179" max="8179" width="17.140625" style="13" customWidth="1"/>
    <col min="8180" max="8180" width="12" style="13" customWidth="1"/>
    <col min="8181" max="8181" width="10.7109375" style="13" customWidth="1"/>
    <col min="8182" max="8184" width="0" style="13" hidden="1" customWidth="1"/>
    <col min="8185" max="8412" width="9.140625" style="13"/>
    <col min="8413" max="8413" width="5.140625" style="13" customWidth="1"/>
    <col min="8414" max="8414" width="32.42578125" style="13" customWidth="1"/>
    <col min="8415" max="8417" width="10.28515625" style="13" customWidth="1"/>
    <col min="8418" max="8419" width="12.42578125" style="13" customWidth="1"/>
    <col min="8420" max="8420" width="11.28515625" style="13" customWidth="1"/>
    <col min="8421" max="8421" width="12.42578125" style="13" customWidth="1"/>
    <col min="8422" max="8422" width="11.28515625" style="13" customWidth="1"/>
    <col min="8423" max="8423" width="12.42578125" style="13" customWidth="1"/>
    <col min="8424" max="8424" width="11.28515625" style="13" customWidth="1"/>
    <col min="8425" max="8425" width="12.42578125" style="13" customWidth="1"/>
    <col min="8426" max="8426" width="11.28515625" style="13" customWidth="1"/>
    <col min="8427" max="8427" width="12.42578125" style="13" customWidth="1"/>
    <col min="8428" max="8428" width="11.28515625" style="13" customWidth="1"/>
    <col min="8429" max="8429" width="14.140625" style="13" customWidth="1"/>
    <col min="8430" max="8430" width="10.28515625" style="13" customWidth="1"/>
    <col min="8431" max="8431" width="17.140625" style="13" customWidth="1"/>
    <col min="8432" max="8432" width="12" style="13" customWidth="1"/>
    <col min="8433" max="8433" width="14.140625" style="13" customWidth="1"/>
    <col min="8434" max="8434" width="10.28515625" style="13" customWidth="1"/>
    <col min="8435" max="8435" width="17.140625" style="13" customWidth="1"/>
    <col min="8436" max="8436" width="12" style="13" customWidth="1"/>
    <col min="8437" max="8437" width="10.7109375" style="13" customWidth="1"/>
    <col min="8438" max="8440" width="0" style="13" hidden="1" customWidth="1"/>
    <col min="8441" max="8668" width="9.140625" style="13"/>
    <col min="8669" max="8669" width="5.140625" style="13" customWidth="1"/>
    <col min="8670" max="8670" width="32.42578125" style="13" customWidth="1"/>
    <col min="8671" max="8673" width="10.28515625" style="13" customWidth="1"/>
    <col min="8674" max="8675" width="12.42578125" style="13" customWidth="1"/>
    <col min="8676" max="8676" width="11.28515625" style="13" customWidth="1"/>
    <col min="8677" max="8677" width="12.42578125" style="13" customWidth="1"/>
    <col min="8678" max="8678" width="11.28515625" style="13" customWidth="1"/>
    <col min="8679" max="8679" width="12.42578125" style="13" customWidth="1"/>
    <col min="8680" max="8680" width="11.28515625" style="13" customWidth="1"/>
    <col min="8681" max="8681" width="12.42578125" style="13" customWidth="1"/>
    <col min="8682" max="8682" width="11.28515625" style="13" customWidth="1"/>
    <col min="8683" max="8683" width="12.42578125" style="13" customWidth="1"/>
    <col min="8684" max="8684" width="11.28515625" style="13" customWidth="1"/>
    <col min="8685" max="8685" width="14.140625" style="13" customWidth="1"/>
    <col min="8686" max="8686" width="10.28515625" style="13" customWidth="1"/>
    <col min="8687" max="8687" width="17.140625" style="13" customWidth="1"/>
    <col min="8688" max="8688" width="12" style="13" customWidth="1"/>
    <col min="8689" max="8689" width="14.140625" style="13" customWidth="1"/>
    <col min="8690" max="8690" width="10.28515625" style="13" customWidth="1"/>
    <col min="8691" max="8691" width="17.140625" style="13" customWidth="1"/>
    <col min="8692" max="8692" width="12" style="13" customWidth="1"/>
    <col min="8693" max="8693" width="10.7109375" style="13" customWidth="1"/>
    <col min="8694" max="8696" width="0" style="13" hidden="1" customWidth="1"/>
    <col min="8697" max="8924" width="9.140625" style="13"/>
    <col min="8925" max="8925" width="5.140625" style="13" customWidth="1"/>
    <col min="8926" max="8926" width="32.42578125" style="13" customWidth="1"/>
    <col min="8927" max="8929" width="10.28515625" style="13" customWidth="1"/>
    <col min="8930" max="8931" width="12.42578125" style="13" customWidth="1"/>
    <col min="8932" max="8932" width="11.28515625" style="13" customWidth="1"/>
    <col min="8933" max="8933" width="12.42578125" style="13" customWidth="1"/>
    <col min="8934" max="8934" width="11.28515625" style="13" customWidth="1"/>
    <col min="8935" max="8935" width="12.42578125" style="13" customWidth="1"/>
    <col min="8936" max="8936" width="11.28515625" style="13" customWidth="1"/>
    <col min="8937" max="8937" width="12.42578125" style="13" customWidth="1"/>
    <col min="8938" max="8938" width="11.28515625" style="13" customWidth="1"/>
    <col min="8939" max="8939" width="12.42578125" style="13" customWidth="1"/>
    <col min="8940" max="8940" width="11.28515625" style="13" customWidth="1"/>
    <col min="8941" max="8941" width="14.140625" style="13" customWidth="1"/>
    <col min="8942" max="8942" width="10.28515625" style="13" customWidth="1"/>
    <col min="8943" max="8943" width="17.140625" style="13" customWidth="1"/>
    <col min="8944" max="8944" width="12" style="13" customWidth="1"/>
    <col min="8945" max="8945" width="14.140625" style="13" customWidth="1"/>
    <col min="8946" max="8946" width="10.28515625" style="13" customWidth="1"/>
    <col min="8947" max="8947" width="17.140625" style="13" customWidth="1"/>
    <col min="8948" max="8948" width="12" style="13" customWidth="1"/>
    <col min="8949" max="8949" width="10.7109375" style="13" customWidth="1"/>
    <col min="8950" max="8952" width="0" style="13" hidden="1" customWidth="1"/>
    <col min="8953" max="9180" width="9.140625" style="13"/>
    <col min="9181" max="9181" width="5.140625" style="13" customWidth="1"/>
    <col min="9182" max="9182" width="32.42578125" style="13" customWidth="1"/>
    <col min="9183" max="9185" width="10.28515625" style="13" customWidth="1"/>
    <col min="9186" max="9187" width="12.42578125" style="13" customWidth="1"/>
    <col min="9188" max="9188" width="11.28515625" style="13" customWidth="1"/>
    <col min="9189" max="9189" width="12.42578125" style="13" customWidth="1"/>
    <col min="9190" max="9190" width="11.28515625" style="13" customWidth="1"/>
    <col min="9191" max="9191" width="12.42578125" style="13" customWidth="1"/>
    <col min="9192" max="9192" width="11.28515625" style="13" customWidth="1"/>
    <col min="9193" max="9193" width="12.42578125" style="13" customWidth="1"/>
    <col min="9194" max="9194" width="11.28515625" style="13" customWidth="1"/>
    <col min="9195" max="9195" width="12.42578125" style="13" customWidth="1"/>
    <col min="9196" max="9196" width="11.28515625" style="13" customWidth="1"/>
    <col min="9197" max="9197" width="14.140625" style="13" customWidth="1"/>
    <col min="9198" max="9198" width="10.28515625" style="13" customWidth="1"/>
    <col min="9199" max="9199" width="17.140625" style="13" customWidth="1"/>
    <col min="9200" max="9200" width="12" style="13" customWidth="1"/>
    <col min="9201" max="9201" width="14.140625" style="13" customWidth="1"/>
    <col min="9202" max="9202" width="10.28515625" style="13" customWidth="1"/>
    <col min="9203" max="9203" width="17.140625" style="13" customWidth="1"/>
    <col min="9204" max="9204" width="12" style="13" customWidth="1"/>
    <col min="9205" max="9205" width="10.7109375" style="13" customWidth="1"/>
    <col min="9206" max="9208" width="0" style="13" hidden="1" customWidth="1"/>
    <col min="9209" max="9436" width="9.140625" style="13"/>
    <col min="9437" max="9437" width="5.140625" style="13" customWidth="1"/>
    <col min="9438" max="9438" width="32.42578125" style="13" customWidth="1"/>
    <col min="9439" max="9441" width="10.28515625" style="13" customWidth="1"/>
    <col min="9442" max="9443" width="12.42578125" style="13" customWidth="1"/>
    <col min="9444" max="9444" width="11.28515625" style="13" customWidth="1"/>
    <col min="9445" max="9445" width="12.42578125" style="13" customWidth="1"/>
    <col min="9446" max="9446" width="11.28515625" style="13" customWidth="1"/>
    <col min="9447" max="9447" width="12.42578125" style="13" customWidth="1"/>
    <col min="9448" max="9448" width="11.28515625" style="13" customWidth="1"/>
    <col min="9449" max="9449" width="12.42578125" style="13" customWidth="1"/>
    <col min="9450" max="9450" width="11.28515625" style="13" customWidth="1"/>
    <col min="9451" max="9451" width="12.42578125" style="13" customWidth="1"/>
    <col min="9452" max="9452" width="11.28515625" style="13" customWidth="1"/>
    <col min="9453" max="9453" width="14.140625" style="13" customWidth="1"/>
    <col min="9454" max="9454" width="10.28515625" style="13" customWidth="1"/>
    <col min="9455" max="9455" width="17.140625" style="13" customWidth="1"/>
    <col min="9456" max="9456" width="12" style="13" customWidth="1"/>
    <col min="9457" max="9457" width="14.140625" style="13" customWidth="1"/>
    <col min="9458" max="9458" width="10.28515625" style="13" customWidth="1"/>
    <col min="9459" max="9459" width="17.140625" style="13" customWidth="1"/>
    <col min="9460" max="9460" width="12" style="13" customWidth="1"/>
    <col min="9461" max="9461" width="10.7109375" style="13" customWidth="1"/>
    <col min="9462" max="9464" width="0" style="13" hidden="1" customWidth="1"/>
    <col min="9465" max="9692" width="9.140625" style="13"/>
    <col min="9693" max="9693" width="5.140625" style="13" customWidth="1"/>
    <col min="9694" max="9694" width="32.42578125" style="13" customWidth="1"/>
    <col min="9695" max="9697" width="10.28515625" style="13" customWidth="1"/>
    <col min="9698" max="9699" width="12.42578125" style="13" customWidth="1"/>
    <col min="9700" max="9700" width="11.28515625" style="13" customWidth="1"/>
    <col min="9701" max="9701" width="12.42578125" style="13" customWidth="1"/>
    <col min="9702" max="9702" width="11.28515625" style="13" customWidth="1"/>
    <col min="9703" max="9703" width="12.42578125" style="13" customWidth="1"/>
    <col min="9704" max="9704" width="11.28515625" style="13" customWidth="1"/>
    <col min="9705" max="9705" width="12.42578125" style="13" customWidth="1"/>
    <col min="9706" max="9706" width="11.28515625" style="13" customWidth="1"/>
    <col min="9707" max="9707" width="12.42578125" style="13" customWidth="1"/>
    <col min="9708" max="9708" width="11.28515625" style="13" customWidth="1"/>
    <col min="9709" max="9709" width="14.140625" style="13" customWidth="1"/>
    <col min="9710" max="9710" width="10.28515625" style="13" customWidth="1"/>
    <col min="9711" max="9711" width="17.140625" style="13" customWidth="1"/>
    <col min="9712" max="9712" width="12" style="13" customWidth="1"/>
    <col min="9713" max="9713" width="14.140625" style="13" customWidth="1"/>
    <col min="9714" max="9714" width="10.28515625" style="13" customWidth="1"/>
    <col min="9715" max="9715" width="17.140625" style="13" customWidth="1"/>
    <col min="9716" max="9716" width="12" style="13" customWidth="1"/>
    <col min="9717" max="9717" width="10.7109375" style="13" customWidth="1"/>
    <col min="9718" max="9720" width="0" style="13" hidden="1" customWidth="1"/>
    <col min="9721" max="9948" width="9.140625" style="13"/>
    <col min="9949" max="9949" width="5.140625" style="13" customWidth="1"/>
    <col min="9950" max="9950" width="32.42578125" style="13" customWidth="1"/>
    <col min="9951" max="9953" width="10.28515625" style="13" customWidth="1"/>
    <col min="9954" max="9955" width="12.42578125" style="13" customWidth="1"/>
    <col min="9956" max="9956" width="11.28515625" style="13" customWidth="1"/>
    <col min="9957" max="9957" width="12.42578125" style="13" customWidth="1"/>
    <col min="9958" max="9958" width="11.28515625" style="13" customWidth="1"/>
    <col min="9959" max="9959" width="12.42578125" style="13" customWidth="1"/>
    <col min="9960" max="9960" width="11.28515625" style="13" customWidth="1"/>
    <col min="9961" max="9961" width="12.42578125" style="13" customWidth="1"/>
    <col min="9962" max="9962" width="11.28515625" style="13" customWidth="1"/>
    <col min="9963" max="9963" width="12.42578125" style="13" customWidth="1"/>
    <col min="9964" max="9964" width="11.28515625" style="13" customWidth="1"/>
    <col min="9965" max="9965" width="14.140625" style="13" customWidth="1"/>
    <col min="9966" max="9966" width="10.28515625" style="13" customWidth="1"/>
    <col min="9967" max="9967" width="17.140625" style="13" customWidth="1"/>
    <col min="9968" max="9968" width="12" style="13" customWidth="1"/>
    <col min="9969" max="9969" width="14.140625" style="13" customWidth="1"/>
    <col min="9970" max="9970" width="10.28515625" style="13" customWidth="1"/>
    <col min="9971" max="9971" width="17.140625" style="13" customWidth="1"/>
    <col min="9972" max="9972" width="12" style="13" customWidth="1"/>
    <col min="9973" max="9973" width="10.7109375" style="13" customWidth="1"/>
    <col min="9974" max="9976" width="0" style="13" hidden="1" customWidth="1"/>
    <col min="9977" max="10204" width="9.140625" style="13"/>
    <col min="10205" max="10205" width="5.140625" style="13" customWidth="1"/>
    <col min="10206" max="10206" width="32.42578125" style="13" customWidth="1"/>
    <col min="10207" max="10209" width="10.28515625" style="13" customWidth="1"/>
    <col min="10210" max="10211" width="12.42578125" style="13" customWidth="1"/>
    <col min="10212" max="10212" width="11.28515625" style="13" customWidth="1"/>
    <col min="10213" max="10213" width="12.42578125" style="13" customWidth="1"/>
    <col min="10214" max="10214" width="11.28515625" style="13" customWidth="1"/>
    <col min="10215" max="10215" width="12.42578125" style="13" customWidth="1"/>
    <col min="10216" max="10216" width="11.28515625" style="13" customWidth="1"/>
    <col min="10217" max="10217" width="12.42578125" style="13" customWidth="1"/>
    <col min="10218" max="10218" width="11.28515625" style="13" customWidth="1"/>
    <col min="10219" max="10219" width="12.42578125" style="13" customWidth="1"/>
    <col min="10220" max="10220" width="11.28515625" style="13" customWidth="1"/>
    <col min="10221" max="10221" width="14.140625" style="13" customWidth="1"/>
    <col min="10222" max="10222" width="10.28515625" style="13" customWidth="1"/>
    <col min="10223" max="10223" width="17.140625" style="13" customWidth="1"/>
    <col min="10224" max="10224" width="12" style="13" customWidth="1"/>
    <col min="10225" max="10225" width="14.140625" style="13" customWidth="1"/>
    <col min="10226" max="10226" width="10.28515625" style="13" customWidth="1"/>
    <col min="10227" max="10227" width="17.140625" style="13" customWidth="1"/>
    <col min="10228" max="10228" width="12" style="13" customWidth="1"/>
    <col min="10229" max="10229" width="10.7109375" style="13" customWidth="1"/>
    <col min="10230" max="10232" width="0" style="13" hidden="1" customWidth="1"/>
    <col min="10233" max="10460" width="9.140625" style="13"/>
    <col min="10461" max="10461" width="5.140625" style="13" customWidth="1"/>
    <col min="10462" max="10462" width="32.42578125" style="13" customWidth="1"/>
    <col min="10463" max="10465" width="10.28515625" style="13" customWidth="1"/>
    <col min="10466" max="10467" width="12.42578125" style="13" customWidth="1"/>
    <col min="10468" max="10468" width="11.28515625" style="13" customWidth="1"/>
    <col min="10469" max="10469" width="12.42578125" style="13" customWidth="1"/>
    <col min="10470" max="10470" width="11.28515625" style="13" customWidth="1"/>
    <col min="10471" max="10471" width="12.42578125" style="13" customWidth="1"/>
    <col min="10472" max="10472" width="11.28515625" style="13" customWidth="1"/>
    <col min="10473" max="10473" width="12.42578125" style="13" customWidth="1"/>
    <col min="10474" max="10474" width="11.28515625" style="13" customWidth="1"/>
    <col min="10475" max="10475" width="12.42578125" style="13" customWidth="1"/>
    <col min="10476" max="10476" width="11.28515625" style="13" customWidth="1"/>
    <col min="10477" max="10477" width="14.140625" style="13" customWidth="1"/>
    <col min="10478" max="10478" width="10.28515625" style="13" customWidth="1"/>
    <col min="10479" max="10479" width="17.140625" style="13" customWidth="1"/>
    <col min="10480" max="10480" width="12" style="13" customWidth="1"/>
    <col min="10481" max="10481" width="14.140625" style="13" customWidth="1"/>
    <col min="10482" max="10482" width="10.28515625" style="13" customWidth="1"/>
    <col min="10483" max="10483" width="17.140625" style="13" customWidth="1"/>
    <col min="10484" max="10484" width="12" style="13" customWidth="1"/>
    <col min="10485" max="10485" width="10.7109375" style="13" customWidth="1"/>
    <col min="10486" max="10488" width="0" style="13" hidden="1" customWidth="1"/>
    <col min="10489" max="10716" width="9.140625" style="13"/>
    <col min="10717" max="10717" width="5.140625" style="13" customWidth="1"/>
    <col min="10718" max="10718" width="32.42578125" style="13" customWidth="1"/>
    <col min="10719" max="10721" width="10.28515625" style="13" customWidth="1"/>
    <col min="10722" max="10723" width="12.42578125" style="13" customWidth="1"/>
    <col min="10724" max="10724" width="11.28515625" style="13" customWidth="1"/>
    <col min="10725" max="10725" width="12.42578125" style="13" customWidth="1"/>
    <col min="10726" max="10726" width="11.28515625" style="13" customWidth="1"/>
    <col min="10727" max="10727" width="12.42578125" style="13" customWidth="1"/>
    <col min="10728" max="10728" width="11.28515625" style="13" customWidth="1"/>
    <col min="10729" max="10729" width="12.42578125" style="13" customWidth="1"/>
    <col min="10730" max="10730" width="11.28515625" style="13" customWidth="1"/>
    <col min="10731" max="10731" width="12.42578125" style="13" customWidth="1"/>
    <col min="10732" max="10732" width="11.28515625" style="13" customWidth="1"/>
    <col min="10733" max="10733" width="14.140625" style="13" customWidth="1"/>
    <col min="10734" max="10734" width="10.28515625" style="13" customWidth="1"/>
    <col min="10735" max="10735" width="17.140625" style="13" customWidth="1"/>
    <col min="10736" max="10736" width="12" style="13" customWidth="1"/>
    <col min="10737" max="10737" width="14.140625" style="13" customWidth="1"/>
    <col min="10738" max="10738" width="10.28515625" style="13" customWidth="1"/>
    <col min="10739" max="10739" width="17.140625" style="13" customWidth="1"/>
    <col min="10740" max="10740" width="12" style="13" customWidth="1"/>
    <col min="10741" max="10741" width="10.7109375" style="13" customWidth="1"/>
    <col min="10742" max="10744" width="0" style="13" hidden="1" customWidth="1"/>
    <col min="10745" max="10972" width="9.140625" style="13"/>
    <col min="10973" max="10973" width="5.140625" style="13" customWidth="1"/>
    <col min="10974" max="10974" width="32.42578125" style="13" customWidth="1"/>
    <col min="10975" max="10977" width="10.28515625" style="13" customWidth="1"/>
    <col min="10978" max="10979" width="12.42578125" style="13" customWidth="1"/>
    <col min="10980" max="10980" width="11.28515625" style="13" customWidth="1"/>
    <col min="10981" max="10981" width="12.42578125" style="13" customWidth="1"/>
    <col min="10982" max="10982" width="11.28515625" style="13" customWidth="1"/>
    <col min="10983" max="10983" width="12.42578125" style="13" customWidth="1"/>
    <col min="10984" max="10984" width="11.28515625" style="13" customWidth="1"/>
    <col min="10985" max="10985" width="12.42578125" style="13" customWidth="1"/>
    <col min="10986" max="10986" width="11.28515625" style="13" customWidth="1"/>
    <col min="10987" max="10987" width="12.42578125" style="13" customWidth="1"/>
    <col min="10988" max="10988" width="11.28515625" style="13" customWidth="1"/>
    <col min="10989" max="10989" width="14.140625" style="13" customWidth="1"/>
    <col min="10990" max="10990" width="10.28515625" style="13" customWidth="1"/>
    <col min="10991" max="10991" width="17.140625" style="13" customWidth="1"/>
    <col min="10992" max="10992" width="12" style="13" customWidth="1"/>
    <col min="10993" max="10993" width="14.140625" style="13" customWidth="1"/>
    <col min="10994" max="10994" width="10.28515625" style="13" customWidth="1"/>
    <col min="10995" max="10995" width="17.140625" style="13" customWidth="1"/>
    <col min="10996" max="10996" width="12" style="13" customWidth="1"/>
    <col min="10997" max="10997" width="10.7109375" style="13" customWidth="1"/>
    <col min="10998" max="11000" width="0" style="13" hidden="1" customWidth="1"/>
    <col min="11001" max="11228" width="9.140625" style="13"/>
    <col min="11229" max="11229" width="5.140625" style="13" customWidth="1"/>
    <col min="11230" max="11230" width="32.42578125" style="13" customWidth="1"/>
    <col min="11231" max="11233" width="10.28515625" style="13" customWidth="1"/>
    <col min="11234" max="11235" width="12.42578125" style="13" customWidth="1"/>
    <col min="11236" max="11236" width="11.28515625" style="13" customWidth="1"/>
    <col min="11237" max="11237" width="12.42578125" style="13" customWidth="1"/>
    <col min="11238" max="11238" width="11.28515625" style="13" customWidth="1"/>
    <col min="11239" max="11239" width="12.42578125" style="13" customWidth="1"/>
    <col min="11240" max="11240" width="11.28515625" style="13" customWidth="1"/>
    <col min="11241" max="11241" width="12.42578125" style="13" customWidth="1"/>
    <col min="11242" max="11242" width="11.28515625" style="13" customWidth="1"/>
    <col min="11243" max="11243" width="12.42578125" style="13" customWidth="1"/>
    <col min="11244" max="11244" width="11.28515625" style="13" customWidth="1"/>
    <col min="11245" max="11245" width="14.140625" style="13" customWidth="1"/>
    <col min="11246" max="11246" width="10.28515625" style="13" customWidth="1"/>
    <col min="11247" max="11247" width="17.140625" style="13" customWidth="1"/>
    <col min="11248" max="11248" width="12" style="13" customWidth="1"/>
    <col min="11249" max="11249" width="14.140625" style="13" customWidth="1"/>
    <col min="11250" max="11250" width="10.28515625" style="13" customWidth="1"/>
    <col min="11251" max="11251" width="17.140625" style="13" customWidth="1"/>
    <col min="11252" max="11252" width="12" style="13" customWidth="1"/>
    <col min="11253" max="11253" width="10.7109375" style="13" customWidth="1"/>
    <col min="11254" max="11256" width="0" style="13" hidden="1" customWidth="1"/>
    <col min="11257" max="11484" width="9.140625" style="13"/>
    <col min="11485" max="11485" width="5.140625" style="13" customWidth="1"/>
    <col min="11486" max="11486" width="32.42578125" style="13" customWidth="1"/>
    <col min="11487" max="11489" width="10.28515625" style="13" customWidth="1"/>
    <col min="11490" max="11491" width="12.42578125" style="13" customWidth="1"/>
    <col min="11492" max="11492" width="11.28515625" style="13" customWidth="1"/>
    <col min="11493" max="11493" width="12.42578125" style="13" customWidth="1"/>
    <col min="11494" max="11494" width="11.28515625" style="13" customWidth="1"/>
    <col min="11495" max="11495" width="12.42578125" style="13" customWidth="1"/>
    <col min="11496" max="11496" width="11.28515625" style="13" customWidth="1"/>
    <col min="11497" max="11497" width="12.42578125" style="13" customWidth="1"/>
    <col min="11498" max="11498" width="11.28515625" style="13" customWidth="1"/>
    <col min="11499" max="11499" width="12.42578125" style="13" customWidth="1"/>
    <col min="11500" max="11500" width="11.28515625" style="13" customWidth="1"/>
    <col min="11501" max="11501" width="14.140625" style="13" customWidth="1"/>
    <col min="11502" max="11502" width="10.28515625" style="13" customWidth="1"/>
    <col min="11503" max="11503" width="17.140625" style="13" customWidth="1"/>
    <col min="11504" max="11504" width="12" style="13" customWidth="1"/>
    <col min="11505" max="11505" width="14.140625" style="13" customWidth="1"/>
    <col min="11506" max="11506" width="10.28515625" style="13" customWidth="1"/>
    <col min="11507" max="11507" width="17.140625" style="13" customWidth="1"/>
    <col min="11508" max="11508" width="12" style="13" customWidth="1"/>
    <col min="11509" max="11509" width="10.7109375" style="13" customWidth="1"/>
    <col min="11510" max="11512" width="0" style="13" hidden="1" customWidth="1"/>
    <col min="11513" max="11740" width="9.140625" style="13"/>
    <col min="11741" max="11741" width="5.140625" style="13" customWidth="1"/>
    <col min="11742" max="11742" width="32.42578125" style="13" customWidth="1"/>
    <col min="11743" max="11745" width="10.28515625" style="13" customWidth="1"/>
    <col min="11746" max="11747" width="12.42578125" style="13" customWidth="1"/>
    <col min="11748" max="11748" width="11.28515625" style="13" customWidth="1"/>
    <col min="11749" max="11749" width="12.42578125" style="13" customWidth="1"/>
    <col min="11750" max="11750" width="11.28515625" style="13" customWidth="1"/>
    <col min="11751" max="11751" width="12.42578125" style="13" customWidth="1"/>
    <col min="11752" max="11752" width="11.28515625" style="13" customWidth="1"/>
    <col min="11753" max="11753" width="12.42578125" style="13" customWidth="1"/>
    <col min="11754" max="11754" width="11.28515625" style="13" customWidth="1"/>
    <col min="11755" max="11755" width="12.42578125" style="13" customWidth="1"/>
    <col min="11756" max="11756" width="11.28515625" style="13" customWidth="1"/>
    <col min="11757" max="11757" width="14.140625" style="13" customWidth="1"/>
    <col min="11758" max="11758" width="10.28515625" style="13" customWidth="1"/>
    <col min="11759" max="11759" width="17.140625" style="13" customWidth="1"/>
    <col min="11760" max="11760" width="12" style="13" customWidth="1"/>
    <col min="11761" max="11761" width="14.140625" style="13" customWidth="1"/>
    <col min="11762" max="11762" width="10.28515625" style="13" customWidth="1"/>
    <col min="11763" max="11763" width="17.140625" style="13" customWidth="1"/>
    <col min="11764" max="11764" width="12" style="13" customWidth="1"/>
    <col min="11765" max="11765" width="10.7109375" style="13" customWidth="1"/>
    <col min="11766" max="11768" width="0" style="13" hidden="1" customWidth="1"/>
    <col min="11769" max="11996" width="9.140625" style="13"/>
    <col min="11997" max="11997" width="5.140625" style="13" customWidth="1"/>
    <col min="11998" max="11998" width="32.42578125" style="13" customWidth="1"/>
    <col min="11999" max="12001" width="10.28515625" style="13" customWidth="1"/>
    <col min="12002" max="12003" width="12.42578125" style="13" customWidth="1"/>
    <col min="12004" max="12004" width="11.28515625" style="13" customWidth="1"/>
    <col min="12005" max="12005" width="12.42578125" style="13" customWidth="1"/>
    <col min="12006" max="12006" width="11.28515625" style="13" customWidth="1"/>
    <col min="12007" max="12007" width="12.42578125" style="13" customWidth="1"/>
    <col min="12008" max="12008" width="11.28515625" style="13" customWidth="1"/>
    <col min="12009" max="12009" width="12.42578125" style="13" customWidth="1"/>
    <col min="12010" max="12010" width="11.28515625" style="13" customWidth="1"/>
    <col min="12011" max="12011" width="12.42578125" style="13" customWidth="1"/>
    <col min="12012" max="12012" width="11.28515625" style="13" customWidth="1"/>
    <col min="12013" max="12013" width="14.140625" style="13" customWidth="1"/>
    <col min="12014" max="12014" width="10.28515625" style="13" customWidth="1"/>
    <col min="12015" max="12015" width="17.140625" style="13" customWidth="1"/>
    <col min="12016" max="12016" width="12" style="13" customWidth="1"/>
    <col min="12017" max="12017" width="14.140625" style="13" customWidth="1"/>
    <col min="12018" max="12018" width="10.28515625" style="13" customWidth="1"/>
    <col min="12019" max="12019" width="17.140625" style="13" customWidth="1"/>
    <col min="12020" max="12020" width="12" style="13" customWidth="1"/>
    <col min="12021" max="12021" width="10.7109375" style="13" customWidth="1"/>
    <col min="12022" max="12024" width="0" style="13" hidden="1" customWidth="1"/>
    <col min="12025" max="12252" width="9.140625" style="13"/>
    <col min="12253" max="12253" width="5.140625" style="13" customWidth="1"/>
    <col min="12254" max="12254" width="32.42578125" style="13" customWidth="1"/>
    <col min="12255" max="12257" width="10.28515625" style="13" customWidth="1"/>
    <col min="12258" max="12259" width="12.42578125" style="13" customWidth="1"/>
    <col min="12260" max="12260" width="11.28515625" style="13" customWidth="1"/>
    <col min="12261" max="12261" width="12.42578125" style="13" customWidth="1"/>
    <col min="12262" max="12262" width="11.28515625" style="13" customWidth="1"/>
    <col min="12263" max="12263" width="12.42578125" style="13" customWidth="1"/>
    <col min="12264" max="12264" width="11.28515625" style="13" customWidth="1"/>
    <col min="12265" max="12265" width="12.42578125" style="13" customWidth="1"/>
    <col min="12266" max="12266" width="11.28515625" style="13" customWidth="1"/>
    <col min="12267" max="12267" width="12.42578125" style="13" customWidth="1"/>
    <col min="12268" max="12268" width="11.28515625" style="13" customWidth="1"/>
    <col min="12269" max="12269" width="14.140625" style="13" customWidth="1"/>
    <col min="12270" max="12270" width="10.28515625" style="13" customWidth="1"/>
    <col min="12271" max="12271" width="17.140625" style="13" customWidth="1"/>
    <col min="12272" max="12272" width="12" style="13" customWidth="1"/>
    <col min="12273" max="12273" width="14.140625" style="13" customWidth="1"/>
    <col min="12274" max="12274" width="10.28515625" style="13" customWidth="1"/>
    <col min="12275" max="12275" width="17.140625" style="13" customWidth="1"/>
    <col min="12276" max="12276" width="12" style="13" customWidth="1"/>
    <col min="12277" max="12277" width="10.7109375" style="13" customWidth="1"/>
    <col min="12278" max="12280" width="0" style="13" hidden="1" customWidth="1"/>
    <col min="12281" max="12508" width="9.140625" style="13"/>
    <col min="12509" max="12509" width="5.140625" style="13" customWidth="1"/>
    <col min="12510" max="12510" width="32.42578125" style="13" customWidth="1"/>
    <col min="12511" max="12513" width="10.28515625" style="13" customWidth="1"/>
    <col min="12514" max="12515" width="12.42578125" style="13" customWidth="1"/>
    <col min="12516" max="12516" width="11.28515625" style="13" customWidth="1"/>
    <col min="12517" max="12517" width="12.42578125" style="13" customWidth="1"/>
    <col min="12518" max="12518" width="11.28515625" style="13" customWidth="1"/>
    <col min="12519" max="12519" width="12.42578125" style="13" customWidth="1"/>
    <col min="12520" max="12520" width="11.28515625" style="13" customWidth="1"/>
    <col min="12521" max="12521" width="12.42578125" style="13" customWidth="1"/>
    <col min="12522" max="12522" width="11.28515625" style="13" customWidth="1"/>
    <col min="12523" max="12523" width="12.42578125" style="13" customWidth="1"/>
    <col min="12524" max="12524" width="11.28515625" style="13" customWidth="1"/>
    <col min="12525" max="12525" width="14.140625" style="13" customWidth="1"/>
    <col min="12526" max="12526" width="10.28515625" style="13" customWidth="1"/>
    <col min="12527" max="12527" width="17.140625" style="13" customWidth="1"/>
    <col min="12528" max="12528" width="12" style="13" customWidth="1"/>
    <col min="12529" max="12529" width="14.140625" style="13" customWidth="1"/>
    <col min="12530" max="12530" width="10.28515625" style="13" customWidth="1"/>
    <col min="12531" max="12531" width="17.140625" style="13" customWidth="1"/>
    <col min="12532" max="12532" width="12" style="13" customWidth="1"/>
    <col min="12533" max="12533" width="10.7109375" style="13" customWidth="1"/>
    <col min="12534" max="12536" width="0" style="13" hidden="1" customWidth="1"/>
    <col min="12537" max="12764" width="9.140625" style="13"/>
    <col min="12765" max="12765" width="5.140625" style="13" customWidth="1"/>
    <col min="12766" max="12766" width="32.42578125" style="13" customWidth="1"/>
    <col min="12767" max="12769" width="10.28515625" style="13" customWidth="1"/>
    <col min="12770" max="12771" width="12.42578125" style="13" customWidth="1"/>
    <col min="12772" max="12772" width="11.28515625" style="13" customWidth="1"/>
    <col min="12773" max="12773" width="12.42578125" style="13" customWidth="1"/>
    <col min="12774" max="12774" width="11.28515625" style="13" customWidth="1"/>
    <col min="12775" max="12775" width="12.42578125" style="13" customWidth="1"/>
    <col min="12776" max="12776" width="11.28515625" style="13" customWidth="1"/>
    <col min="12777" max="12777" width="12.42578125" style="13" customWidth="1"/>
    <col min="12778" max="12778" width="11.28515625" style="13" customWidth="1"/>
    <col min="12779" max="12779" width="12.42578125" style="13" customWidth="1"/>
    <col min="12780" max="12780" width="11.28515625" style="13" customWidth="1"/>
    <col min="12781" max="12781" width="14.140625" style="13" customWidth="1"/>
    <col min="12782" max="12782" width="10.28515625" style="13" customWidth="1"/>
    <col min="12783" max="12783" width="17.140625" style="13" customWidth="1"/>
    <col min="12784" max="12784" width="12" style="13" customWidth="1"/>
    <col min="12785" max="12785" width="14.140625" style="13" customWidth="1"/>
    <col min="12786" max="12786" width="10.28515625" style="13" customWidth="1"/>
    <col min="12787" max="12787" width="17.140625" style="13" customWidth="1"/>
    <col min="12788" max="12788" width="12" style="13" customWidth="1"/>
    <col min="12789" max="12789" width="10.7109375" style="13" customWidth="1"/>
    <col min="12790" max="12792" width="0" style="13" hidden="1" customWidth="1"/>
    <col min="12793" max="13020" width="9.140625" style="13"/>
    <col min="13021" max="13021" width="5.140625" style="13" customWidth="1"/>
    <col min="13022" max="13022" width="32.42578125" style="13" customWidth="1"/>
    <col min="13023" max="13025" width="10.28515625" style="13" customWidth="1"/>
    <col min="13026" max="13027" width="12.42578125" style="13" customWidth="1"/>
    <col min="13028" max="13028" width="11.28515625" style="13" customWidth="1"/>
    <col min="13029" max="13029" width="12.42578125" style="13" customWidth="1"/>
    <col min="13030" max="13030" width="11.28515625" style="13" customWidth="1"/>
    <col min="13031" max="13031" width="12.42578125" style="13" customWidth="1"/>
    <col min="13032" max="13032" width="11.28515625" style="13" customWidth="1"/>
    <col min="13033" max="13033" width="12.42578125" style="13" customWidth="1"/>
    <col min="13034" max="13034" width="11.28515625" style="13" customWidth="1"/>
    <col min="13035" max="13035" width="12.42578125" style="13" customWidth="1"/>
    <col min="13036" max="13036" width="11.28515625" style="13" customWidth="1"/>
    <col min="13037" max="13037" width="14.140625" style="13" customWidth="1"/>
    <col min="13038" max="13038" width="10.28515625" style="13" customWidth="1"/>
    <col min="13039" max="13039" width="17.140625" style="13" customWidth="1"/>
    <col min="13040" max="13040" width="12" style="13" customWidth="1"/>
    <col min="13041" max="13041" width="14.140625" style="13" customWidth="1"/>
    <col min="13042" max="13042" width="10.28515625" style="13" customWidth="1"/>
    <col min="13043" max="13043" width="17.140625" style="13" customWidth="1"/>
    <col min="13044" max="13044" width="12" style="13" customWidth="1"/>
    <col min="13045" max="13045" width="10.7109375" style="13" customWidth="1"/>
    <col min="13046" max="13048" width="0" style="13" hidden="1" customWidth="1"/>
    <col min="13049" max="13276" width="9.140625" style="13"/>
    <col min="13277" max="13277" width="5.140625" style="13" customWidth="1"/>
    <col min="13278" max="13278" width="32.42578125" style="13" customWidth="1"/>
    <col min="13279" max="13281" width="10.28515625" style="13" customWidth="1"/>
    <col min="13282" max="13283" width="12.42578125" style="13" customWidth="1"/>
    <col min="13284" max="13284" width="11.28515625" style="13" customWidth="1"/>
    <col min="13285" max="13285" width="12.42578125" style="13" customWidth="1"/>
    <col min="13286" max="13286" width="11.28515625" style="13" customWidth="1"/>
    <col min="13287" max="13287" width="12.42578125" style="13" customWidth="1"/>
    <col min="13288" max="13288" width="11.28515625" style="13" customWidth="1"/>
    <col min="13289" max="13289" width="12.42578125" style="13" customWidth="1"/>
    <col min="13290" max="13290" width="11.28515625" style="13" customWidth="1"/>
    <col min="13291" max="13291" width="12.42578125" style="13" customWidth="1"/>
    <col min="13292" max="13292" width="11.28515625" style="13" customWidth="1"/>
    <col min="13293" max="13293" width="14.140625" style="13" customWidth="1"/>
    <col min="13294" max="13294" width="10.28515625" style="13" customWidth="1"/>
    <col min="13295" max="13295" width="17.140625" style="13" customWidth="1"/>
    <col min="13296" max="13296" width="12" style="13" customWidth="1"/>
    <col min="13297" max="13297" width="14.140625" style="13" customWidth="1"/>
    <col min="13298" max="13298" width="10.28515625" style="13" customWidth="1"/>
    <col min="13299" max="13299" width="17.140625" style="13" customWidth="1"/>
    <col min="13300" max="13300" width="12" style="13" customWidth="1"/>
    <col min="13301" max="13301" width="10.7109375" style="13" customWidth="1"/>
    <col min="13302" max="13304" width="0" style="13" hidden="1" customWidth="1"/>
    <col min="13305" max="13532" width="9.140625" style="13"/>
    <col min="13533" max="13533" width="5.140625" style="13" customWidth="1"/>
    <col min="13534" max="13534" width="32.42578125" style="13" customWidth="1"/>
    <col min="13535" max="13537" width="10.28515625" style="13" customWidth="1"/>
    <col min="13538" max="13539" width="12.42578125" style="13" customWidth="1"/>
    <col min="13540" max="13540" width="11.28515625" style="13" customWidth="1"/>
    <col min="13541" max="13541" width="12.42578125" style="13" customWidth="1"/>
    <col min="13542" max="13542" width="11.28515625" style="13" customWidth="1"/>
    <col min="13543" max="13543" width="12.42578125" style="13" customWidth="1"/>
    <col min="13544" max="13544" width="11.28515625" style="13" customWidth="1"/>
    <col min="13545" max="13545" width="12.42578125" style="13" customWidth="1"/>
    <col min="13546" max="13546" width="11.28515625" style="13" customWidth="1"/>
    <col min="13547" max="13547" width="12.42578125" style="13" customWidth="1"/>
    <col min="13548" max="13548" width="11.28515625" style="13" customWidth="1"/>
    <col min="13549" max="13549" width="14.140625" style="13" customWidth="1"/>
    <col min="13550" max="13550" width="10.28515625" style="13" customWidth="1"/>
    <col min="13551" max="13551" width="17.140625" style="13" customWidth="1"/>
    <col min="13552" max="13552" width="12" style="13" customWidth="1"/>
    <col min="13553" max="13553" width="14.140625" style="13" customWidth="1"/>
    <col min="13554" max="13554" width="10.28515625" style="13" customWidth="1"/>
    <col min="13555" max="13555" width="17.140625" style="13" customWidth="1"/>
    <col min="13556" max="13556" width="12" style="13" customWidth="1"/>
    <col min="13557" max="13557" width="10.7109375" style="13" customWidth="1"/>
    <col min="13558" max="13560" width="0" style="13" hidden="1" customWidth="1"/>
    <col min="13561" max="13788" width="9.140625" style="13"/>
    <col min="13789" max="13789" width="5.140625" style="13" customWidth="1"/>
    <col min="13790" max="13790" width="32.42578125" style="13" customWidth="1"/>
    <col min="13791" max="13793" width="10.28515625" style="13" customWidth="1"/>
    <col min="13794" max="13795" width="12.42578125" style="13" customWidth="1"/>
    <col min="13796" max="13796" width="11.28515625" style="13" customWidth="1"/>
    <col min="13797" max="13797" width="12.42578125" style="13" customWidth="1"/>
    <col min="13798" max="13798" width="11.28515625" style="13" customWidth="1"/>
    <col min="13799" max="13799" width="12.42578125" style="13" customWidth="1"/>
    <col min="13800" max="13800" width="11.28515625" style="13" customWidth="1"/>
    <col min="13801" max="13801" width="12.42578125" style="13" customWidth="1"/>
    <col min="13802" max="13802" width="11.28515625" style="13" customWidth="1"/>
    <col min="13803" max="13803" width="12.42578125" style="13" customWidth="1"/>
    <col min="13804" max="13804" width="11.28515625" style="13" customWidth="1"/>
    <col min="13805" max="13805" width="14.140625" style="13" customWidth="1"/>
    <col min="13806" max="13806" width="10.28515625" style="13" customWidth="1"/>
    <col min="13807" max="13807" width="17.140625" style="13" customWidth="1"/>
    <col min="13808" max="13808" width="12" style="13" customWidth="1"/>
    <col min="13809" max="13809" width="14.140625" style="13" customWidth="1"/>
    <col min="13810" max="13810" width="10.28515625" style="13" customWidth="1"/>
    <col min="13811" max="13811" width="17.140625" style="13" customWidth="1"/>
    <col min="13812" max="13812" width="12" style="13" customWidth="1"/>
    <col min="13813" max="13813" width="10.7109375" style="13" customWidth="1"/>
    <col min="13814" max="13816" width="0" style="13" hidden="1" customWidth="1"/>
    <col min="13817" max="14044" width="9.140625" style="13"/>
    <col min="14045" max="14045" width="5.140625" style="13" customWidth="1"/>
    <col min="14046" max="14046" width="32.42578125" style="13" customWidth="1"/>
    <col min="14047" max="14049" width="10.28515625" style="13" customWidth="1"/>
    <col min="14050" max="14051" width="12.42578125" style="13" customWidth="1"/>
    <col min="14052" max="14052" width="11.28515625" style="13" customWidth="1"/>
    <col min="14053" max="14053" width="12.42578125" style="13" customWidth="1"/>
    <col min="14054" max="14054" width="11.28515625" style="13" customWidth="1"/>
    <col min="14055" max="14055" width="12.42578125" style="13" customWidth="1"/>
    <col min="14056" max="14056" width="11.28515625" style="13" customWidth="1"/>
    <col min="14057" max="14057" width="12.42578125" style="13" customWidth="1"/>
    <col min="14058" max="14058" width="11.28515625" style="13" customWidth="1"/>
    <col min="14059" max="14059" width="12.42578125" style="13" customWidth="1"/>
    <col min="14060" max="14060" width="11.28515625" style="13" customWidth="1"/>
    <col min="14061" max="14061" width="14.140625" style="13" customWidth="1"/>
    <col min="14062" max="14062" width="10.28515625" style="13" customWidth="1"/>
    <col min="14063" max="14063" width="17.140625" style="13" customWidth="1"/>
    <col min="14064" max="14064" width="12" style="13" customWidth="1"/>
    <col min="14065" max="14065" width="14.140625" style="13" customWidth="1"/>
    <col min="14066" max="14066" width="10.28515625" style="13" customWidth="1"/>
    <col min="14067" max="14067" width="17.140625" style="13" customWidth="1"/>
    <col min="14068" max="14068" width="12" style="13" customWidth="1"/>
    <col min="14069" max="14069" width="10.7109375" style="13" customWidth="1"/>
    <col min="14070" max="14072" width="0" style="13" hidden="1" customWidth="1"/>
    <col min="14073" max="14300" width="9.140625" style="13"/>
    <col min="14301" max="14301" width="5.140625" style="13" customWidth="1"/>
    <col min="14302" max="14302" width="32.42578125" style="13" customWidth="1"/>
    <col min="14303" max="14305" width="10.28515625" style="13" customWidth="1"/>
    <col min="14306" max="14307" width="12.42578125" style="13" customWidth="1"/>
    <col min="14308" max="14308" width="11.28515625" style="13" customWidth="1"/>
    <col min="14309" max="14309" width="12.42578125" style="13" customWidth="1"/>
    <col min="14310" max="14310" width="11.28515625" style="13" customWidth="1"/>
    <col min="14311" max="14311" width="12.42578125" style="13" customWidth="1"/>
    <col min="14312" max="14312" width="11.28515625" style="13" customWidth="1"/>
    <col min="14313" max="14313" width="12.42578125" style="13" customWidth="1"/>
    <col min="14314" max="14314" width="11.28515625" style="13" customWidth="1"/>
    <col min="14315" max="14315" width="12.42578125" style="13" customWidth="1"/>
    <col min="14316" max="14316" width="11.28515625" style="13" customWidth="1"/>
    <col min="14317" max="14317" width="14.140625" style="13" customWidth="1"/>
    <col min="14318" max="14318" width="10.28515625" style="13" customWidth="1"/>
    <col min="14319" max="14319" width="17.140625" style="13" customWidth="1"/>
    <col min="14320" max="14320" width="12" style="13" customWidth="1"/>
    <col min="14321" max="14321" width="14.140625" style="13" customWidth="1"/>
    <col min="14322" max="14322" width="10.28515625" style="13" customWidth="1"/>
    <col min="14323" max="14323" width="17.140625" style="13" customWidth="1"/>
    <col min="14324" max="14324" width="12" style="13" customWidth="1"/>
    <col min="14325" max="14325" width="10.7109375" style="13" customWidth="1"/>
    <col min="14326" max="14328" width="0" style="13" hidden="1" customWidth="1"/>
    <col min="14329" max="14556" width="9.140625" style="13"/>
    <col min="14557" max="14557" width="5.140625" style="13" customWidth="1"/>
    <col min="14558" max="14558" width="32.42578125" style="13" customWidth="1"/>
    <col min="14559" max="14561" width="10.28515625" style="13" customWidth="1"/>
    <col min="14562" max="14563" width="12.42578125" style="13" customWidth="1"/>
    <col min="14564" max="14564" width="11.28515625" style="13" customWidth="1"/>
    <col min="14565" max="14565" width="12.42578125" style="13" customWidth="1"/>
    <col min="14566" max="14566" width="11.28515625" style="13" customWidth="1"/>
    <col min="14567" max="14567" width="12.42578125" style="13" customWidth="1"/>
    <col min="14568" max="14568" width="11.28515625" style="13" customWidth="1"/>
    <col min="14569" max="14569" width="12.42578125" style="13" customWidth="1"/>
    <col min="14570" max="14570" width="11.28515625" style="13" customWidth="1"/>
    <col min="14571" max="14571" width="12.42578125" style="13" customWidth="1"/>
    <col min="14572" max="14572" width="11.28515625" style="13" customWidth="1"/>
    <col min="14573" max="14573" width="14.140625" style="13" customWidth="1"/>
    <col min="14574" max="14574" width="10.28515625" style="13" customWidth="1"/>
    <col min="14575" max="14575" width="17.140625" style="13" customWidth="1"/>
    <col min="14576" max="14576" width="12" style="13" customWidth="1"/>
    <col min="14577" max="14577" width="14.140625" style="13" customWidth="1"/>
    <col min="14578" max="14578" width="10.28515625" style="13" customWidth="1"/>
    <col min="14579" max="14579" width="17.140625" style="13" customWidth="1"/>
    <col min="14580" max="14580" width="12" style="13" customWidth="1"/>
    <col min="14581" max="14581" width="10.7109375" style="13" customWidth="1"/>
    <col min="14582" max="14584" width="0" style="13" hidden="1" customWidth="1"/>
    <col min="14585" max="14812" width="9.140625" style="13"/>
    <col min="14813" max="14813" width="5.140625" style="13" customWidth="1"/>
    <col min="14814" max="14814" width="32.42578125" style="13" customWidth="1"/>
    <col min="14815" max="14817" width="10.28515625" style="13" customWidth="1"/>
    <col min="14818" max="14819" width="12.42578125" style="13" customWidth="1"/>
    <col min="14820" max="14820" width="11.28515625" style="13" customWidth="1"/>
    <col min="14821" max="14821" width="12.42578125" style="13" customWidth="1"/>
    <col min="14822" max="14822" width="11.28515625" style="13" customWidth="1"/>
    <col min="14823" max="14823" width="12.42578125" style="13" customWidth="1"/>
    <col min="14824" max="14824" width="11.28515625" style="13" customWidth="1"/>
    <col min="14825" max="14825" width="12.42578125" style="13" customWidth="1"/>
    <col min="14826" max="14826" width="11.28515625" style="13" customWidth="1"/>
    <col min="14827" max="14827" width="12.42578125" style="13" customWidth="1"/>
    <col min="14828" max="14828" width="11.28515625" style="13" customWidth="1"/>
    <col min="14829" max="14829" width="14.140625" style="13" customWidth="1"/>
    <col min="14830" max="14830" width="10.28515625" style="13" customWidth="1"/>
    <col min="14831" max="14831" width="17.140625" style="13" customWidth="1"/>
    <col min="14832" max="14832" width="12" style="13" customWidth="1"/>
    <col min="14833" max="14833" width="14.140625" style="13" customWidth="1"/>
    <col min="14834" max="14834" width="10.28515625" style="13" customWidth="1"/>
    <col min="14835" max="14835" width="17.140625" style="13" customWidth="1"/>
    <col min="14836" max="14836" width="12" style="13" customWidth="1"/>
    <col min="14837" max="14837" width="10.7109375" style="13" customWidth="1"/>
    <col min="14838" max="14840" width="0" style="13" hidden="1" customWidth="1"/>
    <col min="14841" max="15068" width="9.140625" style="13"/>
    <col min="15069" max="15069" width="5.140625" style="13" customWidth="1"/>
    <col min="15070" max="15070" width="32.42578125" style="13" customWidth="1"/>
    <col min="15071" max="15073" width="10.28515625" style="13" customWidth="1"/>
    <col min="15074" max="15075" width="12.42578125" style="13" customWidth="1"/>
    <col min="15076" max="15076" width="11.28515625" style="13" customWidth="1"/>
    <col min="15077" max="15077" width="12.42578125" style="13" customWidth="1"/>
    <col min="15078" max="15078" width="11.28515625" style="13" customWidth="1"/>
    <col min="15079" max="15079" width="12.42578125" style="13" customWidth="1"/>
    <col min="15080" max="15080" width="11.28515625" style="13" customWidth="1"/>
    <col min="15081" max="15081" width="12.42578125" style="13" customWidth="1"/>
    <col min="15082" max="15082" width="11.28515625" style="13" customWidth="1"/>
    <col min="15083" max="15083" width="12.42578125" style="13" customWidth="1"/>
    <col min="15084" max="15084" width="11.28515625" style="13" customWidth="1"/>
    <col min="15085" max="15085" width="14.140625" style="13" customWidth="1"/>
    <col min="15086" max="15086" width="10.28515625" style="13" customWidth="1"/>
    <col min="15087" max="15087" width="17.140625" style="13" customWidth="1"/>
    <col min="15088" max="15088" width="12" style="13" customWidth="1"/>
    <col min="15089" max="15089" width="14.140625" style="13" customWidth="1"/>
    <col min="15090" max="15090" width="10.28515625" style="13" customWidth="1"/>
    <col min="15091" max="15091" width="17.140625" style="13" customWidth="1"/>
    <col min="15092" max="15092" width="12" style="13" customWidth="1"/>
    <col min="15093" max="15093" width="10.7109375" style="13" customWidth="1"/>
    <col min="15094" max="15096" width="0" style="13" hidden="1" customWidth="1"/>
    <col min="15097" max="15324" width="9.140625" style="13"/>
    <col min="15325" max="15325" width="5.140625" style="13" customWidth="1"/>
    <col min="15326" max="15326" width="32.42578125" style="13" customWidth="1"/>
    <col min="15327" max="15329" width="10.28515625" style="13" customWidth="1"/>
    <col min="15330" max="15331" width="12.42578125" style="13" customWidth="1"/>
    <col min="15332" max="15332" width="11.28515625" style="13" customWidth="1"/>
    <col min="15333" max="15333" width="12.42578125" style="13" customWidth="1"/>
    <col min="15334" max="15334" width="11.28515625" style="13" customWidth="1"/>
    <col min="15335" max="15335" width="12.42578125" style="13" customWidth="1"/>
    <col min="15336" max="15336" width="11.28515625" style="13" customWidth="1"/>
    <col min="15337" max="15337" width="12.42578125" style="13" customWidth="1"/>
    <col min="15338" max="15338" width="11.28515625" style="13" customWidth="1"/>
    <col min="15339" max="15339" width="12.42578125" style="13" customWidth="1"/>
    <col min="15340" max="15340" width="11.28515625" style="13" customWidth="1"/>
    <col min="15341" max="15341" width="14.140625" style="13" customWidth="1"/>
    <col min="15342" max="15342" width="10.28515625" style="13" customWidth="1"/>
    <col min="15343" max="15343" width="17.140625" style="13" customWidth="1"/>
    <col min="15344" max="15344" width="12" style="13" customWidth="1"/>
    <col min="15345" max="15345" width="14.140625" style="13" customWidth="1"/>
    <col min="15346" max="15346" width="10.28515625" style="13" customWidth="1"/>
    <col min="15347" max="15347" width="17.140625" style="13" customWidth="1"/>
    <col min="15348" max="15348" width="12" style="13" customWidth="1"/>
    <col min="15349" max="15349" width="10.7109375" style="13" customWidth="1"/>
    <col min="15350" max="15352" width="0" style="13" hidden="1" customWidth="1"/>
    <col min="15353" max="15580" width="9.140625" style="13"/>
    <col min="15581" max="15581" width="5.140625" style="13" customWidth="1"/>
    <col min="15582" max="15582" width="32.42578125" style="13" customWidth="1"/>
    <col min="15583" max="15585" width="10.28515625" style="13" customWidth="1"/>
    <col min="15586" max="15587" width="12.42578125" style="13" customWidth="1"/>
    <col min="15588" max="15588" width="11.28515625" style="13" customWidth="1"/>
    <col min="15589" max="15589" width="12.42578125" style="13" customWidth="1"/>
    <col min="15590" max="15590" width="11.28515625" style="13" customWidth="1"/>
    <col min="15591" max="15591" width="12.42578125" style="13" customWidth="1"/>
    <col min="15592" max="15592" width="11.28515625" style="13" customWidth="1"/>
    <col min="15593" max="15593" width="12.42578125" style="13" customWidth="1"/>
    <col min="15594" max="15594" width="11.28515625" style="13" customWidth="1"/>
    <col min="15595" max="15595" width="12.42578125" style="13" customWidth="1"/>
    <col min="15596" max="15596" width="11.28515625" style="13" customWidth="1"/>
    <col min="15597" max="15597" width="14.140625" style="13" customWidth="1"/>
    <col min="15598" max="15598" width="10.28515625" style="13" customWidth="1"/>
    <col min="15599" max="15599" width="17.140625" style="13" customWidth="1"/>
    <col min="15600" max="15600" width="12" style="13" customWidth="1"/>
    <col min="15601" max="15601" width="14.140625" style="13" customWidth="1"/>
    <col min="15602" max="15602" width="10.28515625" style="13" customWidth="1"/>
    <col min="15603" max="15603" width="17.140625" style="13" customWidth="1"/>
    <col min="15604" max="15604" width="12" style="13" customWidth="1"/>
    <col min="15605" max="15605" width="10.7109375" style="13" customWidth="1"/>
    <col min="15606" max="15608" width="0" style="13" hidden="1" customWidth="1"/>
    <col min="15609" max="15836" width="9.140625" style="13"/>
    <col min="15837" max="15837" width="5.140625" style="13" customWidth="1"/>
    <col min="15838" max="15838" width="32.42578125" style="13" customWidth="1"/>
    <col min="15839" max="15841" width="10.28515625" style="13" customWidth="1"/>
    <col min="15842" max="15843" width="12.42578125" style="13" customWidth="1"/>
    <col min="15844" max="15844" width="11.28515625" style="13" customWidth="1"/>
    <col min="15845" max="15845" width="12.42578125" style="13" customWidth="1"/>
    <col min="15846" max="15846" width="11.28515625" style="13" customWidth="1"/>
    <col min="15847" max="15847" width="12.42578125" style="13" customWidth="1"/>
    <col min="15848" max="15848" width="11.28515625" style="13" customWidth="1"/>
    <col min="15849" max="15849" width="12.42578125" style="13" customWidth="1"/>
    <col min="15850" max="15850" width="11.28515625" style="13" customWidth="1"/>
    <col min="15851" max="15851" width="12.42578125" style="13" customWidth="1"/>
    <col min="15852" max="15852" width="11.28515625" style="13" customWidth="1"/>
    <col min="15853" max="15853" width="14.140625" style="13" customWidth="1"/>
    <col min="15854" max="15854" width="10.28515625" style="13" customWidth="1"/>
    <col min="15855" max="15855" width="17.140625" style="13" customWidth="1"/>
    <col min="15856" max="15856" width="12" style="13" customWidth="1"/>
    <col min="15857" max="15857" width="14.140625" style="13" customWidth="1"/>
    <col min="15858" max="15858" width="10.28515625" style="13" customWidth="1"/>
    <col min="15859" max="15859" width="17.140625" style="13" customWidth="1"/>
    <col min="15860" max="15860" width="12" style="13" customWidth="1"/>
    <col min="15861" max="15861" width="10.7109375" style="13" customWidth="1"/>
    <col min="15862" max="15864" width="0" style="13" hidden="1" customWidth="1"/>
    <col min="15865" max="16092" width="9.140625" style="13"/>
    <col min="16093" max="16093" width="5.140625" style="13" customWidth="1"/>
    <col min="16094" max="16094" width="32.42578125" style="13" customWidth="1"/>
    <col min="16095" max="16097" width="10.28515625" style="13" customWidth="1"/>
    <col min="16098" max="16099" width="12.42578125" style="13" customWidth="1"/>
    <col min="16100" max="16100" width="11.28515625" style="13" customWidth="1"/>
    <col min="16101" max="16101" width="12.42578125" style="13" customWidth="1"/>
    <col min="16102" max="16102" width="11.28515625" style="13" customWidth="1"/>
    <col min="16103" max="16103" width="12.42578125" style="13" customWidth="1"/>
    <col min="16104" max="16104" width="11.28515625" style="13" customWidth="1"/>
    <col min="16105" max="16105" width="12.42578125" style="13" customWidth="1"/>
    <col min="16106" max="16106" width="11.28515625" style="13" customWidth="1"/>
    <col min="16107" max="16107" width="12.42578125" style="13" customWidth="1"/>
    <col min="16108" max="16108" width="11.28515625" style="13" customWidth="1"/>
    <col min="16109" max="16109" width="14.140625" style="13" customWidth="1"/>
    <col min="16110" max="16110" width="10.28515625" style="13" customWidth="1"/>
    <col min="16111" max="16111" width="17.140625" style="13" customWidth="1"/>
    <col min="16112" max="16112" width="12" style="13" customWidth="1"/>
    <col min="16113" max="16113" width="14.140625" style="13" customWidth="1"/>
    <col min="16114" max="16114" width="10.28515625" style="13" customWidth="1"/>
    <col min="16115" max="16115" width="17.140625" style="13" customWidth="1"/>
    <col min="16116" max="16116" width="12" style="13" customWidth="1"/>
    <col min="16117" max="16117" width="10.7109375" style="13" customWidth="1"/>
    <col min="16118" max="16120" width="0" style="13" hidden="1" customWidth="1"/>
    <col min="16121" max="16384" width="9.140625" style="13"/>
  </cols>
  <sheetData>
    <row r="1" spans="1:25" ht="29.25" customHeight="1">
      <c r="A1" s="1711" t="s">
        <v>2584</v>
      </c>
      <c r="B1" s="1711"/>
      <c r="C1" s="1711"/>
      <c r="D1" s="1711"/>
      <c r="E1" s="1711"/>
      <c r="F1" s="1711"/>
      <c r="G1" s="1711"/>
      <c r="H1" s="1711"/>
      <c r="I1" s="1711"/>
      <c r="J1" s="1711"/>
      <c r="K1" s="1711"/>
      <c r="L1" s="1711"/>
      <c r="M1" s="1711"/>
      <c r="N1" s="1711"/>
      <c r="O1" s="1711"/>
      <c r="P1" s="1711"/>
      <c r="Q1" s="1711"/>
      <c r="R1" s="1711"/>
      <c r="S1" s="1711"/>
      <c r="T1" s="1711"/>
      <c r="U1" s="1711"/>
      <c r="V1" s="1711"/>
    </row>
    <row r="2" spans="1:25" ht="27.75" customHeight="1">
      <c r="A2" s="1243" t="s">
        <v>2609</v>
      </c>
      <c r="B2" s="1658"/>
      <c r="C2" s="1658"/>
      <c r="D2" s="1658"/>
      <c r="E2" s="1658"/>
      <c r="F2" s="1658"/>
      <c r="G2" s="1658"/>
      <c r="H2" s="1658"/>
      <c r="I2" s="1658"/>
      <c r="J2" s="1658"/>
      <c r="K2" s="1658"/>
      <c r="L2" s="1658"/>
      <c r="M2" s="1658">
        <v>19284</v>
      </c>
      <c r="N2" s="1658">
        <f>N10</f>
        <v>17380</v>
      </c>
      <c r="O2" s="1658"/>
      <c r="P2" s="1658"/>
      <c r="Q2" s="1658"/>
      <c r="R2" s="1658"/>
      <c r="S2" s="1658"/>
      <c r="T2" s="1658"/>
      <c r="U2" s="1658"/>
      <c r="V2" s="1658"/>
    </row>
    <row r="3" spans="1:25" ht="20.25" customHeight="1">
      <c r="A3" s="1718" t="s">
        <v>3</v>
      </c>
      <c r="B3" s="1718"/>
      <c r="C3" s="1718"/>
      <c r="D3" s="1718"/>
      <c r="E3" s="1718"/>
      <c r="F3" s="1718"/>
      <c r="G3" s="1718"/>
      <c r="H3" s="1718"/>
      <c r="I3" s="1718"/>
      <c r="J3" s="1718"/>
      <c r="K3" s="1718"/>
      <c r="L3" s="1718"/>
      <c r="M3" s="1718"/>
      <c r="N3" s="1718"/>
      <c r="O3" s="1718"/>
      <c r="P3" s="1718"/>
      <c r="Q3" s="1718"/>
      <c r="R3" s="1718"/>
      <c r="S3" s="1718"/>
      <c r="T3" s="1718"/>
      <c r="U3" s="1718"/>
      <c r="V3" s="1718"/>
    </row>
    <row r="4" spans="1:25" s="1585" customFormat="1" ht="30" customHeight="1">
      <c r="A4" s="1712" t="s">
        <v>22</v>
      </c>
      <c r="B4" s="1712" t="s">
        <v>23</v>
      </c>
      <c r="C4" s="1712" t="s">
        <v>24</v>
      </c>
      <c r="D4" s="1712" t="s">
        <v>290</v>
      </c>
      <c r="E4" s="1712" t="s">
        <v>1986</v>
      </c>
      <c r="F4" s="1715" t="s">
        <v>1987</v>
      </c>
      <c r="G4" s="1716"/>
      <c r="H4" s="1717"/>
      <c r="I4" s="1719" t="s">
        <v>279</v>
      </c>
      <c r="J4" s="1720"/>
      <c r="K4" s="1719" t="s">
        <v>280</v>
      </c>
      <c r="L4" s="1720"/>
      <c r="M4" s="1712" t="s">
        <v>281</v>
      </c>
      <c r="N4" s="1292"/>
      <c r="O4" s="1710" t="s">
        <v>279</v>
      </c>
      <c r="P4" s="1710"/>
      <c r="Q4" s="1710" t="s">
        <v>280</v>
      </c>
      <c r="R4" s="1710"/>
      <c r="S4" s="1710" t="s">
        <v>2417</v>
      </c>
      <c r="T4" s="1710" t="s">
        <v>2594</v>
      </c>
      <c r="U4" s="1710"/>
      <c r="V4" s="1710" t="s">
        <v>2554</v>
      </c>
      <c r="W4" s="1710" t="s">
        <v>7</v>
      </c>
      <c r="X4" s="1292"/>
    </row>
    <row r="5" spans="1:25" s="1585" customFormat="1" ht="36" customHeight="1">
      <c r="A5" s="1713"/>
      <c r="B5" s="1713"/>
      <c r="C5" s="1713"/>
      <c r="D5" s="1713"/>
      <c r="E5" s="1713"/>
      <c r="F5" s="1712" t="s">
        <v>30</v>
      </c>
      <c r="G5" s="1715" t="s">
        <v>31</v>
      </c>
      <c r="H5" s="1717"/>
      <c r="I5" s="1721"/>
      <c r="J5" s="1722"/>
      <c r="K5" s="1721"/>
      <c r="L5" s="1722"/>
      <c r="M5" s="1713"/>
      <c r="N5" s="1292"/>
      <c r="O5" s="1710"/>
      <c r="P5" s="1710"/>
      <c r="Q5" s="1710"/>
      <c r="R5" s="1710"/>
      <c r="S5" s="1710"/>
      <c r="T5" s="1710"/>
      <c r="U5" s="1710"/>
      <c r="V5" s="1710"/>
      <c r="W5" s="1710"/>
      <c r="X5" s="1292"/>
    </row>
    <row r="6" spans="1:25" s="1585" customFormat="1" ht="36" customHeight="1">
      <c r="A6" s="1713"/>
      <c r="B6" s="1713"/>
      <c r="C6" s="1713"/>
      <c r="D6" s="1713"/>
      <c r="E6" s="1713"/>
      <c r="F6" s="1713"/>
      <c r="G6" s="1712" t="s">
        <v>32</v>
      </c>
      <c r="H6" s="1712" t="s">
        <v>278</v>
      </c>
      <c r="I6" s="1712" t="s">
        <v>283</v>
      </c>
      <c r="J6" s="1712" t="s">
        <v>278</v>
      </c>
      <c r="K6" s="1712" t="s">
        <v>9</v>
      </c>
      <c r="L6" s="1712" t="s">
        <v>278</v>
      </c>
      <c r="M6" s="1713"/>
      <c r="N6" s="1292"/>
      <c r="O6" s="1710" t="s">
        <v>283</v>
      </c>
      <c r="P6" s="1710" t="s">
        <v>278</v>
      </c>
      <c r="Q6" s="1710" t="s">
        <v>9</v>
      </c>
      <c r="R6" s="1710" t="s">
        <v>278</v>
      </c>
      <c r="S6" s="1710"/>
      <c r="T6" s="1710" t="s">
        <v>9</v>
      </c>
      <c r="U6" s="1710" t="s">
        <v>278</v>
      </c>
      <c r="V6" s="1710"/>
      <c r="W6" s="1710"/>
      <c r="X6" s="1292"/>
    </row>
    <row r="7" spans="1:25" s="1585" customFormat="1" ht="33.75" customHeight="1">
      <c r="A7" s="1713"/>
      <c r="B7" s="1713"/>
      <c r="C7" s="1713"/>
      <c r="D7" s="1713"/>
      <c r="E7" s="1713"/>
      <c r="F7" s="1713"/>
      <c r="G7" s="1713"/>
      <c r="H7" s="1713"/>
      <c r="I7" s="1713"/>
      <c r="J7" s="1713"/>
      <c r="K7" s="1713"/>
      <c r="L7" s="1713"/>
      <c r="M7" s="1713"/>
      <c r="N7" s="1292"/>
      <c r="O7" s="1710"/>
      <c r="P7" s="1710"/>
      <c r="Q7" s="1710"/>
      <c r="R7" s="1710"/>
      <c r="S7" s="1710"/>
      <c r="T7" s="1710"/>
      <c r="U7" s="1710"/>
      <c r="V7" s="1710"/>
      <c r="W7" s="1710"/>
      <c r="X7" s="1292"/>
    </row>
    <row r="8" spans="1:25" s="1585" customFormat="1">
      <c r="A8" s="1714"/>
      <c r="B8" s="1714"/>
      <c r="C8" s="1714"/>
      <c r="D8" s="1714"/>
      <c r="E8" s="1714"/>
      <c r="F8" s="1714"/>
      <c r="G8" s="1714"/>
      <c r="H8" s="1714"/>
      <c r="I8" s="1714"/>
      <c r="J8" s="1714"/>
      <c r="K8" s="1714"/>
      <c r="L8" s="1714"/>
      <c r="M8" s="1714"/>
      <c r="N8" s="1292"/>
      <c r="O8" s="1710"/>
      <c r="P8" s="1710"/>
      <c r="Q8" s="1710"/>
      <c r="R8" s="1710"/>
      <c r="S8" s="1710"/>
      <c r="T8" s="1710"/>
      <c r="U8" s="1710"/>
      <c r="V8" s="1710"/>
      <c r="W8" s="1710"/>
      <c r="X8" s="1292"/>
    </row>
    <row r="9" spans="1:25" s="20" customFormat="1" ht="24" customHeight="1">
      <c r="A9" s="95">
        <v>1</v>
      </c>
      <c r="B9" s="95">
        <f>A9+1</f>
        <v>2</v>
      </c>
      <c r="C9" s="95">
        <f>B9+1</f>
        <v>3</v>
      </c>
      <c r="D9" s="95">
        <f t="shared" ref="D9:M9" si="0">C9+1</f>
        <v>4</v>
      </c>
      <c r="E9" s="95">
        <f t="shared" si="0"/>
        <v>5</v>
      </c>
      <c r="F9" s="95">
        <f t="shared" si="0"/>
        <v>6</v>
      </c>
      <c r="G9" s="95">
        <f t="shared" si="0"/>
        <v>7</v>
      </c>
      <c r="H9" s="95">
        <f t="shared" si="0"/>
        <v>8</v>
      </c>
      <c r="I9" s="95">
        <f t="shared" si="0"/>
        <v>9</v>
      </c>
      <c r="J9" s="95">
        <f t="shared" si="0"/>
        <v>10</v>
      </c>
      <c r="K9" s="95">
        <f t="shared" si="0"/>
        <v>11</v>
      </c>
      <c r="L9" s="95">
        <f t="shared" si="0"/>
        <v>12</v>
      </c>
      <c r="M9" s="95">
        <f t="shared" si="0"/>
        <v>13</v>
      </c>
      <c r="N9" s="1544"/>
      <c r="O9" s="1227">
        <v>9</v>
      </c>
      <c r="P9" s="1227">
        <v>10</v>
      </c>
      <c r="Q9" s="1227">
        <v>11</v>
      </c>
      <c r="R9" s="1227">
        <v>12</v>
      </c>
      <c r="S9" s="1227">
        <v>13</v>
      </c>
      <c r="T9" s="1227">
        <v>9</v>
      </c>
      <c r="U9" s="1227">
        <v>10</v>
      </c>
      <c r="V9" s="1647">
        <v>11</v>
      </c>
      <c r="W9" s="1231"/>
    </row>
    <row r="10" spans="1:25" s="20" customFormat="1" ht="27" customHeight="1">
      <c r="A10" s="1227"/>
      <c r="B10" s="1228" t="s">
        <v>13</v>
      </c>
      <c r="C10" s="1227"/>
      <c r="D10" s="1227"/>
      <c r="E10" s="1227"/>
      <c r="F10" s="1227"/>
      <c r="G10" s="204">
        <f>SUBTOTAL(109,G11:G153)</f>
        <v>1641130</v>
      </c>
      <c r="H10" s="204">
        <f>SUBTOTAL(109,H11:H153)</f>
        <v>901676</v>
      </c>
      <c r="I10" s="204">
        <f t="shared" ref="I10:S10" si="1">SUBTOTAL(109,I11:I137)</f>
        <v>386360.69999999995</v>
      </c>
      <c r="J10" s="204">
        <f t="shared" si="1"/>
        <v>386360.69999999995</v>
      </c>
      <c r="K10" s="204">
        <f t="shared" si="1"/>
        <v>184255.24000000017</v>
      </c>
      <c r="L10" s="204">
        <f t="shared" si="1"/>
        <v>123378.24000000015</v>
      </c>
      <c r="M10" s="204">
        <f t="shared" si="1"/>
        <v>288919.87999999989</v>
      </c>
      <c r="N10" s="204">
        <f t="shared" si="1"/>
        <v>17380</v>
      </c>
      <c r="O10" s="204">
        <f t="shared" si="1"/>
        <v>476022.64000000025</v>
      </c>
      <c r="P10" s="204">
        <f t="shared" si="1"/>
        <v>457079.64000000025</v>
      </c>
      <c r="Q10" s="204">
        <f t="shared" si="1"/>
        <v>339488.24000000017</v>
      </c>
      <c r="R10" s="204">
        <f t="shared" si="1"/>
        <v>153468.24000000017</v>
      </c>
      <c r="S10" s="204">
        <f t="shared" si="1"/>
        <v>303611.52999999991</v>
      </c>
      <c r="T10" s="204">
        <f>SUBTOTAL(109,T11:T153)</f>
        <v>654945.77000000014</v>
      </c>
      <c r="U10" s="204">
        <f>SUBTOTAL(109,U11:U153)</f>
        <v>468925.77000000014</v>
      </c>
      <c r="V10" s="1648">
        <f>SUBTOTAL(109,V11:V153)</f>
        <v>398245.02999999991</v>
      </c>
      <c r="W10" s="1231"/>
    </row>
    <row r="11" spans="1:25" ht="72.75" customHeight="1">
      <c r="A11" s="500">
        <v>1</v>
      </c>
      <c r="B11" s="547" t="s">
        <v>2424</v>
      </c>
      <c r="C11" s="1216" t="str">
        <f>VLOOKUP($B11,DATA!$B$7:$AV$679,6,0)</f>
        <v>Tuyên Hóa</v>
      </c>
      <c r="D11" s="1230">
        <f>VLOOKUP($B11,DATA!$B$7:$AV$679,7,0)</f>
        <v>2018</v>
      </c>
      <c r="E11" s="1230">
        <f>VLOOKUP($B11,DATA!$B$7:$AV$679,9,0)</f>
        <v>2020</v>
      </c>
      <c r="F11" s="1216" t="str">
        <f>VLOOKUP($B11,DATA!$B$7:$AV$679,12,0)</f>
        <v>3668/QĐ-UBND ngày 18/10/2017</v>
      </c>
      <c r="G11" s="1568">
        <f>VLOOKUP($B11,DATA!$B$7:$AV$679,13,0)</f>
        <v>9000</v>
      </c>
      <c r="H11" s="1568">
        <f>VLOOKUP($B11,DATA!$B$7:$AV$679,15,0)</f>
        <v>9000</v>
      </c>
      <c r="I11" s="1568">
        <f>VLOOKUP($B11,DATA!$B$7:$AV$679,29,0)</f>
        <v>9000</v>
      </c>
      <c r="J11" s="1568">
        <f>VLOOKUP($B11,DATA!$B$7:$AV$679,29,0)</f>
        <v>9000</v>
      </c>
      <c r="K11" s="1568">
        <f>VLOOKUP($B11,DATA!$B$7:$AV$679,35,0)</f>
        <v>5871</v>
      </c>
      <c r="L11" s="1568">
        <f>VLOOKUP($B11,DATA!$B$7:$AV$679,36,0)</f>
        <v>5871</v>
      </c>
      <c r="M11" s="1568">
        <f t="shared" ref="M11:M13" si="2">H11*0.9-L11</f>
        <v>2229</v>
      </c>
      <c r="N11" s="1572"/>
      <c r="O11" s="1563">
        <v>8100</v>
      </c>
      <c r="P11" s="1563">
        <v>8100</v>
      </c>
      <c r="Q11" s="1563">
        <v>5871</v>
      </c>
      <c r="R11" s="1563">
        <v>5871</v>
      </c>
      <c r="S11" s="1563">
        <v>2229</v>
      </c>
      <c r="T11" s="1571">
        <f t="shared" ref="T11:T57" si="3">Q11+S11</f>
        <v>8100</v>
      </c>
      <c r="U11" s="1571">
        <f t="shared" ref="U11:U57" si="4">R11+S11</f>
        <v>8100</v>
      </c>
      <c r="V11" s="1649">
        <v>621</v>
      </c>
      <c r="W11" s="1539" t="s">
        <v>2602</v>
      </c>
      <c r="X11" s="1221" t="s">
        <v>1537</v>
      </c>
      <c r="Y11" s="1592" t="s">
        <v>2555</v>
      </c>
    </row>
    <row r="12" spans="1:25" ht="69" customHeight="1">
      <c r="A12" s="500">
        <v>2</v>
      </c>
      <c r="B12" s="547" t="s">
        <v>1541</v>
      </c>
      <c r="C12" s="1216" t="str">
        <f>VLOOKUP($B12,DATA!$B$7:$AV$679,6,0)</f>
        <v>Tuyên Hóa</v>
      </c>
      <c r="D12" s="1230">
        <f>VLOOKUP($B12,DATA!$B$7:$AV$679,7,0)</f>
        <v>2018</v>
      </c>
      <c r="E12" s="1230">
        <f>VLOOKUP($B12,DATA!$B$7:$AV$679,9,0)</f>
        <v>2020</v>
      </c>
      <c r="F12" s="1216" t="str">
        <f>VLOOKUP($B12,DATA!$B$7:$AV$679,12,0)</f>
        <v>2825/QĐ-UBND ngày 08/8/2017</v>
      </c>
      <c r="G12" s="1568">
        <f>VLOOKUP($B12,DATA!$B$7:$AV$679,13,0)</f>
        <v>9500</v>
      </c>
      <c r="H12" s="1568">
        <f>VLOOKUP($B12,DATA!$B$7:$AV$679,15,0)</f>
        <v>9500</v>
      </c>
      <c r="I12" s="1568">
        <f>VLOOKUP($B12,DATA!$B$7:$AV$679,29,0)</f>
        <v>9500</v>
      </c>
      <c r="J12" s="1568">
        <f>VLOOKUP($B12,DATA!$B$7:$AV$679,29,0)</f>
        <v>9500</v>
      </c>
      <c r="K12" s="1568">
        <f>VLOOKUP($B12,DATA!$B$7:$AV$679,35,0)</f>
        <v>6196</v>
      </c>
      <c r="L12" s="1568">
        <f>VLOOKUP($B12,DATA!$B$7:$AV$679,36,0)</f>
        <v>6196</v>
      </c>
      <c r="M12" s="1568">
        <f t="shared" si="2"/>
        <v>2354</v>
      </c>
      <c r="N12" s="1572"/>
      <c r="O12" s="1563">
        <v>8550</v>
      </c>
      <c r="P12" s="1563">
        <v>8550</v>
      </c>
      <c r="Q12" s="1563">
        <v>6196</v>
      </c>
      <c r="R12" s="1563">
        <v>6196</v>
      </c>
      <c r="S12" s="1563">
        <v>2354</v>
      </c>
      <c r="T12" s="1571">
        <f t="shared" si="3"/>
        <v>8550</v>
      </c>
      <c r="U12" s="1571">
        <f t="shared" si="4"/>
        <v>8550</v>
      </c>
      <c r="V12" s="1649">
        <v>585</v>
      </c>
      <c r="W12" s="1539" t="s">
        <v>2602</v>
      </c>
      <c r="X12" s="1221" t="s">
        <v>1537</v>
      </c>
      <c r="Y12" s="1593" t="s">
        <v>2556</v>
      </c>
    </row>
    <row r="13" spans="1:25" ht="68.25" customHeight="1">
      <c r="A13" s="500">
        <v>3</v>
      </c>
      <c r="B13" s="547" t="s">
        <v>2517</v>
      </c>
      <c r="C13" s="1216" t="str">
        <f>VLOOKUP($B13,DATA!$B$7:$AV$679,6,0)</f>
        <v>Tuyên Hóa</v>
      </c>
      <c r="D13" s="1230">
        <f>VLOOKUP($B13,DATA!$B$7:$AV$679,7,0)</f>
        <v>2018</v>
      </c>
      <c r="E13" s="1230">
        <f>VLOOKUP($B13,DATA!$B$7:$AV$679,9,0)</f>
        <v>2020</v>
      </c>
      <c r="F13" s="1216" t="str">
        <f>VLOOKUP($B13,DATA!$B$7:$AV$679,12,0)</f>
        <v>2991/QĐ-UBND ngày 25/8/2017</v>
      </c>
      <c r="G13" s="1568">
        <f>VLOOKUP($B13,DATA!$B$7:$AV$679,13,0)</f>
        <v>9986</v>
      </c>
      <c r="H13" s="1568">
        <f>VLOOKUP($B13,DATA!$B$7:$AV$679,15,0)</f>
        <v>9986</v>
      </c>
      <c r="I13" s="1568">
        <f>VLOOKUP($B13,DATA!$B$7:$AV$679,29,0)</f>
        <v>9986</v>
      </c>
      <c r="J13" s="1568">
        <f>VLOOKUP($B13,DATA!$B$7:$AV$679,29,0)</f>
        <v>9986</v>
      </c>
      <c r="K13" s="1568">
        <f>VLOOKUP($B13,DATA!$B$7:$AV$679,35,0)</f>
        <v>6512</v>
      </c>
      <c r="L13" s="1568">
        <f>VLOOKUP($B13,DATA!$B$7:$AV$679,36,0)</f>
        <v>6512</v>
      </c>
      <c r="M13" s="1568">
        <f t="shared" si="2"/>
        <v>2475.3999999999996</v>
      </c>
      <c r="N13" s="1572"/>
      <c r="O13" s="1563">
        <v>8987</v>
      </c>
      <c r="P13" s="1563">
        <v>8987</v>
      </c>
      <c r="Q13" s="1563">
        <v>6512</v>
      </c>
      <c r="R13" s="1563">
        <v>6512</v>
      </c>
      <c r="S13" s="1563">
        <v>2475.3999999999996</v>
      </c>
      <c r="T13" s="1571">
        <f t="shared" si="3"/>
        <v>8987.4</v>
      </c>
      <c r="U13" s="1571">
        <f t="shared" si="4"/>
        <v>8987.4</v>
      </c>
      <c r="V13" s="1649">
        <v>539</v>
      </c>
      <c r="W13" s="1539" t="s">
        <v>2602</v>
      </c>
      <c r="X13" s="1221" t="s">
        <v>1537</v>
      </c>
      <c r="Y13" s="1592" t="s">
        <v>2557</v>
      </c>
    </row>
    <row r="14" spans="1:25" ht="67.5" customHeight="1">
      <c r="A14" s="500">
        <v>4</v>
      </c>
      <c r="B14" s="1546" t="s">
        <v>2520</v>
      </c>
      <c r="C14" s="1216" t="str">
        <f>VLOOKUP($B14,DATA!$B$7:$AV$679,6,0)</f>
        <v>Quảng Ninh</v>
      </c>
      <c r="D14" s="1230">
        <f>VLOOKUP($B14,DATA!$B$7:$AV$679,7,0)</f>
        <v>2019</v>
      </c>
      <c r="E14" s="1230">
        <f>VLOOKUP($B14,DATA!$B$7:$AV$679,9,0)</f>
        <v>2020</v>
      </c>
      <c r="F14" s="1216" t="str">
        <f>VLOOKUP($B14,DATA!$B$7:$AV$679,12,0)</f>
        <v>3861/QĐ-UBND ngày 31/10/2018</v>
      </c>
      <c r="G14" s="1568">
        <f>VLOOKUP($B14,DATA!$B$7:$AV$679,13,0)</f>
        <v>67500</v>
      </c>
      <c r="H14" s="1568">
        <f>VLOOKUP($B14,DATA!$B$7:$AV$679,15,0)</f>
        <v>67500</v>
      </c>
      <c r="I14" s="1568">
        <f>VLOOKUP($B14,DATA!$B$7:$AV$679,29,0)</f>
        <v>36450</v>
      </c>
      <c r="J14" s="1568">
        <f>VLOOKUP($B14,DATA!$B$7:$AV$679,29,0)</f>
        <v>36450</v>
      </c>
      <c r="K14" s="1568">
        <f>VLOOKUP($B14,DATA!$B$7:$AV$679,35,0)</f>
        <v>12311.240000000158</v>
      </c>
      <c r="L14" s="1568">
        <f>VLOOKUP($B14,DATA!$B$7:$AV$679,36,0)</f>
        <v>12311.240000000158</v>
      </c>
      <c r="M14" s="1568">
        <f t="shared" ref="M14:M42" si="5">(H14-L14)*0.5</f>
        <v>27594.379999999921</v>
      </c>
      <c r="N14" s="1572"/>
      <c r="O14" s="1563">
        <v>39655.240000000158</v>
      </c>
      <c r="P14" s="1563">
        <v>39655.240000000158</v>
      </c>
      <c r="Q14" s="1563">
        <v>12311.240000000158</v>
      </c>
      <c r="R14" s="1563">
        <v>12311.240000000158</v>
      </c>
      <c r="S14" s="1563">
        <v>27344.379999999921</v>
      </c>
      <c r="T14" s="1571">
        <f t="shared" si="3"/>
        <v>39655.620000000083</v>
      </c>
      <c r="U14" s="1571">
        <f t="shared" si="4"/>
        <v>39655.620000000083</v>
      </c>
      <c r="V14" s="1649">
        <f>H14*0.9-T14</f>
        <v>21094.379999999917</v>
      </c>
      <c r="W14" s="1218"/>
      <c r="X14" s="59" t="s">
        <v>631</v>
      </c>
      <c r="Y14" s="13" t="s">
        <v>2558</v>
      </c>
    </row>
    <row r="15" spans="1:25" ht="63" customHeight="1">
      <c r="A15" s="500">
        <v>5</v>
      </c>
      <c r="B15" s="547" t="s">
        <v>1594</v>
      </c>
      <c r="C15" s="1216" t="str">
        <f>VLOOKUP($B15,DATA!$B$7:$AV$679,6,0)</f>
        <v>Quảng Trạch</v>
      </c>
      <c r="D15" s="1230">
        <f>VLOOKUP($B15,DATA!$B$7:$AV$679,7,0)</f>
        <v>2019</v>
      </c>
      <c r="E15" s="1230">
        <f>VLOOKUP($B15,DATA!$B$7:$AV$679,9,0)</f>
        <v>2021</v>
      </c>
      <c r="F15" s="1216" t="str">
        <f>VLOOKUP($B15,DATA!$B$7:$AV$679,12,0)</f>
        <v>3889/QĐ-UBND ngày 31/10/2018</v>
      </c>
      <c r="G15" s="1568">
        <f>VLOOKUP($B15,DATA!$B$7:$AV$679,13,0)</f>
        <v>3500</v>
      </c>
      <c r="H15" s="1568">
        <f>VLOOKUP($B15,DATA!$B$7:$AV$679,15,0)</f>
        <v>2100</v>
      </c>
      <c r="I15" s="1568">
        <f>VLOOKUP($B15,DATA!$B$7:$AV$679,29,0)</f>
        <v>1260</v>
      </c>
      <c r="J15" s="1568">
        <f>VLOOKUP($B15,DATA!$B$7:$AV$679,29,0)</f>
        <v>1260</v>
      </c>
      <c r="K15" s="1568">
        <f>VLOOKUP($B15,DATA!$B$7:$AV$679,35,0)</f>
        <v>630</v>
      </c>
      <c r="L15" s="1568">
        <f>VLOOKUP($B15,DATA!$B$7:$AV$679,36,0)</f>
        <v>630</v>
      </c>
      <c r="M15" s="1568">
        <f t="shared" si="5"/>
        <v>735</v>
      </c>
      <c r="N15" s="1572"/>
      <c r="O15" s="1563">
        <v>1365</v>
      </c>
      <c r="P15" s="1563">
        <v>1365</v>
      </c>
      <c r="Q15" s="1563">
        <v>630</v>
      </c>
      <c r="R15" s="1563">
        <v>630</v>
      </c>
      <c r="S15" s="1563">
        <v>735</v>
      </c>
      <c r="T15" s="1571">
        <f t="shared" si="3"/>
        <v>1365</v>
      </c>
      <c r="U15" s="1571">
        <f t="shared" si="4"/>
        <v>1365</v>
      </c>
      <c r="V15" s="1650">
        <f t="shared" ref="V15:V28" si="6">H15-U15</f>
        <v>735</v>
      </c>
      <c r="W15" s="1218"/>
      <c r="X15" s="59" t="s">
        <v>1596</v>
      </c>
    </row>
    <row r="16" spans="1:25" ht="63" customHeight="1">
      <c r="A16" s="500">
        <v>6</v>
      </c>
      <c r="B16" s="547" t="s">
        <v>1612</v>
      </c>
      <c r="C16" s="1216" t="str">
        <f>VLOOKUP($B16,DATA!$B$7:$AV$679,6,0)</f>
        <v>Quảng Ninh</v>
      </c>
      <c r="D16" s="1230">
        <f>VLOOKUP($B16,DATA!$B$7:$AV$679,7,0)</f>
        <v>2019</v>
      </c>
      <c r="E16" s="1230">
        <f>VLOOKUP($B16,DATA!$B$7:$AV$679,9,0)</f>
        <v>2021</v>
      </c>
      <c r="F16" s="1216" t="str">
        <f>VLOOKUP($B16,DATA!$B$7:$AV$679,12,0)</f>
        <v>3833/QĐ-UBND ngày 31/10/2018</v>
      </c>
      <c r="G16" s="1568">
        <f>VLOOKUP($B16,DATA!$B$7:$AV$679,13,0)</f>
        <v>4500</v>
      </c>
      <c r="H16" s="1568">
        <f>VLOOKUP($B16,DATA!$B$7:$AV$679,15,0)</f>
        <v>2700</v>
      </c>
      <c r="I16" s="1568">
        <f>VLOOKUP($B16,DATA!$B$7:$AV$679,29,0)</f>
        <v>1620</v>
      </c>
      <c r="J16" s="1568">
        <f>VLOOKUP($B16,DATA!$B$7:$AV$679,29,0)</f>
        <v>1620</v>
      </c>
      <c r="K16" s="1568">
        <f>VLOOKUP($B16,DATA!$B$7:$AV$679,35,0)</f>
        <v>810</v>
      </c>
      <c r="L16" s="1568">
        <f>VLOOKUP($B16,DATA!$B$7:$AV$679,36,0)</f>
        <v>810</v>
      </c>
      <c r="M16" s="1568">
        <f t="shared" si="5"/>
        <v>945</v>
      </c>
      <c r="N16" s="1572"/>
      <c r="O16" s="1563">
        <v>1755</v>
      </c>
      <c r="P16" s="1563">
        <v>1755</v>
      </c>
      <c r="Q16" s="1563">
        <v>810</v>
      </c>
      <c r="R16" s="1563">
        <v>810</v>
      </c>
      <c r="S16" s="1563">
        <v>945</v>
      </c>
      <c r="T16" s="1571">
        <f t="shared" si="3"/>
        <v>1755</v>
      </c>
      <c r="U16" s="1571">
        <f t="shared" si="4"/>
        <v>1755</v>
      </c>
      <c r="V16" s="1650">
        <f t="shared" si="6"/>
        <v>945</v>
      </c>
      <c r="W16" s="1218"/>
      <c r="X16" s="59" t="s">
        <v>631</v>
      </c>
    </row>
    <row r="17" spans="1:25" ht="63" customHeight="1">
      <c r="A17" s="500">
        <v>7</v>
      </c>
      <c r="B17" s="547" t="s">
        <v>2521</v>
      </c>
      <c r="C17" s="1216" t="str">
        <f>VLOOKUP($B17,DATA!$B$7:$AV$679,6,0)</f>
        <v>Tuyên Hóa</v>
      </c>
      <c r="D17" s="1230">
        <f>VLOOKUP($B17,DATA!$B$7:$AV$679,7,0)</f>
        <v>2019</v>
      </c>
      <c r="E17" s="1230">
        <f>VLOOKUP($B17,DATA!$B$7:$AV$679,9,0)</f>
        <v>2021</v>
      </c>
      <c r="F17" s="1216" t="str">
        <f>VLOOKUP($B17,DATA!$B$7:$AV$679,12,0)</f>
        <v>3968/QĐ-UBND ngày 31/10/2017</v>
      </c>
      <c r="G17" s="1568">
        <f>VLOOKUP($B17,DATA!$B$7:$AV$679,13,0)</f>
        <v>5000</v>
      </c>
      <c r="H17" s="1568">
        <f>VLOOKUP($B17,DATA!$B$7:$AV$679,15,0)</f>
        <v>3000</v>
      </c>
      <c r="I17" s="1568">
        <f>VLOOKUP($B17,DATA!$B$7:$AV$679,29,0)</f>
        <v>1800</v>
      </c>
      <c r="J17" s="1568">
        <f>VLOOKUP($B17,DATA!$B$7:$AV$679,29,0)</f>
        <v>1800</v>
      </c>
      <c r="K17" s="1568">
        <f>VLOOKUP($B17,DATA!$B$7:$AV$679,35,0)</f>
        <v>900</v>
      </c>
      <c r="L17" s="1568">
        <f>VLOOKUP($B17,DATA!$B$7:$AV$679,36,0)</f>
        <v>900</v>
      </c>
      <c r="M17" s="1568">
        <f t="shared" si="5"/>
        <v>1050</v>
      </c>
      <c r="N17" s="1572"/>
      <c r="O17" s="1563">
        <v>1950</v>
      </c>
      <c r="P17" s="1563">
        <v>1950</v>
      </c>
      <c r="Q17" s="1563">
        <v>900</v>
      </c>
      <c r="R17" s="1563">
        <v>900</v>
      </c>
      <c r="S17" s="1563">
        <v>1050</v>
      </c>
      <c r="T17" s="1571">
        <f t="shared" si="3"/>
        <v>1950</v>
      </c>
      <c r="U17" s="1571">
        <f t="shared" si="4"/>
        <v>1950</v>
      </c>
      <c r="V17" s="1650">
        <f t="shared" si="6"/>
        <v>1050</v>
      </c>
      <c r="W17" s="1218"/>
      <c r="X17" s="59" t="s">
        <v>1577</v>
      </c>
    </row>
    <row r="18" spans="1:25" ht="63" customHeight="1">
      <c r="A18" s="500">
        <v>8</v>
      </c>
      <c r="B18" s="547" t="s">
        <v>1590</v>
      </c>
      <c r="C18" s="1216" t="str">
        <f>VLOOKUP($B18,DATA!$B$7:$AV$679,6,0)</f>
        <v>Quảng Trạch</v>
      </c>
      <c r="D18" s="1230">
        <f>VLOOKUP($B18,DATA!$B$7:$AV$679,7,0)</f>
        <v>2019</v>
      </c>
      <c r="E18" s="1230">
        <f>VLOOKUP($B18,DATA!$B$7:$AV$679,9,0)</f>
        <v>2021</v>
      </c>
      <c r="F18" s="1216" t="str">
        <f>VLOOKUP($B18,DATA!$B$7:$AV$679,12,0)</f>
        <v>3888/QĐ-UBND ngày 31/10/2018</v>
      </c>
      <c r="G18" s="1568">
        <f>VLOOKUP($B18,DATA!$B$7:$AV$679,13,0)</f>
        <v>5000</v>
      </c>
      <c r="H18" s="1568">
        <f>VLOOKUP($B18,DATA!$B$7:$AV$679,15,0)</f>
        <v>3000</v>
      </c>
      <c r="I18" s="1568">
        <f>VLOOKUP($B18,DATA!$B$7:$AV$679,29,0)</f>
        <v>1800</v>
      </c>
      <c r="J18" s="1568">
        <f>VLOOKUP($B18,DATA!$B$7:$AV$679,29,0)</f>
        <v>1800</v>
      </c>
      <c r="K18" s="1568">
        <f>VLOOKUP($B18,DATA!$B$7:$AV$679,35,0)</f>
        <v>900</v>
      </c>
      <c r="L18" s="1568">
        <f>VLOOKUP($B18,DATA!$B$7:$AV$679,36,0)</f>
        <v>900</v>
      </c>
      <c r="M18" s="1568">
        <f t="shared" si="5"/>
        <v>1050</v>
      </c>
      <c r="N18" s="1572"/>
      <c r="O18" s="1563">
        <v>1950</v>
      </c>
      <c r="P18" s="1563">
        <v>1950</v>
      </c>
      <c r="Q18" s="1563">
        <v>900</v>
      </c>
      <c r="R18" s="1563">
        <v>900</v>
      </c>
      <c r="S18" s="1563">
        <v>1050</v>
      </c>
      <c r="T18" s="1571">
        <f t="shared" si="3"/>
        <v>1950</v>
      </c>
      <c r="U18" s="1571">
        <f t="shared" si="4"/>
        <v>1950</v>
      </c>
      <c r="V18" s="1650">
        <f t="shared" si="6"/>
        <v>1050</v>
      </c>
      <c r="W18" s="1218"/>
      <c r="X18" s="59" t="s">
        <v>623</v>
      </c>
      <c r="Y18" s="13" t="s">
        <v>2561</v>
      </c>
    </row>
    <row r="19" spans="1:25" ht="63" customHeight="1">
      <c r="A19" s="500">
        <v>9</v>
      </c>
      <c r="B19" s="1460" t="s">
        <v>1598</v>
      </c>
      <c r="C19" s="1216" t="str">
        <f>VLOOKUP($B19,DATA!$B$7:$AV$679,6,0)</f>
        <v>Tuyên Hóa</v>
      </c>
      <c r="D19" s="1230">
        <f>VLOOKUP($B19,DATA!$B$7:$AV$679,7,0)</f>
        <v>2019</v>
      </c>
      <c r="E19" s="1230">
        <f>VLOOKUP($B19,DATA!$B$7:$AV$679,9,0)</f>
        <v>2021</v>
      </c>
      <c r="F19" s="1216" t="str">
        <f>VLOOKUP($B19,DATA!$B$7:$AV$679,12,0)</f>
        <v>3728/QĐ-UBND ngày 30/10/2018</v>
      </c>
      <c r="G19" s="1568">
        <f>VLOOKUP($B19,DATA!$B$7:$AV$679,13,0)</f>
        <v>5500</v>
      </c>
      <c r="H19" s="1568">
        <f>VLOOKUP($B19,DATA!$B$7:$AV$679,15,0)</f>
        <v>3300</v>
      </c>
      <c r="I19" s="1568">
        <f>VLOOKUP($B19,DATA!$B$7:$AV$679,29,0)</f>
        <v>1980</v>
      </c>
      <c r="J19" s="1568">
        <f>VLOOKUP($B19,DATA!$B$7:$AV$679,29,0)</f>
        <v>1980</v>
      </c>
      <c r="K19" s="1569">
        <f>VLOOKUP($B19,DATA!$B$7:$AV$679,35,0)+990</f>
        <v>1980</v>
      </c>
      <c r="L19" s="1569">
        <f>VLOOKUP($B19,DATA!$B$7:$AV$679,36,0)+990</f>
        <v>1980</v>
      </c>
      <c r="M19" s="1569">
        <v>1155</v>
      </c>
      <c r="N19" s="1572">
        <v>990</v>
      </c>
      <c r="O19" s="1563">
        <v>3135</v>
      </c>
      <c r="P19" s="1563">
        <v>3135</v>
      </c>
      <c r="Q19" s="1563">
        <v>1980</v>
      </c>
      <c r="R19" s="1563">
        <v>1980</v>
      </c>
      <c r="S19" s="1563">
        <v>1155</v>
      </c>
      <c r="T19" s="1571">
        <f t="shared" si="3"/>
        <v>3135</v>
      </c>
      <c r="U19" s="1571">
        <f t="shared" si="4"/>
        <v>3135</v>
      </c>
      <c r="V19" s="1650">
        <f t="shared" si="6"/>
        <v>165</v>
      </c>
      <c r="W19" s="1218"/>
      <c r="X19" s="59"/>
    </row>
    <row r="20" spans="1:25" ht="62.25" customHeight="1">
      <c r="A20" s="500">
        <v>10</v>
      </c>
      <c r="B20" s="547" t="s">
        <v>1587</v>
      </c>
      <c r="C20" s="1216" t="str">
        <f>VLOOKUP($B20,DATA!$B$7:$AV$679,6,0)</f>
        <v>Tuyên Hóa</v>
      </c>
      <c r="D20" s="1230">
        <f>VLOOKUP($B20,DATA!$B$7:$AV$679,7,0)</f>
        <v>2019</v>
      </c>
      <c r="E20" s="1230">
        <f>VLOOKUP($B20,DATA!$B$7:$AV$679,9,0)</f>
        <v>2021</v>
      </c>
      <c r="F20" s="1216" t="str">
        <f>VLOOKUP($B20,DATA!$B$7:$AV$679,12,0)</f>
        <v>3224/QĐ-UBND ngày 27/9/2018; 131/QĐ-UBND ngày 15/01/2019</v>
      </c>
      <c r="G20" s="1568">
        <f>VLOOKUP($B20,DATA!$B$7:$AV$679,13,0)</f>
        <v>6000</v>
      </c>
      <c r="H20" s="1568">
        <f>VLOOKUP($B20,DATA!$B$7:$AV$679,15,0)</f>
        <v>3600</v>
      </c>
      <c r="I20" s="1568">
        <f>VLOOKUP($B20,DATA!$B$7:$AV$679,29,0)</f>
        <v>2160</v>
      </c>
      <c r="J20" s="1568">
        <f>VLOOKUP($B20,DATA!$B$7:$AV$679,29,0)</f>
        <v>2160</v>
      </c>
      <c r="K20" s="1568">
        <f>VLOOKUP($B20,DATA!$B$7:$AV$679,35,0)</f>
        <v>1080</v>
      </c>
      <c r="L20" s="1568">
        <f>VLOOKUP($B20,DATA!$B$7:$AV$679,36,0)</f>
        <v>1080</v>
      </c>
      <c r="M20" s="1568">
        <f t="shared" si="5"/>
        <v>1260</v>
      </c>
      <c r="N20" s="1572"/>
      <c r="O20" s="1563">
        <v>2340</v>
      </c>
      <c r="P20" s="1563">
        <v>2340</v>
      </c>
      <c r="Q20" s="1563">
        <v>1080</v>
      </c>
      <c r="R20" s="1563">
        <v>1080</v>
      </c>
      <c r="S20" s="1563">
        <v>1260</v>
      </c>
      <c r="T20" s="1571">
        <f t="shared" si="3"/>
        <v>2340</v>
      </c>
      <c r="U20" s="1571">
        <f t="shared" si="4"/>
        <v>2340</v>
      </c>
      <c r="V20" s="1650">
        <f t="shared" si="6"/>
        <v>1260</v>
      </c>
      <c r="W20" s="1218"/>
      <c r="X20" s="59" t="s">
        <v>1537</v>
      </c>
      <c r="Y20" s="13" t="s">
        <v>2562</v>
      </c>
    </row>
    <row r="21" spans="1:25" ht="63.75" customHeight="1">
      <c r="A21" s="500">
        <v>11</v>
      </c>
      <c r="B21" s="1460" t="s">
        <v>1627</v>
      </c>
      <c r="C21" s="1216" t="str">
        <f>VLOOKUP($B21,DATA!$B$7:$AV$679,6,0)</f>
        <v>Ba Đồn</v>
      </c>
      <c r="D21" s="1230">
        <f>VLOOKUP($B21,DATA!$B$7:$AV$679,7,0)</f>
        <v>2019</v>
      </c>
      <c r="E21" s="1230">
        <f>VLOOKUP($B21,DATA!$B$7:$AV$679,9,0)</f>
        <v>2021</v>
      </c>
      <c r="F21" s="1216" t="str">
        <f>VLOOKUP($B21,DATA!$B$7:$AV$679,12,0)</f>
        <v>3886/QĐ-UBND ngày 31/10/2018</v>
      </c>
      <c r="G21" s="1568">
        <f>VLOOKUP($B21,DATA!$B$7:$AV$679,13,0)</f>
        <v>6000</v>
      </c>
      <c r="H21" s="1568">
        <f>VLOOKUP($B21,DATA!$B$7:$AV$679,15,0)</f>
        <v>3600</v>
      </c>
      <c r="I21" s="1568">
        <f>VLOOKUP($B21,DATA!$B$7:$AV$679,29,0)</f>
        <v>2160</v>
      </c>
      <c r="J21" s="1568">
        <f>VLOOKUP($B21,DATA!$B$7:$AV$679,29,0)</f>
        <v>2160</v>
      </c>
      <c r="K21" s="1569">
        <f>VLOOKUP($B21,DATA!$B$7:$AV$679,35,0)+1080</f>
        <v>2160</v>
      </c>
      <c r="L21" s="1569">
        <f>VLOOKUP($B21,DATA!$B$7:$AV$679,36,0)+1080</f>
        <v>2160</v>
      </c>
      <c r="M21" s="1569">
        <v>1260</v>
      </c>
      <c r="N21" s="1572">
        <v>1080</v>
      </c>
      <c r="O21" s="1563">
        <v>3420</v>
      </c>
      <c r="P21" s="1563">
        <v>3420</v>
      </c>
      <c r="Q21" s="1563">
        <v>2160</v>
      </c>
      <c r="R21" s="1563">
        <v>2160</v>
      </c>
      <c r="S21" s="1563">
        <v>1260</v>
      </c>
      <c r="T21" s="1571">
        <f t="shared" si="3"/>
        <v>3420</v>
      </c>
      <c r="U21" s="1571">
        <f t="shared" si="4"/>
        <v>3420</v>
      </c>
      <c r="V21" s="1650">
        <f t="shared" si="6"/>
        <v>180</v>
      </c>
      <c r="W21" s="1218"/>
      <c r="X21" s="59" t="s">
        <v>1629</v>
      </c>
    </row>
    <row r="22" spans="1:25" ht="46.5" customHeight="1">
      <c r="A22" s="500">
        <v>12</v>
      </c>
      <c r="B22" s="310" t="s">
        <v>1605</v>
      </c>
      <c r="C22" s="1216" t="str">
        <f>VLOOKUP($B22,DATA!$B$7:$AV$679,6,0)</f>
        <v>Quảng Ninh</v>
      </c>
      <c r="D22" s="1230">
        <f>VLOOKUP($B22,DATA!$B$7:$AV$679,7,0)</f>
        <v>2019</v>
      </c>
      <c r="E22" s="1230">
        <f>VLOOKUP($B22,DATA!$B$7:$AV$679,9,0)</f>
        <v>2021</v>
      </c>
      <c r="F22" s="1216" t="str">
        <f>VLOOKUP($B22,DATA!$B$7:$AV$679,12,0)</f>
        <v>3869/QĐ-UBND ngày 31/10/2018</v>
      </c>
      <c r="G22" s="1568">
        <f>VLOOKUP($B22,DATA!$B$7:$AV$679,13,0)</f>
        <v>6700</v>
      </c>
      <c r="H22" s="1568">
        <f>VLOOKUP($B22,DATA!$B$7:$AV$679,15,0)</f>
        <v>4020</v>
      </c>
      <c r="I22" s="1568">
        <f>VLOOKUP($B22,DATA!$B$7:$AV$679,29,0)</f>
        <v>2412</v>
      </c>
      <c r="J22" s="1568">
        <f>VLOOKUP($B22,DATA!$B$7:$AV$679,29,0)</f>
        <v>2412</v>
      </c>
      <c r="K22" s="1568">
        <f>VLOOKUP($B22,DATA!$B$7:$AV$679,35,0)</f>
        <v>1206</v>
      </c>
      <c r="L22" s="1568">
        <f>VLOOKUP($B22,DATA!$B$7:$AV$679,36,0)</f>
        <v>1206</v>
      </c>
      <c r="M22" s="1568">
        <f t="shared" si="5"/>
        <v>1407</v>
      </c>
      <c r="N22" s="1572"/>
      <c r="O22" s="1563">
        <v>2613</v>
      </c>
      <c r="P22" s="1563">
        <v>2613</v>
      </c>
      <c r="Q22" s="1563">
        <v>1206</v>
      </c>
      <c r="R22" s="1563">
        <v>1206</v>
      </c>
      <c r="S22" s="1563">
        <v>1407</v>
      </c>
      <c r="T22" s="1571">
        <f t="shared" si="3"/>
        <v>2613</v>
      </c>
      <c r="U22" s="1571">
        <f t="shared" si="4"/>
        <v>2613</v>
      </c>
      <c r="V22" s="1650">
        <f t="shared" si="6"/>
        <v>1407</v>
      </c>
      <c r="W22" s="1218"/>
      <c r="X22" s="59" t="s">
        <v>631</v>
      </c>
    </row>
    <row r="23" spans="1:25" ht="46.5" customHeight="1">
      <c r="A23" s="500">
        <v>13</v>
      </c>
      <c r="B23" s="310" t="s">
        <v>1618</v>
      </c>
      <c r="C23" s="1216" t="str">
        <f>VLOOKUP($B23,DATA!$B$7:$AV$679,6,0)</f>
        <v>Quảng Ninh</v>
      </c>
      <c r="D23" s="1230">
        <f>VLOOKUP($B23,DATA!$B$7:$AV$679,7,0)</f>
        <v>2019</v>
      </c>
      <c r="E23" s="1230">
        <f>VLOOKUP($B23,DATA!$B$7:$AV$679,9,0)</f>
        <v>2021</v>
      </c>
      <c r="F23" s="1216" t="str">
        <f>VLOOKUP($B23,DATA!$B$7:$AV$679,12,0)</f>
        <v>3794/QĐ-UBND ngày 31/10/2018</v>
      </c>
      <c r="G23" s="1568">
        <f>VLOOKUP($B23,DATA!$B$7:$AV$679,13,0)</f>
        <v>8000</v>
      </c>
      <c r="H23" s="1568">
        <f>VLOOKUP($B23,DATA!$B$7:$AV$679,15,0)</f>
        <v>4800</v>
      </c>
      <c r="I23" s="1568">
        <f>VLOOKUP($B23,DATA!$B$7:$AV$679,29,0)</f>
        <v>2880</v>
      </c>
      <c r="J23" s="1568">
        <f>VLOOKUP($B23,DATA!$B$7:$AV$679,29,0)</f>
        <v>2880</v>
      </c>
      <c r="K23" s="1568">
        <f>VLOOKUP($B23,DATA!$B$7:$AV$679,35,0)</f>
        <v>1440</v>
      </c>
      <c r="L23" s="1568">
        <f>VLOOKUP($B23,DATA!$B$7:$AV$679,36,0)</f>
        <v>1440</v>
      </c>
      <c r="M23" s="1568">
        <f t="shared" si="5"/>
        <v>1680</v>
      </c>
      <c r="N23" s="1572"/>
      <c r="O23" s="1563">
        <v>3120</v>
      </c>
      <c r="P23" s="1563">
        <v>3120</v>
      </c>
      <c r="Q23" s="1563">
        <v>1440</v>
      </c>
      <c r="R23" s="1563">
        <v>1440</v>
      </c>
      <c r="S23" s="1563">
        <v>1680</v>
      </c>
      <c r="T23" s="1571">
        <f t="shared" si="3"/>
        <v>3120</v>
      </c>
      <c r="U23" s="1571">
        <f t="shared" si="4"/>
        <v>3120</v>
      </c>
      <c r="V23" s="1650">
        <f t="shared" si="6"/>
        <v>1680</v>
      </c>
      <c r="W23" s="1218"/>
      <c r="X23" s="59" t="s">
        <v>631</v>
      </c>
    </row>
    <row r="24" spans="1:25" ht="46.5" customHeight="1">
      <c r="A24" s="500">
        <v>14</v>
      </c>
      <c r="B24" s="545" t="s">
        <v>1689</v>
      </c>
      <c r="C24" s="1216" t="str">
        <f>VLOOKUP($B24,DATA!$B$7:$AV$679,6,0)</f>
        <v>Ba Đồn</v>
      </c>
      <c r="D24" s="1230">
        <f>VLOOKUP($B24,DATA!$B$7:$AV$679,7,0)</f>
        <v>2019</v>
      </c>
      <c r="E24" s="1230">
        <f>VLOOKUP($B24,DATA!$B$7:$AV$679,9,0)</f>
        <v>2021</v>
      </c>
      <c r="F24" s="1216" t="str">
        <f>VLOOKUP($B24,DATA!$B$7:$AV$679,12,0)</f>
        <v>3727/QĐ-UBND ngày 30/10/2018</v>
      </c>
      <c r="G24" s="1568">
        <f>VLOOKUP($B24,DATA!$B$7:$AV$679,13,0)</f>
        <v>8000</v>
      </c>
      <c r="H24" s="1568">
        <f>VLOOKUP($B24,DATA!$B$7:$AV$679,15,0)</f>
        <v>4800</v>
      </c>
      <c r="I24" s="1568">
        <f>VLOOKUP($B24,DATA!$B$7:$AV$679,29,0)</f>
        <v>2880</v>
      </c>
      <c r="J24" s="1568">
        <f>VLOOKUP($B24,DATA!$B$7:$AV$679,29,0)</f>
        <v>2880</v>
      </c>
      <c r="K24" s="1569">
        <f>VLOOKUP($B24,DATA!$B$7:$AV$679,35,0)+1440</f>
        <v>2880</v>
      </c>
      <c r="L24" s="1569">
        <f>VLOOKUP($B24,DATA!$B$7:$AV$679,36,0)+1440</f>
        <v>2880</v>
      </c>
      <c r="M24" s="1569">
        <v>1680</v>
      </c>
      <c r="N24" s="20">
        <v>1440</v>
      </c>
      <c r="O24" s="1231">
        <v>4560</v>
      </c>
      <c r="P24" s="1231">
        <v>4560</v>
      </c>
      <c r="Q24" s="1231">
        <v>2880</v>
      </c>
      <c r="R24" s="1231">
        <v>2880</v>
      </c>
      <c r="S24" s="1231">
        <v>1680</v>
      </c>
      <c r="T24" s="1571">
        <f t="shared" si="3"/>
        <v>4560</v>
      </c>
      <c r="U24" s="1571">
        <f t="shared" si="4"/>
        <v>4560</v>
      </c>
      <c r="V24" s="1650">
        <f t="shared" si="6"/>
        <v>240</v>
      </c>
      <c r="W24" s="1218"/>
      <c r="X24" s="59" t="s">
        <v>1691</v>
      </c>
    </row>
    <row r="25" spans="1:25" ht="46.5" customHeight="1">
      <c r="A25" s="500">
        <v>15</v>
      </c>
      <c r="B25" s="547" t="s">
        <v>1580</v>
      </c>
      <c r="C25" s="1216" t="str">
        <f>VLOOKUP($B25,DATA!$B$7:$AV$679,6,0)</f>
        <v>Quảng Ninh</v>
      </c>
      <c r="D25" s="1230">
        <f>VLOOKUP($B25,DATA!$B$7:$AV$679,7,0)</f>
        <v>2019</v>
      </c>
      <c r="E25" s="1230">
        <f>VLOOKUP($B25,DATA!$B$7:$AV$679,9,0)</f>
        <v>2021</v>
      </c>
      <c r="F25" s="1216" t="str">
        <f>VLOOKUP($B25,DATA!$B$7:$AV$679,12,0)</f>
        <v>3951/QĐ-UBND ngày 31/10/2017</v>
      </c>
      <c r="G25" s="1568">
        <f>VLOOKUP($B25,DATA!$B$7:$AV$679,13,0)</f>
        <v>8500</v>
      </c>
      <c r="H25" s="1568">
        <f>VLOOKUP($B25,DATA!$B$7:$AV$679,15,0)</f>
        <v>5100</v>
      </c>
      <c r="I25" s="1568">
        <f>VLOOKUP($B25,DATA!$B$7:$AV$679,29,0)</f>
        <v>3060</v>
      </c>
      <c r="J25" s="1568">
        <f>VLOOKUP($B25,DATA!$B$7:$AV$679,29,0)</f>
        <v>3060</v>
      </c>
      <c r="K25" s="1568">
        <f>VLOOKUP($B25,DATA!$B$7:$AV$679,35,0)</f>
        <v>1530</v>
      </c>
      <c r="L25" s="1568">
        <f>VLOOKUP($B25,DATA!$B$7:$AV$679,36,0)</f>
        <v>1530</v>
      </c>
      <c r="M25" s="1568">
        <f t="shared" si="5"/>
        <v>1785</v>
      </c>
      <c r="N25" s="1572"/>
      <c r="O25" s="1563">
        <v>3315</v>
      </c>
      <c r="P25" s="1563">
        <v>3315</v>
      </c>
      <c r="Q25" s="1563">
        <v>1530</v>
      </c>
      <c r="R25" s="1563">
        <v>1530</v>
      </c>
      <c r="S25" s="1563">
        <v>1785</v>
      </c>
      <c r="T25" s="1571">
        <f t="shared" si="3"/>
        <v>3315</v>
      </c>
      <c r="U25" s="1571">
        <f t="shared" si="4"/>
        <v>3315</v>
      </c>
      <c r="V25" s="1650">
        <f t="shared" si="6"/>
        <v>1785</v>
      </c>
      <c r="W25" s="1218"/>
      <c r="X25" s="59" t="s">
        <v>631</v>
      </c>
    </row>
    <row r="26" spans="1:25" ht="46.5" customHeight="1">
      <c r="A26" s="500">
        <v>16</v>
      </c>
      <c r="B26" s="310" t="s">
        <v>1623</v>
      </c>
      <c r="C26" s="1216" t="str">
        <f>VLOOKUP($B26,DATA!$B$7:$AV$679,6,0)</f>
        <v>Quảng Trạch</v>
      </c>
      <c r="D26" s="1230">
        <f>VLOOKUP($B26,DATA!$B$7:$AV$679,7,0)</f>
        <v>2019</v>
      </c>
      <c r="E26" s="1230">
        <f>VLOOKUP($B26,DATA!$B$7:$AV$679,9,0)</f>
        <v>2021</v>
      </c>
      <c r="F26" s="1216" t="str">
        <f>VLOOKUP($B26,DATA!$B$7:$AV$679,12,0)</f>
        <v>3788/QĐ-UBND ngày 31/10/2018</v>
      </c>
      <c r="G26" s="1568">
        <f>VLOOKUP($B26,DATA!$B$7:$AV$679,13,0)</f>
        <v>9500</v>
      </c>
      <c r="H26" s="1568">
        <f>VLOOKUP($B26,DATA!$B$7:$AV$679,15,0)</f>
        <v>5700</v>
      </c>
      <c r="I26" s="1568">
        <f>VLOOKUP($B26,DATA!$B$7:$AV$679,29,0)</f>
        <v>3420</v>
      </c>
      <c r="J26" s="1568">
        <f>VLOOKUP($B26,DATA!$B$7:$AV$679,29,0)</f>
        <v>3420</v>
      </c>
      <c r="K26" s="1568">
        <f>VLOOKUP($B26,DATA!$B$7:$AV$679,35,0)</f>
        <v>1710</v>
      </c>
      <c r="L26" s="1568">
        <f>VLOOKUP($B26,DATA!$B$7:$AV$679,36,0)</f>
        <v>1710</v>
      </c>
      <c r="M26" s="1568">
        <f t="shared" si="5"/>
        <v>1995</v>
      </c>
      <c r="N26" s="1572"/>
      <c r="O26" s="1563">
        <v>3705</v>
      </c>
      <c r="P26" s="1563">
        <v>3705</v>
      </c>
      <c r="Q26" s="1563">
        <v>1710</v>
      </c>
      <c r="R26" s="1563">
        <v>1710</v>
      </c>
      <c r="S26" s="1563">
        <v>1995</v>
      </c>
      <c r="T26" s="1571">
        <f t="shared" si="3"/>
        <v>3705</v>
      </c>
      <c r="U26" s="1571">
        <f t="shared" si="4"/>
        <v>3705</v>
      </c>
      <c r="V26" s="1650">
        <f t="shared" si="6"/>
        <v>1995</v>
      </c>
      <c r="W26" s="1218"/>
      <c r="X26" s="59" t="s">
        <v>774</v>
      </c>
    </row>
    <row r="27" spans="1:25" ht="72" customHeight="1">
      <c r="A27" s="500">
        <v>17</v>
      </c>
      <c r="B27" s="1460" t="s">
        <v>1584</v>
      </c>
      <c r="C27" s="1216" t="str">
        <f>VLOOKUP($B27,DATA!$B$7:$AV$679,6,0)</f>
        <v>Quảng Trạch</v>
      </c>
      <c r="D27" s="1230">
        <f>VLOOKUP($B27,DATA!$B$7:$AV$679,7,0)</f>
        <v>2019</v>
      </c>
      <c r="E27" s="1230">
        <f>VLOOKUP($B27,DATA!$B$7:$AV$679,9,0)</f>
        <v>2021</v>
      </c>
      <c r="F27" s="1216" t="str">
        <f>VLOOKUP($B27,DATA!$B$7:$AV$679,12,0)</f>
        <v>3694/QĐ-UBND ngày 30/10/2018</v>
      </c>
      <c r="G27" s="1568">
        <f>VLOOKUP($B27,DATA!$B$7:$AV$679,13,0)</f>
        <v>15000</v>
      </c>
      <c r="H27" s="1568">
        <f>VLOOKUP($B27,DATA!$B$7:$AV$679,15,0)</f>
        <v>9000</v>
      </c>
      <c r="I27" s="1568">
        <f>VLOOKUP($B27,DATA!$B$7:$AV$679,29,0)</f>
        <v>5400</v>
      </c>
      <c r="J27" s="1568">
        <f>VLOOKUP($B27,DATA!$B$7:$AV$679,29,0)</f>
        <v>5400</v>
      </c>
      <c r="K27" s="1569">
        <f>VLOOKUP($B27,DATA!$B$7:$AV$679,35,0)+2700</f>
        <v>5400</v>
      </c>
      <c r="L27" s="1569">
        <f>VLOOKUP($B27,DATA!$B$7:$AV$679,36,0)+2700</f>
        <v>5400</v>
      </c>
      <c r="M27" s="1569">
        <v>3150</v>
      </c>
      <c r="N27" s="1572">
        <v>2700</v>
      </c>
      <c r="O27" s="1563">
        <v>8550</v>
      </c>
      <c r="P27" s="1563">
        <v>8550</v>
      </c>
      <c r="Q27" s="1563">
        <v>5400</v>
      </c>
      <c r="R27" s="1563">
        <v>5400</v>
      </c>
      <c r="S27" s="1563">
        <v>3150</v>
      </c>
      <c r="T27" s="1571">
        <f t="shared" si="3"/>
        <v>8550</v>
      </c>
      <c r="U27" s="1571">
        <f t="shared" si="4"/>
        <v>8550</v>
      </c>
      <c r="V27" s="1650">
        <f t="shared" si="6"/>
        <v>450</v>
      </c>
      <c r="W27" s="1218"/>
      <c r="X27" s="59" t="s">
        <v>1307</v>
      </c>
    </row>
    <row r="28" spans="1:25" ht="50.25" customHeight="1">
      <c r="A28" s="500">
        <v>18</v>
      </c>
      <c r="B28" s="310" t="s">
        <v>1774</v>
      </c>
      <c r="C28" s="1216" t="str">
        <f>VLOOKUP($B28,DATA!$B$7:$AV$679,6,0)</f>
        <v>Minh Hóa</v>
      </c>
      <c r="D28" s="1230">
        <f>VLOOKUP($B28,DATA!$B$7:$AV$679,7,0)</f>
        <v>2019</v>
      </c>
      <c r="E28" s="1230">
        <f>VLOOKUP($B28,DATA!$B$7:$AV$679,9,0)</f>
        <v>2021</v>
      </c>
      <c r="F28" s="1216" t="str">
        <f>VLOOKUP($B28,DATA!$B$7:$AV$679,12,0)</f>
        <v xml:space="preserve">3836/QĐ-UBND ngày 31/10/2018 </v>
      </c>
      <c r="G28" s="1568">
        <f>VLOOKUP($B28,DATA!$B$7:$AV$679,13,0)</f>
        <v>1500</v>
      </c>
      <c r="H28" s="1568">
        <f>VLOOKUP($B28,DATA!$B$7:$AV$679,15,0)</f>
        <v>900</v>
      </c>
      <c r="I28" s="1568">
        <f>VLOOKUP($B28,DATA!$B$7:$AV$679,29,0)</f>
        <v>900</v>
      </c>
      <c r="J28" s="1568">
        <f>VLOOKUP($B28,DATA!$B$7:$AV$679,29,0)</f>
        <v>900</v>
      </c>
      <c r="K28" s="1568">
        <f>VLOOKUP($B28,DATA!$B$7:$AV$679,35,0)</f>
        <v>450</v>
      </c>
      <c r="L28" s="1568">
        <f>VLOOKUP($B28,DATA!$B$7:$AV$679,36,0)</f>
        <v>450</v>
      </c>
      <c r="M28" s="1568">
        <f t="shared" si="5"/>
        <v>225</v>
      </c>
      <c r="N28" s="1572"/>
      <c r="O28" s="1563">
        <v>675</v>
      </c>
      <c r="P28" s="1563">
        <v>675</v>
      </c>
      <c r="Q28" s="1563">
        <v>450</v>
      </c>
      <c r="R28" s="1563">
        <v>450</v>
      </c>
      <c r="S28" s="1563">
        <v>225</v>
      </c>
      <c r="T28" s="1571">
        <f t="shared" si="3"/>
        <v>675</v>
      </c>
      <c r="U28" s="1571">
        <f t="shared" si="4"/>
        <v>675</v>
      </c>
      <c r="V28" s="1650">
        <f t="shared" si="6"/>
        <v>225</v>
      </c>
      <c r="W28" s="1218"/>
      <c r="X28" s="59" t="s">
        <v>1679</v>
      </c>
    </row>
    <row r="29" spans="1:25" ht="50.25" customHeight="1">
      <c r="A29" s="500">
        <v>19</v>
      </c>
      <c r="B29" s="310" t="s">
        <v>1793</v>
      </c>
      <c r="C29" s="1216" t="str">
        <f>VLOOKUP($B29,DATA!$B$7:$AV$679,6,0)</f>
        <v>Đồng Hới</v>
      </c>
      <c r="D29" s="1230">
        <f>VLOOKUP($B29,DATA!$B$7:$AV$679,7,0)</f>
        <v>2019</v>
      </c>
      <c r="E29" s="1230">
        <f>VLOOKUP($B29,DATA!$B$7:$AV$679,9,0)</f>
        <v>2021</v>
      </c>
      <c r="F29" s="1216" t="str">
        <f>VLOOKUP($B29,DATA!$B$7:$AV$679,12,0)</f>
        <v>3832/QĐ-UBND ngày 31/10/2018</v>
      </c>
      <c r="G29" s="1568">
        <f>VLOOKUP($B29,DATA!$B$7:$AV$679,13,0)</f>
        <v>1700</v>
      </c>
      <c r="H29" s="1568">
        <f>VLOOKUP($B29,DATA!$B$7:$AV$679,15,0)</f>
        <v>1700</v>
      </c>
      <c r="I29" s="1568">
        <f>VLOOKUP($B29,DATA!$B$7:$AV$679,29,0)</f>
        <v>1700</v>
      </c>
      <c r="J29" s="1568">
        <f>VLOOKUP($B29,DATA!$B$7:$AV$679,29,0)</f>
        <v>1700</v>
      </c>
      <c r="K29" s="1568">
        <f>VLOOKUP($B29,DATA!$B$7:$AV$679,35,0)</f>
        <v>850</v>
      </c>
      <c r="L29" s="1568">
        <f>VLOOKUP($B29,DATA!$B$7:$AV$679,36,0)</f>
        <v>850</v>
      </c>
      <c r="M29" s="1568">
        <f t="shared" si="5"/>
        <v>425</v>
      </c>
      <c r="N29" s="1572"/>
      <c r="O29" s="1563">
        <v>1275</v>
      </c>
      <c r="P29" s="1563">
        <v>1275</v>
      </c>
      <c r="Q29" s="1563">
        <v>850</v>
      </c>
      <c r="R29" s="1563">
        <v>850</v>
      </c>
      <c r="S29" s="1563">
        <v>425</v>
      </c>
      <c r="T29" s="1571">
        <f t="shared" si="3"/>
        <v>1275</v>
      </c>
      <c r="U29" s="1571">
        <f t="shared" si="4"/>
        <v>1275</v>
      </c>
      <c r="V29" s="1650">
        <f>H29*0.9-U29</f>
        <v>255</v>
      </c>
      <c r="W29" s="1218"/>
      <c r="X29" s="59" t="s">
        <v>1796</v>
      </c>
    </row>
    <row r="30" spans="1:25" ht="50.25" customHeight="1">
      <c r="A30" s="500">
        <v>20</v>
      </c>
      <c r="B30" s="547" t="s">
        <v>1770</v>
      </c>
      <c r="C30" s="1216" t="str">
        <f>VLOOKUP($B30,DATA!$B$7:$AV$679,6,0)</f>
        <v>Tuyên Hóa</v>
      </c>
      <c r="D30" s="1230">
        <f>VLOOKUP($B30,DATA!$B$7:$AV$679,7,0)</f>
        <v>2019</v>
      </c>
      <c r="E30" s="1230">
        <f>VLOOKUP($B30,DATA!$B$7:$AV$679,9,0)</f>
        <v>2021</v>
      </c>
      <c r="F30" s="1216" t="str">
        <f>VLOOKUP($B30,DATA!$B$7:$AV$679,12,0)</f>
        <v xml:space="preserve">3859/QĐ-UBND ngày 31/10/2018 </v>
      </c>
      <c r="G30" s="1568">
        <f>VLOOKUP($B30,DATA!$B$7:$AV$679,13,0)</f>
        <v>2000</v>
      </c>
      <c r="H30" s="1568">
        <f>VLOOKUP($B30,DATA!$B$7:$AV$679,15,0)</f>
        <v>2000</v>
      </c>
      <c r="I30" s="1568">
        <f>VLOOKUP($B30,DATA!$B$7:$AV$679,29,0)</f>
        <v>2000</v>
      </c>
      <c r="J30" s="1568">
        <f>VLOOKUP($B30,DATA!$B$7:$AV$679,29,0)</f>
        <v>2000</v>
      </c>
      <c r="K30" s="1568">
        <f>VLOOKUP($B30,DATA!$B$7:$AV$679,35,0)</f>
        <v>1000</v>
      </c>
      <c r="L30" s="1568">
        <f>VLOOKUP($B30,DATA!$B$7:$AV$679,36,0)</f>
        <v>1000</v>
      </c>
      <c r="M30" s="1568">
        <f t="shared" si="5"/>
        <v>500</v>
      </c>
      <c r="N30" s="1572"/>
      <c r="O30" s="1563">
        <v>1500</v>
      </c>
      <c r="P30" s="1563">
        <v>1500</v>
      </c>
      <c r="Q30" s="1563">
        <v>1000</v>
      </c>
      <c r="R30" s="1563">
        <v>1000</v>
      </c>
      <c r="S30" s="1563">
        <v>500</v>
      </c>
      <c r="T30" s="1571">
        <f t="shared" si="3"/>
        <v>1500</v>
      </c>
      <c r="U30" s="1571">
        <f t="shared" si="4"/>
        <v>1500</v>
      </c>
      <c r="V30" s="1650">
        <f>H30*0.9-U30</f>
        <v>300</v>
      </c>
      <c r="W30" s="1218"/>
      <c r="X30" s="59" t="s">
        <v>512</v>
      </c>
      <c r="Y30" s="13" t="s">
        <v>2563</v>
      </c>
    </row>
    <row r="31" spans="1:25" ht="50.25" customHeight="1">
      <c r="A31" s="500">
        <v>21</v>
      </c>
      <c r="B31" s="310" t="s">
        <v>1738</v>
      </c>
      <c r="C31" s="1216" t="str">
        <f>VLOOKUP($B31,DATA!$B$7:$AV$679,6,0)</f>
        <v>Quảng Ninh</v>
      </c>
      <c r="D31" s="1230">
        <f>VLOOKUP($B31,DATA!$B$7:$AV$679,7,0)</f>
        <v>2019</v>
      </c>
      <c r="E31" s="1230">
        <f>VLOOKUP($B31,DATA!$B$7:$AV$679,9,0)</f>
        <v>2021</v>
      </c>
      <c r="F31" s="1216" t="str">
        <f>VLOOKUP($B31,DATA!$B$7:$AV$679,12,0)</f>
        <v>3834/QĐ-UBND ngày 31/10/2018</v>
      </c>
      <c r="G31" s="1568">
        <f>VLOOKUP($B31,DATA!$B$7:$AV$679,13,0)</f>
        <v>3500</v>
      </c>
      <c r="H31" s="1568">
        <f>VLOOKUP($B31,DATA!$B$7:$AV$679,15,0)</f>
        <v>2100</v>
      </c>
      <c r="I31" s="1568">
        <f>VLOOKUP($B31,DATA!$B$7:$AV$679,29,0)</f>
        <v>1260</v>
      </c>
      <c r="J31" s="1568">
        <f>VLOOKUP($B31,DATA!$B$7:$AV$679,29,0)</f>
        <v>1260</v>
      </c>
      <c r="K31" s="1568">
        <f>VLOOKUP($B31,DATA!$B$7:$AV$679,35,0)</f>
        <v>630</v>
      </c>
      <c r="L31" s="1568">
        <f>VLOOKUP($B31,DATA!$B$7:$AV$679,36,0)</f>
        <v>630</v>
      </c>
      <c r="M31" s="1568">
        <f t="shared" si="5"/>
        <v>735</v>
      </c>
      <c r="N31" s="1572"/>
      <c r="O31" s="1563">
        <v>1365</v>
      </c>
      <c r="P31" s="1563">
        <v>1365</v>
      </c>
      <c r="Q31" s="1563">
        <v>630</v>
      </c>
      <c r="R31" s="1563">
        <v>630</v>
      </c>
      <c r="S31" s="1563">
        <v>735</v>
      </c>
      <c r="T31" s="1571">
        <f t="shared" si="3"/>
        <v>1365</v>
      </c>
      <c r="U31" s="1571">
        <f t="shared" si="4"/>
        <v>1365</v>
      </c>
      <c r="V31" s="1650">
        <f t="shared" ref="V31:V39" si="7">H31-U31</f>
        <v>735</v>
      </c>
      <c r="W31" s="1218"/>
      <c r="X31" s="59" t="s">
        <v>631</v>
      </c>
    </row>
    <row r="32" spans="1:25" ht="70.5" customHeight="1">
      <c r="A32" s="500">
        <v>22</v>
      </c>
      <c r="B32" s="310" t="s">
        <v>1762</v>
      </c>
      <c r="C32" s="1216" t="str">
        <f>VLOOKUP($B32,DATA!$B$7:$AV$679,6,0)</f>
        <v>Lệ Thủy</v>
      </c>
      <c r="D32" s="1230">
        <f>VLOOKUP($B32,DATA!$B$7:$AV$679,7,0)</f>
        <v>2019</v>
      </c>
      <c r="E32" s="1230">
        <f>VLOOKUP($B32,DATA!$B$7:$AV$679,9,0)</f>
        <v>2021</v>
      </c>
      <c r="F32" s="1216" t="str">
        <f>VLOOKUP($B32,DATA!$B$7:$AV$679,12,0)</f>
        <v>3797/QĐ-UBND ngày 31/10/2018</v>
      </c>
      <c r="G32" s="1568">
        <f>VLOOKUP($B32,DATA!$B$7:$AV$679,13,0)</f>
        <v>3500</v>
      </c>
      <c r="H32" s="1568">
        <f>VLOOKUP($B32,DATA!$B$7:$AV$679,15,0)</f>
        <v>2100</v>
      </c>
      <c r="I32" s="1568">
        <f>VLOOKUP($B32,DATA!$B$7:$AV$679,29,0)</f>
        <v>1260</v>
      </c>
      <c r="J32" s="1568">
        <f>VLOOKUP($B32,DATA!$B$7:$AV$679,29,0)</f>
        <v>1260</v>
      </c>
      <c r="K32" s="1568">
        <f>VLOOKUP($B32,DATA!$B$7:$AV$679,35,0)</f>
        <v>630</v>
      </c>
      <c r="L32" s="1568">
        <f>VLOOKUP($B32,DATA!$B$7:$AV$679,36,0)</f>
        <v>630</v>
      </c>
      <c r="M32" s="1568">
        <f t="shared" si="5"/>
        <v>735</v>
      </c>
      <c r="N32" s="1572"/>
      <c r="O32" s="1563">
        <v>1365</v>
      </c>
      <c r="P32" s="1563">
        <v>1365</v>
      </c>
      <c r="Q32" s="1563">
        <v>630</v>
      </c>
      <c r="R32" s="1563">
        <v>630</v>
      </c>
      <c r="S32" s="1563">
        <v>735</v>
      </c>
      <c r="T32" s="1571">
        <f t="shared" si="3"/>
        <v>1365</v>
      </c>
      <c r="U32" s="1571">
        <f t="shared" si="4"/>
        <v>1365</v>
      </c>
      <c r="V32" s="1650">
        <f t="shared" si="7"/>
        <v>735</v>
      </c>
      <c r="W32" s="1218"/>
      <c r="X32" s="59" t="s">
        <v>944</v>
      </c>
    </row>
    <row r="33" spans="1:25" ht="62.25" customHeight="1">
      <c r="A33" s="500">
        <v>23</v>
      </c>
      <c r="B33" s="310" t="s">
        <v>1747</v>
      </c>
      <c r="C33" s="1216" t="str">
        <f>VLOOKUP($B33,DATA!$B$7:$AV$679,6,0)</f>
        <v>Đồng Hới</v>
      </c>
      <c r="D33" s="1230">
        <f>VLOOKUP($B33,DATA!$B$7:$AV$679,7,0)</f>
        <v>2019</v>
      </c>
      <c r="E33" s="1230">
        <f>VLOOKUP($B33,DATA!$B$7:$AV$679,9,0)</f>
        <v>2021</v>
      </c>
      <c r="F33" s="1216" t="str">
        <f>VLOOKUP($B33,DATA!$B$7:$AV$679,12,0)</f>
        <v>3881/QĐ-UBND ngày 31/10/2018</v>
      </c>
      <c r="G33" s="1568">
        <f>VLOOKUP($B33,DATA!$B$7:$AV$679,13,0)</f>
        <v>4000</v>
      </c>
      <c r="H33" s="1568">
        <f>VLOOKUP($B33,DATA!$B$7:$AV$679,15,0)</f>
        <v>2400</v>
      </c>
      <c r="I33" s="1568">
        <f>VLOOKUP($B33,DATA!$B$7:$AV$679,29,0)</f>
        <v>1440</v>
      </c>
      <c r="J33" s="1568">
        <f>VLOOKUP($B33,DATA!$B$7:$AV$679,29,0)</f>
        <v>1440</v>
      </c>
      <c r="K33" s="1568">
        <f>VLOOKUP($B33,DATA!$B$7:$AV$679,35,0)</f>
        <v>720</v>
      </c>
      <c r="L33" s="1568">
        <f>VLOOKUP($B33,DATA!$B$7:$AV$679,36,0)</f>
        <v>720</v>
      </c>
      <c r="M33" s="1568">
        <f t="shared" si="5"/>
        <v>840</v>
      </c>
      <c r="N33" s="1572"/>
      <c r="O33" s="1563">
        <v>1560</v>
      </c>
      <c r="P33" s="1563">
        <v>1560</v>
      </c>
      <c r="Q33" s="1563">
        <v>720</v>
      </c>
      <c r="R33" s="1563">
        <v>720</v>
      </c>
      <c r="S33" s="1563">
        <v>840</v>
      </c>
      <c r="T33" s="1571">
        <f t="shared" si="3"/>
        <v>1560</v>
      </c>
      <c r="U33" s="1571">
        <f t="shared" si="4"/>
        <v>1560</v>
      </c>
      <c r="V33" s="1650">
        <f t="shared" si="7"/>
        <v>840</v>
      </c>
      <c r="W33" s="1218"/>
      <c r="X33" s="59" t="s">
        <v>1750</v>
      </c>
    </row>
    <row r="34" spans="1:25" ht="45" customHeight="1">
      <c r="A34" s="500">
        <v>24</v>
      </c>
      <c r="B34" s="310" t="s">
        <v>2522</v>
      </c>
      <c r="C34" s="1216" t="str">
        <f>VLOOKUP($B34,DATA!$B$7:$AV$679,6,0)</f>
        <v>Quảng Ninh</v>
      </c>
      <c r="D34" s="1230">
        <f>VLOOKUP($B34,DATA!$B$7:$AV$679,7,0)</f>
        <v>2019</v>
      </c>
      <c r="E34" s="1230">
        <f>VLOOKUP($B34,DATA!$B$7:$AV$679,9,0)</f>
        <v>2021</v>
      </c>
      <c r="F34" s="1216" t="str">
        <f>VLOOKUP($B34,DATA!$B$7:$AV$679,12,0)</f>
        <v>3793/QĐ-UBND ngày 31/10/2018</v>
      </c>
      <c r="G34" s="1568">
        <f>VLOOKUP($B34,DATA!$B$7:$AV$679,13,0)</f>
        <v>4000</v>
      </c>
      <c r="H34" s="1568">
        <f>VLOOKUP($B34,DATA!$B$7:$AV$679,15,0)</f>
        <v>2400</v>
      </c>
      <c r="I34" s="1568">
        <f>VLOOKUP($B34,DATA!$B$7:$AV$679,29,0)</f>
        <v>1440</v>
      </c>
      <c r="J34" s="1568">
        <f>VLOOKUP($B34,DATA!$B$7:$AV$679,29,0)</f>
        <v>1440</v>
      </c>
      <c r="K34" s="1568">
        <f>VLOOKUP($B34,DATA!$B$7:$AV$679,35,0)</f>
        <v>720</v>
      </c>
      <c r="L34" s="1568">
        <f>VLOOKUP($B34,DATA!$B$7:$AV$679,36,0)</f>
        <v>720</v>
      </c>
      <c r="M34" s="1568">
        <f t="shared" si="5"/>
        <v>840</v>
      </c>
      <c r="N34" s="1572"/>
      <c r="O34" s="1563">
        <v>1560</v>
      </c>
      <c r="P34" s="1563">
        <v>1560</v>
      </c>
      <c r="Q34" s="1563">
        <v>720</v>
      </c>
      <c r="R34" s="1563">
        <v>720</v>
      </c>
      <c r="S34" s="1563">
        <v>840</v>
      </c>
      <c r="T34" s="1571">
        <f t="shared" si="3"/>
        <v>1560</v>
      </c>
      <c r="U34" s="1571">
        <f t="shared" si="4"/>
        <v>1560</v>
      </c>
      <c r="V34" s="1650">
        <f t="shared" si="7"/>
        <v>840</v>
      </c>
      <c r="W34" s="1218"/>
      <c r="X34" s="59" t="s">
        <v>956</v>
      </c>
    </row>
    <row r="35" spans="1:25" ht="45" customHeight="1">
      <c r="A35" s="500">
        <v>25</v>
      </c>
      <c r="B35" s="310" t="s">
        <v>1757</v>
      </c>
      <c r="C35" s="1216" t="str">
        <f>VLOOKUP($B35,DATA!$B$7:$AV$679,6,0)</f>
        <v>Lệ Thủy</v>
      </c>
      <c r="D35" s="1230">
        <f>VLOOKUP($B35,DATA!$B$7:$AV$679,7,0)</f>
        <v>2019</v>
      </c>
      <c r="E35" s="1230">
        <f>VLOOKUP($B35,DATA!$B$7:$AV$679,9,0)</f>
        <v>2021</v>
      </c>
      <c r="F35" s="1216" t="str">
        <f>VLOOKUP($B35,DATA!$B$7:$AV$679,12,0)</f>
        <v>3854a/QĐ-UBND ngày 31/10/2018</v>
      </c>
      <c r="G35" s="1568">
        <f>VLOOKUP($B35,DATA!$B$7:$AV$679,13,0)</f>
        <v>4000</v>
      </c>
      <c r="H35" s="1568">
        <f>VLOOKUP($B35,DATA!$B$7:$AV$679,15,0)</f>
        <v>2400</v>
      </c>
      <c r="I35" s="1568">
        <f>VLOOKUP($B35,DATA!$B$7:$AV$679,29,0)</f>
        <v>1440</v>
      </c>
      <c r="J35" s="1568">
        <f>VLOOKUP($B35,DATA!$B$7:$AV$679,29,0)</f>
        <v>1440</v>
      </c>
      <c r="K35" s="1568">
        <f>VLOOKUP($B35,DATA!$B$7:$AV$679,35,0)</f>
        <v>720</v>
      </c>
      <c r="L35" s="1568">
        <f>VLOOKUP($B35,DATA!$B$7:$AV$679,36,0)</f>
        <v>720</v>
      </c>
      <c r="M35" s="1568">
        <f t="shared" si="5"/>
        <v>840</v>
      </c>
      <c r="N35" s="1572"/>
      <c r="O35" s="1563">
        <v>1560</v>
      </c>
      <c r="P35" s="1563">
        <v>1560</v>
      </c>
      <c r="Q35" s="1563">
        <v>720</v>
      </c>
      <c r="R35" s="1563">
        <v>720</v>
      </c>
      <c r="S35" s="1563">
        <v>840</v>
      </c>
      <c r="T35" s="1571">
        <f t="shared" si="3"/>
        <v>1560</v>
      </c>
      <c r="U35" s="1571">
        <f t="shared" si="4"/>
        <v>1560</v>
      </c>
      <c r="V35" s="1650">
        <f t="shared" si="7"/>
        <v>840</v>
      </c>
      <c r="W35" s="1218"/>
      <c r="X35" s="59" t="s">
        <v>793</v>
      </c>
    </row>
    <row r="36" spans="1:25" ht="45" customHeight="1">
      <c r="A36" s="500">
        <v>26</v>
      </c>
      <c r="B36" s="310" t="s">
        <v>1657</v>
      </c>
      <c r="C36" s="1216" t="str">
        <f>VLOOKUP($B36,DATA!$B$7:$AV$679,6,0)</f>
        <v>Quảng Trạch</v>
      </c>
      <c r="D36" s="1230">
        <f>VLOOKUP($B36,DATA!$B$7:$AV$679,7,0)</f>
        <v>2019</v>
      </c>
      <c r="E36" s="1230">
        <f>VLOOKUP($B36,DATA!$B$7:$AV$679,9,0)</f>
        <v>2021</v>
      </c>
      <c r="F36" s="1216" t="str">
        <f>VLOOKUP($B36,DATA!$B$7:$AV$679,12,0)</f>
        <v>3520/QĐ-UBND ngày 23/10/2018</v>
      </c>
      <c r="G36" s="1568">
        <f>VLOOKUP($B36,DATA!$B$7:$AV$679,13,0)</f>
        <v>5000</v>
      </c>
      <c r="H36" s="1568">
        <f>VLOOKUP($B36,DATA!$B$7:$AV$679,15,0)</f>
        <v>3000</v>
      </c>
      <c r="I36" s="1568">
        <f>VLOOKUP($B36,DATA!$B$7:$AV$679,29,0)</f>
        <v>1800</v>
      </c>
      <c r="J36" s="1568">
        <f>VLOOKUP($B36,DATA!$B$7:$AV$679,29,0)</f>
        <v>1800</v>
      </c>
      <c r="K36" s="1568">
        <f>VLOOKUP($B36,DATA!$B$7:$AV$679,35,0)</f>
        <v>900</v>
      </c>
      <c r="L36" s="1568">
        <f>VLOOKUP($B36,DATA!$B$7:$AV$679,36,0)</f>
        <v>900</v>
      </c>
      <c r="M36" s="1568">
        <f t="shared" si="5"/>
        <v>1050</v>
      </c>
      <c r="N36" s="1572"/>
      <c r="O36" s="1563">
        <v>1950</v>
      </c>
      <c r="P36" s="1563">
        <v>1950</v>
      </c>
      <c r="Q36" s="1563">
        <v>900</v>
      </c>
      <c r="R36" s="1563">
        <v>900</v>
      </c>
      <c r="S36" s="1563">
        <v>1050</v>
      </c>
      <c r="T36" s="1571">
        <f t="shared" si="3"/>
        <v>1950</v>
      </c>
      <c r="U36" s="1571">
        <f t="shared" si="4"/>
        <v>1950</v>
      </c>
      <c r="V36" s="1650">
        <f t="shared" si="7"/>
        <v>1050</v>
      </c>
      <c r="W36" s="1218"/>
      <c r="X36" s="59" t="s">
        <v>994</v>
      </c>
    </row>
    <row r="37" spans="1:25" ht="45" customHeight="1">
      <c r="A37" s="500">
        <v>27</v>
      </c>
      <c r="B37" s="310" t="s">
        <v>1721</v>
      </c>
      <c r="C37" s="1216" t="str">
        <f>VLOOKUP($B37,DATA!$B$7:$AV$679,6,0)</f>
        <v>Bố Trạch</v>
      </c>
      <c r="D37" s="1230">
        <f>VLOOKUP($B37,DATA!$B$7:$AV$679,7,0)</f>
        <v>2019</v>
      </c>
      <c r="E37" s="1230">
        <f>VLOOKUP($B37,DATA!$B$7:$AV$679,9,0)</f>
        <v>2021</v>
      </c>
      <c r="F37" s="1216" t="str">
        <f>VLOOKUP($B37,DATA!$B$7:$AV$679,12,0)</f>
        <v>3730/QĐ-UBND ngày 30/10/2018</v>
      </c>
      <c r="G37" s="1568">
        <f>VLOOKUP($B37,DATA!$B$7:$AV$679,13,0)</f>
        <v>5000</v>
      </c>
      <c r="H37" s="1568">
        <f>VLOOKUP($B37,DATA!$B$7:$AV$679,15,0)</f>
        <v>3000</v>
      </c>
      <c r="I37" s="1568">
        <f>VLOOKUP($B37,DATA!$B$7:$AV$679,29,0)</f>
        <v>1800</v>
      </c>
      <c r="J37" s="1568">
        <f>VLOOKUP($B37,DATA!$B$7:$AV$679,29,0)</f>
        <v>1800</v>
      </c>
      <c r="K37" s="1568">
        <f>VLOOKUP($B37,DATA!$B$7:$AV$679,35,0)</f>
        <v>900</v>
      </c>
      <c r="L37" s="1568">
        <f>VLOOKUP($B37,DATA!$B$7:$AV$679,36,0)</f>
        <v>900</v>
      </c>
      <c r="M37" s="1568">
        <f t="shared" si="5"/>
        <v>1050</v>
      </c>
      <c r="N37" s="1572"/>
      <c r="O37" s="1563">
        <v>1950</v>
      </c>
      <c r="P37" s="1563">
        <v>1950</v>
      </c>
      <c r="Q37" s="1563">
        <v>900</v>
      </c>
      <c r="R37" s="1563">
        <v>900</v>
      </c>
      <c r="S37" s="1563">
        <v>1050</v>
      </c>
      <c r="T37" s="1571">
        <f t="shared" si="3"/>
        <v>1950</v>
      </c>
      <c r="U37" s="1571">
        <f t="shared" si="4"/>
        <v>1950</v>
      </c>
      <c r="V37" s="1650">
        <f t="shared" si="7"/>
        <v>1050</v>
      </c>
      <c r="W37" s="1218"/>
      <c r="X37" s="1221" t="s">
        <v>999</v>
      </c>
    </row>
    <row r="38" spans="1:25" ht="45" customHeight="1">
      <c r="A38" s="500">
        <v>28</v>
      </c>
      <c r="B38" s="547" t="s">
        <v>1798</v>
      </c>
      <c r="C38" s="1216" t="str">
        <f>VLOOKUP($B38,DATA!$B$7:$AV$679,6,0)</f>
        <v>Tuyên Hóa</v>
      </c>
      <c r="D38" s="1230">
        <f>VLOOKUP($B38,DATA!$B$7:$AV$679,7,0)</f>
        <v>2019</v>
      </c>
      <c r="E38" s="1230">
        <f>VLOOKUP($B38,DATA!$B$7:$AV$679,9,0)</f>
        <v>2021</v>
      </c>
      <c r="F38" s="1216" t="str">
        <f>VLOOKUP($B38,DATA!$B$7:$AV$679,12,0)</f>
        <v>3823/QĐ-UBND ngày 31/10/2018</v>
      </c>
      <c r="G38" s="1568">
        <f>VLOOKUP($B38,DATA!$B$7:$AV$679,13,0)</f>
        <v>5000</v>
      </c>
      <c r="H38" s="1568">
        <f>VLOOKUP($B38,DATA!$B$7:$AV$679,15,0)</f>
        <v>3000</v>
      </c>
      <c r="I38" s="1568">
        <f>VLOOKUP($B38,DATA!$B$7:$AV$679,29,0)</f>
        <v>1800</v>
      </c>
      <c r="J38" s="1568">
        <f>VLOOKUP($B38,DATA!$B$7:$AV$679,29,0)</f>
        <v>1800</v>
      </c>
      <c r="K38" s="1568">
        <f>VLOOKUP($B38,DATA!$B$7:$AV$679,35,0)</f>
        <v>900</v>
      </c>
      <c r="L38" s="1568">
        <f>VLOOKUP($B38,DATA!$B$7:$AV$679,36,0)</f>
        <v>900</v>
      </c>
      <c r="M38" s="1568">
        <f t="shared" si="5"/>
        <v>1050</v>
      </c>
      <c r="N38" s="1572"/>
      <c r="O38" s="1563">
        <v>1950</v>
      </c>
      <c r="P38" s="1563">
        <v>1950</v>
      </c>
      <c r="Q38" s="1563">
        <v>900</v>
      </c>
      <c r="R38" s="1563">
        <v>900</v>
      </c>
      <c r="S38" s="1563">
        <v>1050</v>
      </c>
      <c r="T38" s="1571">
        <f t="shared" si="3"/>
        <v>1950</v>
      </c>
      <c r="U38" s="1571">
        <f t="shared" si="4"/>
        <v>1950</v>
      </c>
      <c r="V38" s="1650">
        <f t="shared" si="7"/>
        <v>1050</v>
      </c>
      <c r="W38" s="1218"/>
      <c r="X38" s="59" t="s">
        <v>1801</v>
      </c>
    </row>
    <row r="39" spans="1:25" ht="45" customHeight="1">
      <c r="A39" s="500">
        <v>29</v>
      </c>
      <c r="B39" s="310" t="s">
        <v>1735</v>
      </c>
      <c r="C39" s="1216" t="str">
        <f>VLOOKUP($B39,DATA!$B$7:$AV$679,6,0)</f>
        <v>Quảng Ninh</v>
      </c>
      <c r="D39" s="1230">
        <f>VLOOKUP($B39,DATA!$B$7:$AV$679,7,0)</f>
        <v>2019</v>
      </c>
      <c r="E39" s="1230">
        <f>VLOOKUP($B39,DATA!$B$7:$AV$679,9,0)</f>
        <v>2021</v>
      </c>
      <c r="F39" s="1216" t="str">
        <f>VLOOKUP($B39,DATA!$B$7:$AV$679,12,0)</f>
        <v>3735/QĐ-UBND ngày 30/10/2018</v>
      </c>
      <c r="G39" s="1568">
        <f>VLOOKUP($B39,DATA!$B$7:$AV$679,13,0)</f>
        <v>6500</v>
      </c>
      <c r="H39" s="1568">
        <f>VLOOKUP($B39,DATA!$B$7:$AV$679,15,0)</f>
        <v>3900</v>
      </c>
      <c r="I39" s="1568">
        <f>VLOOKUP($B39,DATA!$B$7:$AV$679,29,0)</f>
        <v>2340</v>
      </c>
      <c r="J39" s="1568">
        <f>VLOOKUP($B39,DATA!$B$7:$AV$679,29,0)</f>
        <v>2340</v>
      </c>
      <c r="K39" s="1568">
        <f>VLOOKUP($B39,DATA!$B$7:$AV$679,35,0)</f>
        <v>1170</v>
      </c>
      <c r="L39" s="1568">
        <f>VLOOKUP($B39,DATA!$B$7:$AV$679,36,0)</f>
        <v>1170</v>
      </c>
      <c r="M39" s="1568">
        <f t="shared" si="5"/>
        <v>1365</v>
      </c>
      <c r="N39" s="1572"/>
      <c r="O39" s="1563">
        <v>2535</v>
      </c>
      <c r="P39" s="1563">
        <v>2535</v>
      </c>
      <c r="Q39" s="1563">
        <v>1170</v>
      </c>
      <c r="R39" s="1563">
        <v>1170</v>
      </c>
      <c r="S39" s="1563">
        <v>1365</v>
      </c>
      <c r="T39" s="1571">
        <f t="shared" si="3"/>
        <v>2535</v>
      </c>
      <c r="U39" s="1571">
        <f t="shared" si="4"/>
        <v>2535</v>
      </c>
      <c r="V39" s="1650">
        <f t="shared" si="7"/>
        <v>1365</v>
      </c>
      <c r="W39" s="1218"/>
      <c r="X39" s="59" t="s">
        <v>631</v>
      </c>
    </row>
    <row r="40" spans="1:25" ht="87.75" customHeight="1">
      <c r="A40" s="500">
        <v>30</v>
      </c>
      <c r="B40" s="547" t="s">
        <v>1789</v>
      </c>
      <c r="C40" s="1216" t="str">
        <f>VLOOKUP($B40,DATA!$B$7:$AV$679,6,0)</f>
        <v>Đồng Hới</v>
      </c>
      <c r="D40" s="1230">
        <f>VLOOKUP($B40,DATA!$B$7:$AV$679,7,0)</f>
        <v>2019</v>
      </c>
      <c r="E40" s="1230">
        <f>VLOOKUP($B40,DATA!$B$7:$AV$679,9,0)</f>
        <v>2021</v>
      </c>
      <c r="F40" s="1216" t="str">
        <f>VLOOKUP($B40,DATA!$B$7:$AV$679,12,0)</f>
        <v xml:space="preserve">3890a/QĐ-UBND ngày 31/10/2018 </v>
      </c>
      <c r="G40" s="1568">
        <f>VLOOKUP($B40,DATA!$B$7:$AV$679,13,0)</f>
        <v>3957</v>
      </c>
      <c r="H40" s="1568">
        <f>VLOOKUP($B40,DATA!$B$7:$AV$679,15,0)</f>
        <v>3957</v>
      </c>
      <c r="I40" s="1568">
        <f>VLOOKUP($B40,DATA!$B$7:$AV$679,29,0)</f>
        <v>2374.1999999999998</v>
      </c>
      <c r="J40" s="1568">
        <f>VLOOKUP($B40,DATA!$B$7:$AV$679,29,0)</f>
        <v>2374.1999999999998</v>
      </c>
      <c r="K40" s="1568">
        <f>VLOOKUP($B40,DATA!$B$7:$AV$679,35,0)</f>
        <v>1187.0999999999999</v>
      </c>
      <c r="L40" s="1568">
        <f>VLOOKUP($B40,DATA!$B$7:$AV$679,36,0)</f>
        <v>1187.0999999999999</v>
      </c>
      <c r="M40" s="1568">
        <f t="shared" si="5"/>
        <v>1384.95</v>
      </c>
      <c r="N40" s="1573"/>
      <c r="O40" s="1574">
        <v>2572.1</v>
      </c>
      <c r="P40" s="1574">
        <v>2572.1</v>
      </c>
      <c r="Q40" s="1574">
        <v>1187.0999999999999</v>
      </c>
      <c r="R40" s="1574">
        <v>1187.0999999999999</v>
      </c>
      <c r="S40" s="1574">
        <v>1384.95</v>
      </c>
      <c r="T40" s="1571">
        <f t="shared" si="3"/>
        <v>2572.0500000000002</v>
      </c>
      <c r="U40" s="1571">
        <f t="shared" si="4"/>
        <v>2572.0500000000002</v>
      </c>
      <c r="V40" s="1651">
        <f>H40*0.9-T40</f>
        <v>989.25</v>
      </c>
      <c r="W40" s="1218"/>
      <c r="X40" s="59" t="s">
        <v>1791</v>
      </c>
    </row>
    <row r="41" spans="1:25" ht="60" customHeight="1">
      <c r="A41" s="500">
        <v>31</v>
      </c>
      <c r="B41" s="547" t="s">
        <v>1674</v>
      </c>
      <c r="C41" s="1216" t="str">
        <f>VLOOKUP($B41,DATA!$B$7:$AV$679,6,0)</f>
        <v>Quảng Trạch</v>
      </c>
      <c r="D41" s="1230">
        <f>VLOOKUP($B41,DATA!$B$7:$AV$679,7,0)</f>
        <v>2019</v>
      </c>
      <c r="E41" s="1230">
        <f>VLOOKUP($B41,DATA!$B$7:$AV$679,9,0)</f>
        <v>2021</v>
      </c>
      <c r="F41" s="1216" t="str">
        <f>VLOOKUP($B41,DATA!$B$7:$AV$679,12,0)</f>
        <v>3041/QĐ-UBND ngày 13/9/2018</v>
      </c>
      <c r="G41" s="1568">
        <f>VLOOKUP($B41,DATA!$B$7:$AV$679,13,0)</f>
        <v>6800</v>
      </c>
      <c r="H41" s="1568">
        <f>VLOOKUP($B41,DATA!$B$7:$AV$679,15,0)</f>
        <v>4000</v>
      </c>
      <c r="I41" s="1568">
        <f>VLOOKUP($B41,DATA!$B$7:$AV$679,29,0)</f>
        <v>2400</v>
      </c>
      <c r="J41" s="1568">
        <f>VLOOKUP($B41,DATA!$B$7:$AV$679,29,0)</f>
        <v>2400</v>
      </c>
      <c r="K41" s="1568">
        <f>VLOOKUP($B41,DATA!$B$7:$AV$679,35,0)</f>
        <v>1200</v>
      </c>
      <c r="L41" s="1568">
        <f>VLOOKUP($B41,DATA!$B$7:$AV$679,36,0)</f>
        <v>1200</v>
      </c>
      <c r="M41" s="1568">
        <f t="shared" si="5"/>
        <v>1400</v>
      </c>
      <c r="N41" s="1572"/>
      <c r="O41" s="1563">
        <v>2600</v>
      </c>
      <c r="P41" s="1563">
        <v>2600</v>
      </c>
      <c r="Q41" s="1563">
        <v>1200</v>
      </c>
      <c r="R41" s="1563">
        <v>1200</v>
      </c>
      <c r="S41" s="1563">
        <v>1400</v>
      </c>
      <c r="T41" s="1571">
        <f t="shared" si="3"/>
        <v>2600</v>
      </c>
      <c r="U41" s="1571">
        <f t="shared" si="4"/>
        <v>2600</v>
      </c>
      <c r="V41" s="1650">
        <f>H41-U41</f>
        <v>1400</v>
      </c>
      <c r="W41" s="1218"/>
      <c r="X41" s="59" t="s">
        <v>1307</v>
      </c>
    </row>
    <row r="42" spans="1:25" ht="45" customHeight="1">
      <c r="A42" s="500">
        <v>32</v>
      </c>
      <c r="B42" s="547" t="s">
        <v>1670</v>
      </c>
      <c r="C42" s="1216" t="str">
        <f>VLOOKUP($B42,DATA!$B$7:$AV$679,6,0)</f>
        <v>Quảng Trạch</v>
      </c>
      <c r="D42" s="1230">
        <f>VLOOKUP($B42,DATA!$B$7:$AV$679,7,0)</f>
        <v>2019</v>
      </c>
      <c r="E42" s="1230">
        <f>VLOOKUP($B42,DATA!$B$7:$AV$679,9,0)</f>
        <v>2021</v>
      </c>
      <c r="F42" s="1216" t="str">
        <f>VLOOKUP($B42,DATA!$B$7:$AV$679,12,0)</f>
        <v>1834/QĐ-UBND ngày 05/6/2018</v>
      </c>
      <c r="G42" s="1568">
        <f>VLOOKUP($B42,DATA!$B$7:$AV$679,13,0)</f>
        <v>7000</v>
      </c>
      <c r="H42" s="1568">
        <f>VLOOKUP($B42,DATA!$B$7:$AV$679,15,0)</f>
        <v>7000</v>
      </c>
      <c r="I42" s="1568">
        <f>VLOOKUP($B42,DATA!$B$7:$AV$679,29,0)</f>
        <v>4200</v>
      </c>
      <c r="J42" s="1568">
        <f>VLOOKUP($B42,DATA!$B$7:$AV$679,29,0)</f>
        <v>4200</v>
      </c>
      <c r="K42" s="1568">
        <f>VLOOKUP($B42,DATA!$B$7:$AV$679,35,0)</f>
        <v>1260</v>
      </c>
      <c r="L42" s="1568">
        <f>VLOOKUP($B42,DATA!$B$7:$AV$679,36,0)</f>
        <v>1260</v>
      </c>
      <c r="M42" s="1568">
        <f t="shared" si="5"/>
        <v>2870</v>
      </c>
      <c r="N42" s="1572"/>
      <c r="O42" s="1563">
        <v>2730</v>
      </c>
      <c r="P42" s="1563">
        <v>2730</v>
      </c>
      <c r="Q42" s="1563">
        <v>1260</v>
      </c>
      <c r="R42" s="1563">
        <v>1260</v>
      </c>
      <c r="S42" s="1563">
        <v>1470</v>
      </c>
      <c r="T42" s="1571">
        <f t="shared" si="3"/>
        <v>2730</v>
      </c>
      <c r="U42" s="1571">
        <f t="shared" si="4"/>
        <v>2730</v>
      </c>
      <c r="V42" s="1651">
        <f>H42*0.9-T42</f>
        <v>3570</v>
      </c>
      <c r="W42" s="1218"/>
      <c r="X42" s="59" t="s">
        <v>1672</v>
      </c>
      <c r="Y42" s="13" t="s">
        <v>2563</v>
      </c>
    </row>
    <row r="43" spans="1:25" ht="45" customHeight="1">
      <c r="A43" s="500">
        <v>33</v>
      </c>
      <c r="B43" s="545" t="s">
        <v>2523</v>
      </c>
      <c r="C43" s="1216" t="str">
        <f>VLOOKUP($B43,DATA!$B$7:$AV$679,6,0)</f>
        <v>Quảng Trạch</v>
      </c>
      <c r="D43" s="1230">
        <f>VLOOKUP($B43,DATA!$B$7:$AV$679,7,0)</f>
        <v>2019</v>
      </c>
      <c r="E43" s="1230">
        <f>VLOOKUP($B43,DATA!$B$7:$AV$679,9,0)</f>
        <v>2021</v>
      </c>
      <c r="F43" s="1216" t="str">
        <f>VLOOKUP($B43,DATA!$B$7:$AV$679,12,0)</f>
        <v>3724/QĐ-UBND ngày 30/10/2018</v>
      </c>
      <c r="G43" s="1568">
        <f>VLOOKUP($B43,DATA!$B$7:$AV$679,13,0)</f>
        <v>7000</v>
      </c>
      <c r="H43" s="1568">
        <f>VLOOKUP($B43,DATA!$B$7:$AV$679,15,0)</f>
        <v>4200</v>
      </c>
      <c r="I43" s="1568">
        <f>VLOOKUP($B43,DATA!$B$7:$AV$679,29,0)</f>
        <v>2520</v>
      </c>
      <c r="J43" s="1568">
        <f>VLOOKUP($B43,DATA!$B$7:$AV$679,29,0)</f>
        <v>2520</v>
      </c>
      <c r="K43" s="1569">
        <f>VLOOKUP($B43,DATA!$B$7:$AV$679,35,0)+1260</f>
        <v>2520</v>
      </c>
      <c r="L43" s="1569">
        <f>VLOOKUP($B43,DATA!$B$7:$AV$679,36,0)+1260</f>
        <v>2520</v>
      </c>
      <c r="M43" s="1569">
        <v>1470</v>
      </c>
      <c r="N43" s="1572">
        <v>1260</v>
      </c>
      <c r="O43" s="1563">
        <v>3990</v>
      </c>
      <c r="P43" s="1563">
        <v>3990</v>
      </c>
      <c r="Q43" s="1563">
        <v>2520</v>
      </c>
      <c r="R43" s="1563">
        <v>2520</v>
      </c>
      <c r="S43" s="1563">
        <v>1470</v>
      </c>
      <c r="T43" s="1571">
        <f t="shared" si="3"/>
        <v>3990</v>
      </c>
      <c r="U43" s="1571">
        <f t="shared" si="4"/>
        <v>3990</v>
      </c>
      <c r="V43" s="1650">
        <f>H43-U43</f>
        <v>210</v>
      </c>
      <c r="W43" s="1218"/>
      <c r="X43" s="59" t="s">
        <v>733</v>
      </c>
    </row>
    <row r="44" spans="1:25" ht="45" customHeight="1">
      <c r="A44" s="500">
        <v>34</v>
      </c>
      <c r="B44" s="310" t="s">
        <v>1712</v>
      </c>
      <c r="C44" s="1216" t="str">
        <f>VLOOKUP($B44,DATA!$B$7:$AV$679,6,0)</f>
        <v>Minh Hóa</v>
      </c>
      <c r="D44" s="1230">
        <f>VLOOKUP($B44,DATA!$B$7:$AV$679,7,0)</f>
        <v>2019</v>
      </c>
      <c r="E44" s="1230">
        <f>VLOOKUP($B44,DATA!$B$7:$AV$679,9,0)</f>
        <v>2021</v>
      </c>
      <c r="F44" s="1216" t="str">
        <f>VLOOKUP($B44,DATA!$B$7:$AV$679,12,0)</f>
        <v>3801/QĐ-UBND ngày 31/10/2018</v>
      </c>
      <c r="G44" s="1568">
        <f>VLOOKUP($B44,DATA!$B$7:$AV$679,13,0)</f>
        <v>7000</v>
      </c>
      <c r="H44" s="1568">
        <f>VLOOKUP($B44,DATA!$B$7:$AV$679,15,0)</f>
        <v>4200</v>
      </c>
      <c r="I44" s="1568">
        <f>VLOOKUP($B44,DATA!$B$7:$AV$679,29,0)</f>
        <v>2520</v>
      </c>
      <c r="J44" s="1568">
        <f>VLOOKUP($B44,DATA!$B$7:$AV$679,29,0)</f>
        <v>2520</v>
      </c>
      <c r="K44" s="1568">
        <f>VLOOKUP($B44,DATA!$B$7:$AV$679,35,0)</f>
        <v>1260</v>
      </c>
      <c r="L44" s="1568">
        <f>VLOOKUP($B44,DATA!$B$7:$AV$679,36,0)</f>
        <v>1260</v>
      </c>
      <c r="M44" s="1568">
        <f t="shared" ref="M44:M61" si="8">(H44-L44)*0.5</f>
        <v>1470</v>
      </c>
      <c r="N44" s="1572"/>
      <c r="O44" s="1563">
        <v>2730</v>
      </c>
      <c r="P44" s="1563">
        <v>2730</v>
      </c>
      <c r="Q44" s="1563">
        <v>1260</v>
      </c>
      <c r="R44" s="1563">
        <v>1260</v>
      </c>
      <c r="S44" s="1563">
        <v>1470</v>
      </c>
      <c r="T44" s="1571">
        <f t="shared" si="3"/>
        <v>2730</v>
      </c>
      <c r="U44" s="1571">
        <f t="shared" si="4"/>
        <v>2730</v>
      </c>
      <c r="V44" s="1650">
        <f>H44-U44</f>
        <v>1470</v>
      </c>
      <c r="W44" s="1218"/>
      <c r="X44" s="59" t="s">
        <v>1715</v>
      </c>
    </row>
    <row r="45" spans="1:25" ht="45" customHeight="1">
      <c r="A45" s="500">
        <v>35</v>
      </c>
      <c r="B45" s="547" t="s">
        <v>1724</v>
      </c>
      <c r="C45" s="1216" t="str">
        <f>VLOOKUP($B45,DATA!$B$7:$AV$679,6,0)</f>
        <v>Quảng Ninh</v>
      </c>
      <c r="D45" s="1230">
        <f>VLOOKUP($B45,DATA!$B$7:$AV$679,7,0)</f>
        <v>2019</v>
      </c>
      <c r="E45" s="1230">
        <f>VLOOKUP($B45,DATA!$B$7:$AV$679,9,0)</f>
        <v>2021</v>
      </c>
      <c r="F45" s="1216" t="str">
        <f>VLOOKUP($B45,DATA!$B$7:$AV$679,12,0)</f>
        <v>3871/QĐ-UBND ngày 31/10/2018</v>
      </c>
      <c r="G45" s="1568">
        <f>VLOOKUP($B45,DATA!$B$7:$AV$679,13,0)</f>
        <v>4500</v>
      </c>
      <c r="H45" s="1568">
        <f>VLOOKUP($B45,DATA!$B$7:$AV$679,15,0)</f>
        <v>4500</v>
      </c>
      <c r="I45" s="1568">
        <f>VLOOKUP($B45,DATA!$B$7:$AV$679,29,0)</f>
        <v>2700</v>
      </c>
      <c r="J45" s="1568">
        <f>VLOOKUP($B45,DATA!$B$7:$AV$679,29,0)</f>
        <v>2700</v>
      </c>
      <c r="K45" s="1568">
        <f>VLOOKUP($B45,DATA!$B$7:$AV$679,35,0)</f>
        <v>1350</v>
      </c>
      <c r="L45" s="1568">
        <f>VLOOKUP($B45,DATA!$B$7:$AV$679,36,0)</f>
        <v>1350</v>
      </c>
      <c r="M45" s="1568">
        <f t="shared" si="8"/>
        <v>1575</v>
      </c>
      <c r="N45" s="1572"/>
      <c r="O45" s="1563">
        <v>2925</v>
      </c>
      <c r="P45" s="1563">
        <v>2925</v>
      </c>
      <c r="Q45" s="1563">
        <v>1350</v>
      </c>
      <c r="R45" s="1563">
        <v>1350</v>
      </c>
      <c r="S45" s="1563">
        <v>1575</v>
      </c>
      <c r="T45" s="1571">
        <f t="shared" si="3"/>
        <v>2925</v>
      </c>
      <c r="U45" s="1571">
        <f t="shared" si="4"/>
        <v>2925</v>
      </c>
      <c r="V45" s="1651">
        <f>H45*0.9-T45</f>
        <v>1125</v>
      </c>
      <c r="W45" s="1218"/>
      <c r="X45" s="59" t="s">
        <v>631</v>
      </c>
      <c r="Y45" s="13" t="s">
        <v>2563</v>
      </c>
    </row>
    <row r="46" spans="1:25" ht="45" customHeight="1">
      <c r="A46" s="500">
        <v>36</v>
      </c>
      <c r="B46" s="310" t="s">
        <v>1662</v>
      </c>
      <c r="C46" s="1216" t="str">
        <f>VLOOKUP($B46,DATA!$B$7:$AV$679,6,0)</f>
        <v>Ba Đồn</v>
      </c>
      <c r="D46" s="1230">
        <f>VLOOKUP($B46,DATA!$B$7:$AV$679,7,0)</f>
        <v>2019</v>
      </c>
      <c r="E46" s="1230">
        <f>VLOOKUP($B46,DATA!$B$7:$AV$679,9,0)</f>
        <v>2021</v>
      </c>
      <c r="F46" s="1216" t="str">
        <f>VLOOKUP($B46,DATA!$B$7:$AV$679,12,0)</f>
        <v>3670/QĐ-UBND ngày 29/10/2018</v>
      </c>
      <c r="G46" s="1568">
        <f>VLOOKUP($B46,DATA!$B$7:$AV$679,13,0)</f>
        <v>8223</v>
      </c>
      <c r="H46" s="1568">
        <f>VLOOKUP($B46,DATA!$B$7:$AV$679,15,0)</f>
        <v>4933</v>
      </c>
      <c r="I46" s="1568">
        <f>VLOOKUP($B46,DATA!$B$7:$AV$679,29,0)</f>
        <v>2959.7999999999997</v>
      </c>
      <c r="J46" s="1568">
        <f>VLOOKUP($B46,DATA!$B$7:$AV$679,29,0)</f>
        <v>2959.7999999999997</v>
      </c>
      <c r="K46" s="1568">
        <f>VLOOKUP($B46,DATA!$B$7:$AV$679,35,0)</f>
        <v>1479.9</v>
      </c>
      <c r="L46" s="1568">
        <f>VLOOKUP($B46,DATA!$B$7:$AV$679,36,0)</f>
        <v>1479.9</v>
      </c>
      <c r="M46" s="1568">
        <f>(H46-L46)*0.5+2713</f>
        <v>4439.55</v>
      </c>
      <c r="N46" s="1572"/>
      <c r="O46" s="1563">
        <v>4440</v>
      </c>
      <c r="P46" s="1563">
        <v>4440</v>
      </c>
      <c r="Q46" s="1563">
        <v>1479.9</v>
      </c>
      <c r="R46" s="1563">
        <v>1479.9</v>
      </c>
      <c r="S46" s="1563">
        <v>2960</v>
      </c>
      <c r="T46" s="1571">
        <f t="shared" si="3"/>
        <v>4439.8999999999996</v>
      </c>
      <c r="U46" s="1571">
        <f t="shared" si="4"/>
        <v>4439.8999999999996</v>
      </c>
      <c r="V46" s="1650">
        <f t="shared" ref="V46:V58" si="9">H46-U46</f>
        <v>493.10000000000036</v>
      </c>
      <c r="W46" s="1218"/>
      <c r="X46" s="59" t="s">
        <v>768</v>
      </c>
    </row>
    <row r="47" spans="1:25" ht="45" customHeight="1">
      <c r="A47" s="500">
        <v>37</v>
      </c>
      <c r="B47" s="310" t="s">
        <v>1686</v>
      </c>
      <c r="C47" s="1216" t="str">
        <f>VLOOKUP($B47,DATA!$B$7:$AV$679,6,0)</f>
        <v>Ba Đồn</v>
      </c>
      <c r="D47" s="1230">
        <f>VLOOKUP($B47,DATA!$B$7:$AV$679,7,0)</f>
        <v>2019</v>
      </c>
      <c r="E47" s="1230">
        <f>VLOOKUP($B47,DATA!$B$7:$AV$679,9,0)</f>
        <v>2021</v>
      </c>
      <c r="F47" s="1216" t="str">
        <f>VLOOKUP($B47,DATA!$B$7:$AV$679,12,0)</f>
        <v>3805/QĐ-UBND ngày 31/10/2018</v>
      </c>
      <c r="G47" s="1568">
        <f>VLOOKUP($B47,DATA!$B$7:$AV$679,13,0)</f>
        <v>5500</v>
      </c>
      <c r="H47" s="1568">
        <f>VLOOKUP($B47,DATA!$B$7:$AV$679,15,0)</f>
        <v>3000</v>
      </c>
      <c r="I47" s="1568">
        <f>VLOOKUP($B47,DATA!$B$7:$AV$679,29,0)</f>
        <v>1800</v>
      </c>
      <c r="J47" s="1568">
        <f>VLOOKUP($B47,DATA!$B$7:$AV$679,29,0)</f>
        <v>1800</v>
      </c>
      <c r="K47" s="1568">
        <f>VLOOKUP($B47,DATA!$B$7:$AV$679,35,0)</f>
        <v>900</v>
      </c>
      <c r="L47" s="1568">
        <f>VLOOKUP($B47,DATA!$B$7:$AV$679,36,0)</f>
        <v>900</v>
      </c>
      <c r="M47" s="1568">
        <f t="shared" si="8"/>
        <v>1050</v>
      </c>
      <c r="N47" s="1572"/>
      <c r="O47" s="1563">
        <v>1950</v>
      </c>
      <c r="P47" s="1563">
        <v>1950</v>
      </c>
      <c r="Q47" s="1563">
        <v>900</v>
      </c>
      <c r="R47" s="1563">
        <v>900</v>
      </c>
      <c r="S47" s="1563">
        <v>1050</v>
      </c>
      <c r="T47" s="1571">
        <f t="shared" si="3"/>
        <v>1950</v>
      </c>
      <c r="U47" s="1571">
        <f t="shared" si="4"/>
        <v>1950</v>
      </c>
      <c r="V47" s="1650">
        <f t="shared" si="9"/>
        <v>1050</v>
      </c>
      <c r="W47" s="1218"/>
      <c r="X47" s="59" t="s">
        <v>976</v>
      </c>
      <c r="Y47" s="13" t="s">
        <v>2564</v>
      </c>
    </row>
    <row r="48" spans="1:25" ht="45" customHeight="1">
      <c r="A48" s="500">
        <v>38</v>
      </c>
      <c r="B48" s="1460" t="s">
        <v>1653</v>
      </c>
      <c r="C48" s="1216" t="str">
        <f>VLOOKUP($B48,DATA!$B$7:$AV$679,6,0)</f>
        <v>Lệ Thủy</v>
      </c>
      <c r="D48" s="1230">
        <f>VLOOKUP($B48,DATA!$B$7:$AV$679,7,0)</f>
        <v>2019</v>
      </c>
      <c r="E48" s="1230">
        <f>VLOOKUP($B48,DATA!$B$7:$AV$679,9,0)</f>
        <v>2021</v>
      </c>
      <c r="F48" s="1216" t="str">
        <f>VLOOKUP($B48,DATA!$B$7:$AV$679,12,0)</f>
        <v>3791/QĐ-UBND ngày 31/10/2018</v>
      </c>
      <c r="G48" s="1568">
        <f>VLOOKUP($B48,DATA!$B$7:$AV$679,13,0)</f>
        <v>9000</v>
      </c>
      <c r="H48" s="1568">
        <f>VLOOKUP($B48,DATA!$B$7:$AV$679,15,0)</f>
        <v>5400</v>
      </c>
      <c r="I48" s="1568">
        <f>VLOOKUP($B48,DATA!$B$7:$AV$679,29,0)</f>
        <v>3240</v>
      </c>
      <c r="J48" s="1568">
        <f>VLOOKUP($B48,DATA!$B$7:$AV$679,29,0)</f>
        <v>3240</v>
      </c>
      <c r="K48" s="1569">
        <f>VLOOKUP($B48,DATA!$B$7:$AV$679,35,0)+1620</f>
        <v>3240</v>
      </c>
      <c r="L48" s="1569">
        <f>VLOOKUP($B48,DATA!$B$7:$AV$679,36,0)+1620</f>
        <v>3240</v>
      </c>
      <c r="M48" s="1569">
        <v>1890</v>
      </c>
      <c r="N48" s="1572">
        <v>1620</v>
      </c>
      <c r="O48" s="1563">
        <v>5130</v>
      </c>
      <c r="P48" s="1563">
        <v>5130</v>
      </c>
      <c r="Q48" s="1563">
        <v>3240</v>
      </c>
      <c r="R48" s="1563">
        <v>3240</v>
      </c>
      <c r="S48" s="1563">
        <v>1890</v>
      </c>
      <c r="T48" s="1571">
        <f t="shared" si="3"/>
        <v>5130</v>
      </c>
      <c r="U48" s="1571">
        <f t="shared" si="4"/>
        <v>5130</v>
      </c>
      <c r="V48" s="1650">
        <f t="shared" si="9"/>
        <v>270</v>
      </c>
      <c r="W48" s="1218"/>
      <c r="X48" s="59" t="s">
        <v>714</v>
      </c>
      <c r="Y48" s="13" t="s">
        <v>2565</v>
      </c>
    </row>
    <row r="49" spans="1:25" ht="69" customHeight="1">
      <c r="A49" s="500">
        <v>39</v>
      </c>
      <c r="B49" s="1460" t="s">
        <v>1731</v>
      </c>
      <c r="C49" s="1216" t="str">
        <f>VLOOKUP($B49,DATA!$B$7:$AV$679,6,0)</f>
        <v>Quảng Ninh</v>
      </c>
      <c r="D49" s="1230">
        <f>VLOOKUP($B49,DATA!$B$7:$AV$679,7,0)</f>
        <v>2019</v>
      </c>
      <c r="E49" s="1230">
        <f>VLOOKUP($B49,DATA!$B$7:$AV$679,9,0)</f>
        <v>2021</v>
      </c>
      <c r="F49" s="1216" t="str">
        <f>VLOOKUP($B49,DATA!$B$7:$AV$679,12,0)</f>
        <v>3736/QĐ-UBND ngày 30/10/2018</v>
      </c>
      <c r="G49" s="1568">
        <f>VLOOKUP($B49,DATA!$B$7:$AV$679,13,0)</f>
        <v>9500</v>
      </c>
      <c r="H49" s="1568">
        <f>VLOOKUP($B49,DATA!$B$7:$AV$679,15,0)</f>
        <v>5700</v>
      </c>
      <c r="I49" s="1568">
        <f>VLOOKUP($B49,DATA!$B$7:$AV$679,29,0)</f>
        <v>3420</v>
      </c>
      <c r="J49" s="1568">
        <f>VLOOKUP($B49,DATA!$B$7:$AV$679,29,0)</f>
        <v>3420</v>
      </c>
      <c r="K49" s="1569">
        <f>VLOOKUP($B49,DATA!$B$7:$AV$679,35,0)+1270</f>
        <v>3861</v>
      </c>
      <c r="L49" s="1569">
        <f>VLOOKUP($B49,DATA!$B$7:$AV$679,36,0)+1270</f>
        <v>3861</v>
      </c>
      <c r="M49" s="1569">
        <v>1555</v>
      </c>
      <c r="N49" s="1572">
        <v>1270</v>
      </c>
      <c r="O49" s="1563">
        <v>5416</v>
      </c>
      <c r="P49" s="1563">
        <v>5416</v>
      </c>
      <c r="Q49" s="1563">
        <v>3861</v>
      </c>
      <c r="R49" s="1563">
        <v>3861</v>
      </c>
      <c r="S49" s="1563">
        <v>1555</v>
      </c>
      <c r="T49" s="1571">
        <f t="shared" si="3"/>
        <v>5416</v>
      </c>
      <c r="U49" s="1571">
        <f t="shared" si="4"/>
        <v>5416</v>
      </c>
      <c r="V49" s="1650">
        <f t="shared" si="9"/>
        <v>284</v>
      </c>
      <c r="W49" s="1218"/>
      <c r="X49" s="59" t="s">
        <v>631</v>
      </c>
      <c r="Y49" s="13" t="s">
        <v>2566</v>
      </c>
    </row>
    <row r="50" spans="1:25" ht="66" customHeight="1">
      <c r="A50" s="500">
        <v>40</v>
      </c>
      <c r="B50" s="310" t="s">
        <v>2524</v>
      </c>
      <c r="C50" s="1216" t="str">
        <f>VLOOKUP($B50,DATA!$B$7:$AV$679,6,0)</f>
        <v>Ba Đồn</v>
      </c>
      <c r="D50" s="1230">
        <f>VLOOKUP($B50,DATA!$B$7:$AV$679,7,0)</f>
        <v>2019</v>
      </c>
      <c r="E50" s="1230">
        <f>VLOOKUP($B50,DATA!$B$7:$AV$679,9,0)</f>
        <v>2021</v>
      </c>
      <c r="F50" s="1216" t="str">
        <f>VLOOKUP($B50,DATA!$B$7:$AV$679,12,0)</f>
        <v>3725/QĐ-UBND ngày 30/10/2018</v>
      </c>
      <c r="G50" s="1568">
        <f>VLOOKUP($B50,DATA!$B$7:$AV$679,13,0)</f>
        <v>9819</v>
      </c>
      <c r="H50" s="1568">
        <f>VLOOKUP($B50,DATA!$B$7:$AV$679,15,0)</f>
        <v>6000</v>
      </c>
      <c r="I50" s="1568">
        <f>VLOOKUP($B50,DATA!$B$7:$AV$679,29,0)</f>
        <v>3600</v>
      </c>
      <c r="J50" s="1568">
        <f>VLOOKUP($B50,DATA!$B$7:$AV$679,29,0)</f>
        <v>3600</v>
      </c>
      <c r="K50" s="1568">
        <f>VLOOKUP($B50,DATA!$B$7:$AV$679,35,0)</f>
        <v>1800</v>
      </c>
      <c r="L50" s="1568">
        <f>VLOOKUP($B50,DATA!$B$7:$AV$679,36,0)</f>
        <v>1800</v>
      </c>
      <c r="M50" s="1568">
        <f t="shared" si="8"/>
        <v>2100</v>
      </c>
      <c r="N50" s="1572"/>
      <c r="O50" s="1563">
        <v>3900</v>
      </c>
      <c r="P50" s="1563">
        <v>3900</v>
      </c>
      <c r="Q50" s="1563">
        <v>1800</v>
      </c>
      <c r="R50" s="1563">
        <v>1800</v>
      </c>
      <c r="S50" s="1563">
        <v>2100</v>
      </c>
      <c r="T50" s="1571">
        <f t="shared" si="3"/>
        <v>3900</v>
      </c>
      <c r="U50" s="1571">
        <f t="shared" si="4"/>
        <v>3900</v>
      </c>
      <c r="V50" s="1650">
        <f t="shared" si="9"/>
        <v>2100</v>
      </c>
      <c r="W50" s="1218"/>
      <c r="X50" s="59" t="s">
        <v>743</v>
      </c>
    </row>
    <row r="51" spans="1:25" ht="48" customHeight="1">
      <c r="A51" s="500">
        <v>41</v>
      </c>
      <c r="B51" s="310" t="s">
        <v>2525</v>
      </c>
      <c r="C51" s="1216" t="str">
        <f>VLOOKUP($B51,DATA!$B$7:$AV$679,6,0)</f>
        <v>Ba Đồn</v>
      </c>
      <c r="D51" s="1230">
        <f>VLOOKUP($B51,DATA!$B$7:$AV$679,7,0)</f>
        <v>2019</v>
      </c>
      <c r="E51" s="1230">
        <f>VLOOKUP($B51,DATA!$B$7:$AV$679,9,0)</f>
        <v>2021</v>
      </c>
      <c r="F51" s="1216" t="str">
        <f>VLOOKUP($B51,DATA!$B$7:$AV$679,12,0)</f>
        <v>3726/QĐ-UBND ngày 30/10/2018</v>
      </c>
      <c r="G51" s="1568">
        <f>VLOOKUP($B51,DATA!$B$7:$AV$679,13,0)</f>
        <v>9938</v>
      </c>
      <c r="H51" s="1568">
        <f>VLOOKUP($B51,DATA!$B$7:$AV$679,15,0)</f>
        <v>6000</v>
      </c>
      <c r="I51" s="1568">
        <f>VLOOKUP($B51,DATA!$B$7:$AV$679,29,0)</f>
        <v>3600</v>
      </c>
      <c r="J51" s="1568">
        <f>VLOOKUP($B51,DATA!$B$7:$AV$679,29,0)</f>
        <v>3600</v>
      </c>
      <c r="K51" s="1568">
        <f>VLOOKUP($B51,DATA!$B$7:$AV$679,35,0)</f>
        <v>1800</v>
      </c>
      <c r="L51" s="1568">
        <f>VLOOKUP($B51,DATA!$B$7:$AV$679,36,0)</f>
        <v>1800</v>
      </c>
      <c r="M51" s="1568">
        <f t="shared" si="8"/>
        <v>2100</v>
      </c>
      <c r="N51" s="1572"/>
      <c r="O51" s="1563">
        <v>3900</v>
      </c>
      <c r="P51" s="1563">
        <v>3900</v>
      </c>
      <c r="Q51" s="1563">
        <v>1800</v>
      </c>
      <c r="R51" s="1563">
        <v>1800</v>
      </c>
      <c r="S51" s="1563">
        <v>2100</v>
      </c>
      <c r="T51" s="1571">
        <f t="shared" si="3"/>
        <v>3900</v>
      </c>
      <c r="U51" s="1571">
        <f t="shared" si="4"/>
        <v>3900</v>
      </c>
      <c r="V51" s="1650">
        <f t="shared" si="9"/>
        <v>2100</v>
      </c>
      <c r="W51" s="1218"/>
      <c r="X51" s="59" t="s">
        <v>1666</v>
      </c>
    </row>
    <row r="52" spans="1:25" ht="65.25" customHeight="1">
      <c r="A52" s="500">
        <v>42</v>
      </c>
      <c r="B52" s="310" t="s">
        <v>2426</v>
      </c>
      <c r="C52" s="1216" t="str">
        <f>VLOOKUP($B52,DATA!$B$7:$AV$679,6,0)</f>
        <v>Minh Hóa</v>
      </c>
      <c r="D52" s="1230">
        <f>VLOOKUP($B52,DATA!$B$7:$AV$679,7,0)</f>
        <v>2019</v>
      </c>
      <c r="E52" s="1230">
        <f>VLOOKUP($B52,DATA!$B$7:$AV$679,9,0)</f>
        <v>2021</v>
      </c>
      <c r="F52" s="1216" t="str">
        <f>VLOOKUP($B52,DATA!$B$7:$AV$679,12,0)</f>
        <v>3830a/QĐ-UBND ngày 31/10/2018</v>
      </c>
      <c r="G52" s="1568">
        <f>VLOOKUP($B52,DATA!$B$7:$AV$679,13,0)</f>
        <v>15000</v>
      </c>
      <c r="H52" s="1568">
        <f>VLOOKUP($B52,DATA!$B$7:$AV$679,15,0)</f>
        <v>6000</v>
      </c>
      <c r="I52" s="1568">
        <f>VLOOKUP($B52,DATA!$B$7:$AV$679,29,0)</f>
        <v>3600</v>
      </c>
      <c r="J52" s="1568">
        <f>VLOOKUP($B52,DATA!$B$7:$AV$679,29,0)</f>
        <v>3600</v>
      </c>
      <c r="K52" s="1568">
        <f>VLOOKUP($B52,DATA!$B$7:$AV$679,35,0)</f>
        <v>1800</v>
      </c>
      <c r="L52" s="1568">
        <f>VLOOKUP($B52,DATA!$B$7:$AV$679,36,0)</f>
        <v>1800</v>
      </c>
      <c r="M52" s="1568">
        <f t="shared" si="8"/>
        <v>2100</v>
      </c>
      <c r="N52" s="1572"/>
      <c r="O52" s="1563">
        <v>3900</v>
      </c>
      <c r="P52" s="1563">
        <v>3900</v>
      </c>
      <c r="Q52" s="1563">
        <v>1800</v>
      </c>
      <c r="R52" s="1563">
        <v>1800</v>
      </c>
      <c r="S52" s="1563">
        <v>2100</v>
      </c>
      <c r="T52" s="1571">
        <f t="shared" si="3"/>
        <v>3900</v>
      </c>
      <c r="U52" s="1571">
        <f t="shared" si="4"/>
        <v>3900</v>
      </c>
      <c r="V52" s="1650">
        <f t="shared" si="9"/>
        <v>2100</v>
      </c>
      <c r="W52" s="1218"/>
      <c r="X52" s="59" t="s">
        <v>1679</v>
      </c>
    </row>
    <row r="53" spans="1:25" ht="48" customHeight="1">
      <c r="A53" s="500">
        <v>43</v>
      </c>
      <c r="B53" s="310" t="s">
        <v>1682</v>
      </c>
      <c r="C53" s="1216" t="str">
        <f>VLOOKUP($B53,DATA!$B$7:$AV$679,6,0)</f>
        <v>Tuyên Hóa</v>
      </c>
      <c r="D53" s="1230">
        <f>VLOOKUP($B53,DATA!$B$7:$AV$679,7,0)</f>
        <v>2019</v>
      </c>
      <c r="E53" s="1230">
        <f>VLOOKUP($B53,DATA!$B$7:$AV$679,9,0)</f>
        <v>2021</v>
      </c>
      <c r="F53" s="1216" t="str">
        <f>VLOOKUP($B53,DATA!$B$7:$AV$679,12,0)</f>
        <v>3830/QĐ-UBND ngày 31/10/2018</v>
      </c>
      <c r="G53" s="1568">
        <f>VLOOKUP($B53,DATA!$B$7:$AV$679,13,0)</f>
        <v>10000</v>
      </c>
      <c r="H53" s="1568">
        <f>VLOOKUP($B53,DATA!$B$7:$AV$679,15,0)</f>
        <v>6000</v>
      </c>
      <c r="I53" s="1568">
        <f>VLOOKUP($B53,DATA!$B$7:$AV$679,29,0)</f>
        <v>3600</v>
      </c>
      <c r="J53" s="1568">
        <f>VLOOKUP($B53,DATA!$B$7:$AV$679,29,0)</f>
        <v>3600</v>
      </c>
      <c r="K53" s="1568">
        <f>VLOOKUP($B53,DATA!$B$7:$AV$679,35,0)</f>
        <v>1800</v>
      </c>
      <c r="L53" s="1568">
        <f>VLOOKUP($B53,DATA!$B$7:$AV$679,36,0)</f>
        <v>1800</v>
      </c>
      <c r="M53" s="1568">
        <f t="shared" si="8"/>
        <v>2100</v>
      </c>
      <c r="N53" s="1572"/>
      <c r="O53" s="1563">
        <v>3900</v>
      </c>
      <c r="P53" s="1563">
        <v>3900</v>
      </c>
      <c r="Q53" s="1563">
        <v>1800</v>
      </c>
      <c r="R53" s="1563">
        <v>1800</v>
      </c>
      <c r="S53" s="1563">
        <v>2100</v>
      </c>
      <c r="T53" s="1571">
        <f t="shared" si="3"/>
        <v>3900</v>
      </c>
      <c r="U53" s="1571">
        <f t="shared" si="4"/>
        <v>3900</v>
      </c>
      <c r="V53" s="1650">
        <f t="shared" si="9"/>
        <v>2100</v>
      </c>
      <c r="W53" s="1218"/>
      <c r="X53" s="59" t="s">
        <v>1537</v>
      </c>
    </row>
    <row r="54" spans="1:25" ht="48" customHeight="1">
      <c r="A54" s="500">
        <v>44</v>
      </c>
      <c r="B54" s="547" t="s">
        <v>1743</v>
      </c>
      <c r="C54" s="1216" t="str">
        <f>VLOOKUP($B54,DATA!$B$7:$AV$679,6,0)</f>
        <v>Minh Hóa</v>
      </c>
      <c r="D54" s="1230">
        <f>VLOOKUP($B54,DATA!$B$7:$AV$679,7,0)</f>
        <v>2019</v>
      </c>
      <c r="E54" s="1230">
        <f>VLOOKUP($B54,DATA!$B$7:$AV$679,9,0)</f>
        <v>2021</v>
      </c>
      <c r="F54" s="1216" t="str">
        <f>VLOOKUP($B54,DATA!$B$7:$AV$679,12,0)</f>
        <v>3891a/QĐ-UBND ngày 31/10/2018</v>
      </c>
      <c r="G54" s="1568">
        <f>VLOOKUP($B54,DATA!$B$7:$AV$679,13,0)</f>
        <v>10000</v>
      </c>
      <c r="H54" s="1568">
        <f>VLOOKUP($B54,DATA!$B$7:$AV$679,15,0)</f>
        <v>6000</v>
      </c>
      <c r="I54" s="1568">
        <f>VLOOKUP($B54,DATA!$B$7:$AV$679,29,0)</f>
        <v>3600</v>
      </c>
      <c r="J54" s="1568">
        <f>VLOOKUP($B54,DATA!$B$7:$AV$679,29,0)</f>
        <v>3600</v>
      </c>
      <c r="K54" s="1568">
        <f>VLOOKUP($B54,DATA!$B$7:$AV$679,35,0)</f>
        <v>1800</v>
      </c>
      <c r="L54" s="1568">
        <f>VLOOKUP($B54,DATA!$B$7:$AV$679,36,0)</f>
        <v>1800</v>
      </c>
      <c r="M54" s="1568">
        <f t="shared" si="8"/>
        <v>2100</v>
      </c>
      <c r="N54" s="1572"/>
      <c r="O54" s="1563">
        <v>3900</v>
      </c>
      <c r="P54" s="1563">
        <v>3900</v>
      </c>
      <c r="Q54" s="1563">
        <v>1800</v>
      </c>
      <c r="R54" s="1563">
        <v>1800</v>
      </c>
      <c r="S54" s="1563">
        <v>2100</v>
      </c>
      <c r="T54" s="1571">
        <f t="shared" si="3"/>
        <v>3900</v>
      </c>
      <c r="U54" s="1571">
        <f t="shared" si="4"/>
        <v>3900</v>
      </c>
      <c r="V54" s="1650">
        <f t="shared" si="9"/>
        <v>2100</v>
      </c>
      <c r="W54" s="1218"/>
      <c r="X54" s="59" t="s">
        <v>1679</v>
      </c>
    </row>
    <row r="55" spans="1:25" ht="48" customHeight="1">
      <c r="A55" s="500">
        <v>45</v>
      </c>
      <c r="B55" s="310" t="s">
        <v>1563</v>
      </c>
      <c r="C55" s="1216" t="str">
        <f>VLOOKUP($B55,DATA!$B$7:$AV$679,6,0)</f>
        <v>Quảng Trạch</v>
      </c>
      <c r="D55" s="1230">
        <f>VLOOKUP($B55,DATA!$B$7:$AV$679,7,0)</f>
        <v>2019</v>
      </c>
      <c r="E55" s="1230">
        <f>VLOOKUP($B55,DATA!$B$7:$AV$679,9,0)</f>
        <v>2021</v>
      </c>
      <c r="F55" s="1216" t="str">
        <f>VLOOKUP($B55,DATA!$B$7:$AV$679,12,0)</f>
        <v>3857/QĐ-UBND ngày 31/10/2018</v>
      </c>
      <c r="G55" s="1568">
        <f>VLOOKUP($B55,DATA!$B$7:$AV$679,13,0)</f>
        <v>9000</v>
      </c>
      <c r="H55" s="1568">
        <f>VLOOKUP($B55,DATA!$B$7:$AV$679,15,0)</f>
        <v>9000</v>
      </c>
      <c r="I55" s="1568">
        <f>VLOOKUP($B55,DATA!$B$7:$AV$679,29,0)</f>
        <v>5400</v>
      </c>
      <c r="J55" s="1568">
        <f>VLOOKUP($B55,DATA!$B$7:$AV$679,29,0)</f>
        <v>5400</v>
      </c>
      <c r="K55" s="1568">
        <f>VLOOKUP($B55,DATA!$B$7:$AV$679,35,0)</f>
        <v>2700</v>
      </c>
      <c r="L55" s="1568">
        <f>VLOOKUP($B55,DATA!$B$7:$AV$679,36,0)</f>
        <v>2700</v>
      </c>
      <c r="M55" s="1568">
        <f t="shared" si="8"/>
        <v>3150</v>
      </c>
      <c r="N55" s="1572"/>
      <c r="O55" s="1563">
        <v>5850</v>
      </c>
      <c r="P55" s="1563">
        <v>5850</v>
      </c>
      <c r="Q55" s="1563">
        <v>2700</v>
      </c>
      <c r="R55" s="1563">
        <v>2700</v>
      </c>
      <c r="S55" s="1563">
        <v>3150</v>
      </c>
      <c r="T55" s="1571">
        <f t="shared" si="3"/>
        <v>5850</v>
      </c>
      <c r="U55" s="1571">
        <f t="shared" si="4"/>
        <v>5850</v>
      </c>
      <c r="V55" s="1650">
        <f>H55*0.9-U55</f>
        <v>2250</v>
      </c>
      <c r="W55" s="1218"/>
      <c r="X55" s="59" t="s">
        <v>2546</v>
      </c>
    </row>
    <row r="56" spans="1:25" ht="48" customHeight="1">
      <c r="A56" s="500">
        <v>46</v>
      </c>
      <c r="B56" s="547" t="s">
        <v>1786</v>
      </c>
      <c r="C56" s="1216" t="str">
        <f>VLOOKUP($B56,DATA!$B$7:$AV$679,6,0)</f>
        <v>Đồng Hới</v>
      </c>
      <c r="D56" s="1230">
        <f>VLOOKUP($B56,DATA!$B$7:$AV$679,7,0)</f>
        <v>2019</v>
      </c>
      <c r="E56" s="1230">
        <f>VLOOKUP($B56,DATA!$B$7:$AV$679,9,0)</f>
        <v>2021</v>
      </c>
      <c r="F56" s="1216" t="str">
        <f>VLOOKUP($B56,DATA!$B$7:$AV$679,12,0)</f>
        <v xml:space="preserve">3856a/QĐ-UBND ngày 31/10/2018 </v>
      </c>
      <c r="G56" s="1568">
        <f>VLOOKUP($B56,DATA!$B$7:$AV$679,13,0)</f>
        <v>21500</v>
      </c>
      <c r="H56" s="1568">
        <f>VLOOKUP($B56,DATA!$B$7:$AV$679,15,0)</f>
        <v>10000</v>
      </c>
      <c r="I56" s="1568">
        <f>VLOOKUP($B56,DATA!$B$7:$AV$679,29,0)</f>
        <v>6000</v>
      </c>
      <c r="J56" s="1568">
        <f>VLOOKUP($B56,DATA!$B$7:$AV$679,29,0)</f>
        <v>6000</v>
      </c>
      <c r="K56" s="1568">
        <f>VLOOKUP($B56,DATA!$B$7:$AV$679,35,0)</f>
        <v>3000</v>
      </c>
      <c r="L56" s="1568">
        <f>VLOOKUP($B56,DATA!$B$7:$AV$679,36,0)</f>
        <v>3000</v>
      </c>
      <c r="M56" s="1568">
        <f t="shared" si="8"/>
        <v>3500</v>
      </c>
      <c r="N56" s="1572"/>
      <c r="O56" s="1563">
        <v>6500</v>
      </c>
      <c r="P56" s="1563">
        <v>6500</v>
      </c>
      <c r="Q56" s="1563">
        <v>3000</v>
      </c>
      <c r="R56" s="1563">
        <v>3000</v>
      </c>
      <c r="S56" s="1563">
        <v>3500</v>
      </c>
      <c r="T56" s="1571">
        <f t="shared" si="3"/>
        <v>6500</v>
      </c>
      <c r="U56" s="1571">
        <f t="shared" si="4"/>
        <v>6500</v>
      </c>
      <c r="V56" s="1650">
        <f t="shared" si="9"/>
        <v>3500</v>
      </c>
      <c r="W56" s="1218"/>
      <c r="X56" s="59" t="s">
        <v>1730</v>
      </c>
    </row>
    <row r="57" spans="1:25" ht="48" customHeight="1">
      <c r="A57" s="500">
        <v>47</v>
      </c>
      <c r="B57" s="310" t="s">
        <v>1693</v>
      </c>
      <c r="C57" s="1216" t="str">
        <f>VLOOKUP($B57,DATA!$B$7:$AV$679,6,0)</f>
        <v>Quảng Ninh</v>
      </c>
      <c r="D57" s="1230">
        <f>VLOOKUP($B57,DATA!$B$7:$AV$679,7,0)</f>
        <v>2019</v>
      </c>
      <c r="E57" s="1230">
        <f>VLOOKUP($B57,DATA!$B$7:$AV$679,9,0)</f>
        <v>2021</v>
      </c>
      <c r="F57" s="1216" t="str">
        <f>VLOOKUP($B57,DATA!$B$7:$AV$679,12,0)</f>
        <v>3734/QĐ-UBND ngày 30/10/2018</v>
      </c>
      <c r="G57" s="1568">
        <f>VLOOKUP($B57,DATA!$B$7:$AV$679,13,0)</f>
        <v>12000</v>
      </c>
      <c r="H57" s="1568">
        <f>VLOOKUP($B57,DATA!$B$7:$AV$679,15,0)</f>
        <v>7200</v>
      </c>
      <c r="I57" s="1568">
        <f>VLOOKUP($B57,DATA!$B$7:$AV$679,29,0)</f>
        <v>4320</v>
      </c>
      <c r="J57" s="1568">
        <f>VLOOKUP($B57,DATA!$B$7:$AV$679,29,0)</f>
        <v>4320</v>
      </c>
      <c r="K57" s="1568">
        <f>VLOOKUP($B57,DATA!$B$7:$AV$679,35,0)</f>
        <v>2160</v>
      </c>
      <c r="L57" s="1568">
        <f>VLOOKUP($B57,DATA!$B$7:$AV$679,36,0)</f>
        <v>2160</v>
      </c>
      <c r="M57" s="1568">
        <f t="shared" si="8"/>
        <v>2520</v>
      </c>
      <c r="N57" s="1572"/>
      <c r="O57" s="1563">
        <v>4680</v>
      </c>
      <c r="P57" s="1563">
        <v>4680</v>
      </c>
      <c r="Q57" s="1563">
        <v>2160</v>
      </c>
      <c r="R57" s="1563">
        <v>2160</v>
      </c>
      <c r="S57" s="1563">
        <v>2520</v>
      </c>
      <c r="T57" s="1571">
        <f t="shared" si="3"/>
        <v>4680</v>
      </c>
      <c r="U57" s="1571">
        <f t="shared" si="4"/>
        <v>4680</v>
      </c>
      <c r="V57" s="1650">
        <f t="shared" si="9"/>
        <v>2520</v>
      </c>
      <c r="W57" s="1218"/>
      <c r="X57" s="59" t="s">
        <v>631</v>
      </c>
    </row>
    <row r="58" spans="1:25" ht="48" customHeight="1">
      <c r="A58" s="500">
        <v>48</v>
      </c>
      <c r="B58" s="310" t="s">
        <v>1696</v>
      </c>
      <c r="C58" s="1216" t="str">
        <f>VLOOKUP($B58,DATA!$B$7:$AV$679,6,0)</f>
        <v>Quảng Ninh</v>
      </c>
      <c r="D58" s="1230">
        <f>VLOOKUP($B58,DATA!$B$7:$AV$679,7,0)</f>
        <v>2019</v>
      </c>
      <c r="E58" s="1230">
        <f>VLOOKUP($B58,DATA!$B$7:$AV$679,9,0)</f>
        <v>2021</v>
      </c>
      <c r="F58" s="1216" t="str">
        <f>VLOOKUP($B58,DATA!$B$7:$AV$679,12,0)</f>
        <v>3862/QĐ-UBND ngày 31/10/2018</v>
      </c>
      <c r="G58" s="1568">
        <f>VLOOKUP($B58,DATA!$B$7:$AV$679,13,0)</f>
        <v>13500</v>
      </c>
      <c r="H58" s="1568">
        <f>VLOOKUP($B58,DATA!$B$7:$AV$679,15,0)</f>
        <v>8100</v>
      </c>
      <c r="I58" s="1568">
        <f>VLOOKUP($B58,DATA!$B$7:$AV$679,29,0)</f>
        <v>4860</v>
      </c>
      <c r="J58" s="1568">
        <f>VLOOKUP($B58,DATA!$B$7:$AV$679,29,0)</f>
        <v>4860</v>
      </c>
      <c r="K58" s="1568">
        <f>VLOOKUP($B58,DATA!$B$7:$AV$679,35,0)</f>
        <v>2430</v>
      </c>
      <c r="L58" s="1568">
        <f>VLOOKUP($B58,DATA!$B$7:$AV$679,36,0)</f>
        <v>2430</v>
      </c>
      <c r="M58" s="1568">
        <f t="shared" si="8"/>
        <v>2835</v>
      </c>
      <c r="N58" s="1572"/>
      <c r="O58" s="1563">
        <v>5265</v>
      </c>
      <c r="P58" s="1563">
        <v>5265</v>
      </c>
      <c r="Q58" s="1563">
        <v>2430</v>
      </c>
      <c r="R58" s="1563">
        <v>2430</v>
      </c>
      <c r="S58" s="1563">
        <v>2835</v>
      </c>
      <c r="T58" s="1571">
        <f t="shared" ref="T58:T61" si="10">Q58+S58</f>
        <v>5265</v>
      </c>
      <c r="U58" s="1571">
        <f t="shared" ref="U58:U61" si="11">R58+S58</f>
        <v>5265</v>
      </c>
      <c r="V58" s="1650">
        <f t="shared" si="9"/>
        <v>2835</v>
      </c>
      <c r="W58" s="1218"/>
      <c r="X58" s="59" t="s">
        <v>631</v>
      </c>
    </row>
    <row r="59" spans="1:25" ht="88.5" customHeight="1">
      <c r="A59" s="500">
        <v>49</v>
      </c>
      <c r="B59" s="1541" t="s">
        <v>1782</v>
      </c>
      <c r="C59" s="1216" t="str">
        <f>VLOOKUP($B59,DATA!$B$7:$AV$679,6,0)</f>
        <v>Đồng Hới</v>
      </c>
      <c r="D59" s="1230">
        <f>VLOOKUP($B59,DATA!$B$7:$AV$679,7,0)</f>
        <v>2019</v>
      </c>
      <c r="E59" s="1230">
        <f>VLOOKUP($B59,DATA!$B$7:$AV$679,9,0)</f>
        <v>2021</v>
      </c>
      <c r="F59" s="1216" t="str">
        <f>VLOOKUP($B59,DATA!$B$7:$AV$679,12,0)</f>
        <v xml:space="preserve">3767/QĐ-UBND ngày 31/10/2018 </v>
      </c>
      <c r="G59" s="1568">
        <f>VLOOKUP($B59,DATA!$B$7:$AV$679,13,0)</f>
        <v>14800</v>
      </c>
      <c r="H59" s="1568">
        <f>VLOOKUP($B59,DATA!$B$7:$AV$679,15,0)</f>
        <v>14800</v>
      </c>
      <c r="I59" s="1568">
        <f>VLOOKUP($B59,DATA!$B$7:$AV$679,29,0)</f>
        <v>8880</v>
      </c>
      <c r="J59" s="1568">
        <f>VLOOKUP($B59,DATA!$B$7:$AV$679,29,0)</f>
        <v>8880</v>
      </c>
      <c r="K59" s="1568">
        <f>VLOOKUP($B59,DATA!$B$7:$AV$679,35,0)</f>
        <v>4440</v>
      </c>
      <c r="L59" s="1568">
        <f>VLOOKUP($B59,DATA!$B$7:$AV$679,36,0)</f>
        <v>4440</v>
      </c>
      <c r="M59" s="1568">
        <f t="shared" si="8"/>
        <v>5180</v>
      </c>
      <c r="N59" s="1572"/>
      <c r="O59" s="1563">
        <v>9620</v>
      </c>
      <c r="P59" s="1563">
        <v>9620</v>
      </c>
      <c r="Q59" s="1563">
        <v>4440</v>
      </c>
      <c r="R59" s="1563">
        <v>4440</v>
      </c>
      <c r="S59" s="1563">
        <v>5180</v>
      </c>
      <c r="T59" s="1571">
        <f t="shared" si="10"/>
        <v>9620</v>
      </c>
      <c r="U59" s="1571">
        <f t="shared" si="11"/>
        <v>9620</v>
      </c>
      <c r="V59" s="1650">
        <f>H59*0.9-T59</f>
        <v>3700</v>
      </c>
      <c r="W59" s="1218"/>
      <c r="X59" s="59" t="s">
        <v>1370</v>
      </c>
    </row>
    <row r="60" spans="1:25" ht="72" customHeight="1">
      <c r="A60" s="500">
        <v>50</v>
      </c>
      <c r="B60" s="1541" t="s">
        <v>1709</v>
      </c>
      <c r="C60" s="1216" t="str">
        <f>VLOOKUP($B60,DATA!$B$7:$AV$679,6,0)</f>
        <v>Tuyên Hóa</v>
      </c>
      <c r="D60" s="1230">
        <f>VLOOKUP($B60,DATA!$B$7:$AV$679,7,0)</f>
        <v>2019</v>
      </c>
      <c r="E60" s="1230">
        <f>VLOOKUP($B60,DATA!$B$7:$AV$679,9,0)</f>
        <v>2021</v>
      </c>
      <c r="F60" s="1216" t="str">
        <f>VLOOKUP($B60,DATA!$B$7:$AV$679,12,0)</f>
        <v>2377/QĐ-UBND ngày 20/7/2018</v>
      </c>
      <c r="G60" s="1568">
        <f>VLOOKUP($B60,DATA!$B$7:$AV$679,13,0)</f>
        <v>14981</v>
      </c>
      <c r="H60" s="1568">
        <f>VLOOKUP($B60,DATA!$B$7:$AV$679,15,0)</f>
        <v>14981</v>
      </c>
      <c r="I60" s="1568">
        <f>VLOOKUP($B60,DATA!$B$7:$AV$679,29,0)</f>
        <v>8988.6</v>
      </c>
      <c r="J60" s="1568">
        <f>VLOOKUP($B60,DATA!$B$7:$AV$679,29,0)</f>
        <v>8988.6</v>
      </c>
      <c r="K60" s="1568">
        <f>VLOOKUP($B60,DATA!$B$7:$AV$679,35,0)</f>
        <v>4500</v>
      </c>
      <c r="L60" s="1568">
        <f>VLOOKUP($B60,DATA!$B$7:$AV$679,36,0)</f>
        <v>4500</v>
      </c>
      <c r="M60" s="1568">
        <f t="shared" si="8"/>
        <v>5240.5</v>
      </c>
      <c r="N60" s="1572"/>
      <c r="O60" s="1563">
        <v>9741</v>
      </c>
      <c r="P60" s="1563">
        <v>9741</v>
      </c>
      <c r="Q60" s="1563">
        <v>4500</v>
      </c>
      <c r="R60" s="1563">
        <v>4500</v>
      </c>
      <c r="S60" s="1563">
        <v>5240.5</v>
      </c>
      <c r="T60" s="1571">
        <f t="shared" si="10"/>
        <v>9740.5</v>
      </c>
      <c r="U60" s="1571">
        <f t="shared" si="11"/>
        <v>9740.5</v>
      </c>
      <c r="V60" s="1650">
        <f>14852-T60</f>
        <v>5111.5</v>
      </c>
      <c r="W60" s="1539" t="s">
        <v>2602</v>
      </c>
      <c r="X60" s="59" t="s">
        <v>1537</v>
      </c>
      <c r="Y60" s="13" t="s">
        <v>2567</v>
      </c>
    </row>
    <row r="61" spans="1:25" ht="93" customHeight="1">
      <c r="A61" s="500">
        <v>51</v>
      </c>
      <c r="B61" s="310" t="s">
        <v>1717</v>
      </c>
      <c r="C61" s="1216" t="str">
        <f>VLOOKUP($B61,DATA!$B$7:$AV$679,6,0)</f>
        <v>Ba Đồn</v>
      </c>
      <c r="D61" s="1230">
        <f>VLOOKUP($B61,DATA!$B$7:$AV$679,7,0)</f>
        <v>2019</v>
      </c>
      <c r="E61" s="1230">
        <f>VLOOKUP($B61,DATA!$B$7:$AV$679,9,0)</f>
        <v>2021</v>
      </c>
      <c r="F61" s="1216" t="str">
        <f>VLOOKUP($B61,DATA!$B$7:$AV$679,12,0)</f>
        <v>3887/QĐ-UBND ngày 31/10/2018</v>
      </c>
      <c r="G61" s="1568">
        <f>VLOOKUP($B61,DATA!$B$7:$AV$679,13,0)</f>
        <v>27000</v>
      </c>
      <c r="H61" s="1568">
        <f>VLOOKUP($B61,DATA!$B$7:$AV$679,15,0)</f>
        <v>16200</v>
      </c>
      <c r="I61" s="1568">
        <f>VLOOKUP($B61,DATA!$B$7:$AV$679,29,0)</f>
        <v>9720</v>
      </c>
      <c r="J61" s="1568">
        <f>VLOOKUP($B61,DATA!$B$7:$AV$679,29,0)</f>
        <v>9720</v>
      </c>
      <c r="K61" s="1568">
        <f>VLOOKUP($B61,DATA!$B$7:$AV$679,35,0)</f>
        <v>4860</v>
      </c>
      <c r="L61" s="1568">
        <f>VLOOKUP($B61,DATA!$B$7:$AV$679,36,0)</f>
        <v>4860</v>
      </c>
      <c r="M61" s="1568">
        <f t="shared" si="8"/>
        <v>5670</v>
      </c>
      <c r="N61" s="1572"/>
      <c r="O61" s="1563">
        <v>10530</v>
      </c>
      <c r="P61" s="1563">
        <v>10530</v>
      </c>
      <c r="Q61" s="1563">
        <v>4860</v>
      </c>
      <c r="R61" s="1563">
        <v>4860</v>
      </c>
      <c r="S61" s="1563">
        <v>5670</v>
      </c>
      <c r="T61" s="1571">
        <f t="shared" si="10"/>
        <v>10530</v>
      </c>
      <c r="U61" s="1571">
        <f t="shared" si="11"/>
        <v>10530</v>
      </c>
      <c r="V61" s="1650">
        <f t="shared" ref="V61:V105" si="12">H61-U61</f>
        <v>5670</v>
      </c>
      <c r="W61" s="1218"/>
      <c r="X61" s="59" t="s">
        <v>1451</v>
      </c>
    </row>
    <row r="62" spans="1:25" ht="53.25" customHeight="1">
      <c r="A62" s="500">
        <v>52</v>
      </c>
      <c r="B62" s="1541" t="s">
        <v>1823</v>
      </c>
      <c r="C62" s="1216" t="str">
        <f>VLOOKUP($B62,DATA!$B$7:$AV$679,6,0)</f>
        <v>Đồng Hới</v>
      </c>
      <c r="D62" s="1230">
        <f>VLOOKUP($B62,DATA!$B$7:$AV$679,7,0)</f>
        <v>2019</v>
      </c>
      <c r="E62" s="1230">
        <f>VLOOKUP($B62,DATA!$B$7:$AV$679,9,0)</f>
        <v>2021</v>
      </c>
      <c r="F62" s="1216" t="str">
        <f>VLOOKUP($B62,DATA!$B$7:$AV$679,12,0)</f>
        <v>3867/QĐ-UBND ngày 31/10/2018</v>
      </c>
      <c r="G62" s="1568">
        <f>VLOOKUP($B62,DATA!$B$7:$AV$679,13,0)</f>
        <v>4000</v>
      </c>
      <c r="H62" s="1568">
        <f>VLOOKUP($B62,DATA!$B$7:$AV$679,15,0)</f>
        <v>2400</v>
      </c>
      <c r="I62" s="1568">
        <f>VLOOKUP($B62,DATA!$B$7:$AV$679,29,0)</f>
        <v>1200</v>
      </c>
      <c r="J62" s="1568">
        <f>VLOOKUP($B62,DATA!$B$7:$AV$679,30,0)</f>
        <v>1200</v>
      </c>
      <c r="K62" s="1568">
        <f>VLOOKUP($B62,DATA!$B$7:$BA$679,50,0)</f>
        <v>1000</v>
      </c>
      <c r="L62" s="1568">
        <f>VLOOKUP($B62,DATA!$B$7:$AV$679,36,0)</f>
        <v>0</v>
      </c>
      <c r="M62" s="1568">
        <f t="shared" ref="M62:M69" si="13">H62*0.5</f>
        <v>1200</v>
      </c>
      <c r="N62" s="20"/>
      <c r="O62" s="1231">
        <v>2080</v>
      </c>
      <c r="P62" s="1231">
        <v>1080</v>
      </c>
      <c r="Q62" s="1231">
        <v>1000</v>
      </c>
      <c r="R62" s="1231"/>
      <c r="S62" s="1568">
        <v>1080</v>
      </c>
      <c r="T62" s="1571">
        <f t="shared" ref="T62:T69" si="14">Q62+S62</f>
        <v>2080</v>
      </c>
      <c r="U62" s="1571">
        <f t="shared" ref="U62:U69" si="15">R62+S62</f>
        <v>1080</v>
      </c>
      <c r="V62" s="1646">
        <f t="shared" si="12"/>
        <v>1320</v>
      </c>
      <c r="W62" s="1218"/>
      <c r="X62" s="59" t="s">
        <v>577</v>
      </c>
    </row>
    <row r="63" spans="1:25" ht="53.25" customHeight="1">
      <c r="A63" s="500">
        <v>53</v>
      </c>
      <c r="B63" s="1541" t="s">
        <v>1813</v>
      </c>
      <c r="C63" s="1216" t="str">
        <f>VLOOKUP($B63,DATA!$B$7:$AV$679,6,0)</f>
        <v>Quảng Ninh</v>
      </c>
      <c r="D63" s="1230">
        <f>VLOOKUP($B63,DATA!$B$7:$AV$679,7,0)</f>
        <v>2019</v>
      </c>
      <c r="E63" s="1230">
        <f>VLOOKUP($B63,DATA!$B$7:$AV$679,9,0)</f>
        <v>2021</v>
      </c>
      <c r="F63" s="1216" t="str">
        <f>VLOOKUP($B63,DATA!$B$7:$AV$679,12,0)</f>
        <v>2756/QĐ-UBND ngày 21/8/2018</v>
      </c>
      <c r="G63" s="1568">
        <f>VLOOKUP($B63,DATA!$B$7:$AV$679,13,0)</f>
        <v>4500</v>
      </c>
      <c r="H63" s="1568">
        <f>VLOOKUP($B63,DATA!$B$7:$AV$679,15,0)</f>
        <v>2700</v>
      </c>
      <c r="I63" s="1568">
        <f>VLOOKUP($B63,DATA!$B$7:$AV$679,29,0)</f>
        <v>1350</v>
      </c>
      <c r="J63" s="1568">
        <f>VLOOKUP($B63,DATA!$B$7:$AV$679,30,0)</f>
        <v>1350</v>
      </c>
      <c r="K63" s="1568">
        <f>VLOOKUP($B63,DATA!$B$7:$BA$679,50,0)</f>
        <v>800</v>
      </c>
      <c r="L63" s="1568">
        <f>VLOOKUP($B63,DATA!$B$7:$AV$679,36,0)</f>
        <v>0</v>
      </c>
      <c r="M63" s="1568">
        <f t="shared" si="13"/>
        <v>1350</v>
      </c>
      <c r="N63" s="20"/>
      <c r="O63" s="1231">
        <v>2015</v>
      </c>
      <c r="P63" s="1231">
        <v>1215</v>
      </c>
      <c r="Q63" s="1231">
        <v>800</v>
      </c>
      <c r="R63" s="1231"/>
      <c r="S63" s="1568">
        <v>1215</v>
      </c>
      <c r="T63" s="1571">
        <f t="shared" si="14"/>
        <v>2015</v>
      </c>
      <c r="U63" s="1571">
        <f t="shared" si="15"/>
        <v>1215</v>
      </c>
      <c r="V63" s="1646">
        <f t="shared" si="12"/>
        <v>1485</v>
      </c>
      <c r="W63" s="1218"/>
      <c r="X63" s="59" t="s">
        <v>631</v>
      </c>
    </row>
    <row r="64" spans="1:25" ht="64.5" customHeight="1">
      <c r="A64" s="500">
        <v>54</v>
      </c>
      <c r="B64" s="1541" t="s">
        <v>1803</v>
      </c>
      <c r="C64" s="1216" t="str">
        <f>VLOOKUP($B64,DATA!$B$7:$AV$679,6,0)</f>
        <v>Bố Trạch</v>
      </c>
      <c r="D64" s="1230">
        <f>VLOOKUP($B64,DATA!$B$7:$AV$679,7,0)</f>
        <v>2019</v>
      </c>
      <c r="E64" s="1230">
        <f>VLOOKUP($B64,DATA!$B$7:$AV$679,9,0)</f>
        <v>2021</v>
      </c>
      <c r="F64" s="1216" t="str">
        <f>VLOOKUP($B64,DATA!$B$7:$AV$679,12,0)</f>
        <v>3208/QĐ-UBND ngày 26/9/2018</v>
      </c>
      <c r="G64" s="1568">
        <f>VLOOKUP($B64,DATA!$B$7:$AV$679,13,0)</f>
        <v>5000</v>
      </c>
      <c r="H64" s="1568">
        <f>VLOOKUP($B64,DATA!$B$7:$AV$679,15,0)</f>
        <v>3000</v>
      </c>
      <c r="I64" s="1568">
        <f>VLOOKUP($B64,DATA!$B$7:$AV$679,29,0)</f>
        <v>1500</v>
      </c>
      <c r="J64" s="1568">
        <f>VLOOKUP($B64,DATA!$B$7:$AV$679,30,0)</f>
        <v>1500</v>
      </c>
      <c r="K64" s="1568">
        <f>VLOOKUP($B64,DATA!$B$7:$BA$679,50,0)</f>
        <v>800</v>
      </c>
      <c r="L64" s="1568">
        <f>VLOOKUP($B64,DATA!$B$7:$AV$679,36,0)</f>
        <v>0</v>
      </c>
      <c r="M64" s="1568">
        <f t="shared" si="13"/>
        <v>1500</v>
      </c>
      <c r="N64" s="20"/>
      <c r="O64" s="1231">
        <v>2150</v>
      </c>
      <c r="P64" s="1231">
        <v>1350</v>
      </c>
      <c r="Q64" s="1231">
        <v>800</v>
      </c>
      <c r="R64" s="1231"/>
      <c r="S64" s="1568">
        <v>1350</v>
      </c>
      <c r="T64" s="1571">
        <f t="shared" si="14"/>
        <v>2150</v>
      </c>
      <c r="U64" s="1571">
        <f t="shared" si="15"/>
        <v>1350</v>
      </c>
      <c r="V64" s="1646">
        <f t="shared" si="12"/>
        <v>1650</v>
      </c>
      <c r="W64" s="1218"/>
      <c r="X64" s="59" t="s">
        <v>999</v>
      </c>
      <c r="Y64" s="13" t="s">
        <v>2568</v>
      </c>
    </row>
    <row r="65" spans="1:25" ht="53.25" customHeight="1">
      <c r="A65" s="500">
        <v>55</v>
      </c>
      <c r="B65" s="1541" t="s">
        <v>1816</v>
      </c>
      <c r="C65" s="1216" t="str">
        <f>VLOOKUP($B65,DATA!$B$7:$AV$679,6,0)</f>
        <v>Bố Trạch</v>
      </c>
      <c r="D65" s="1230">
        <f>VLOOKUP($B65,DATA!$B$7:$AV$679,7,0)</f>
        <v>2019</v>
      </c>
      <c r="E65" s="1230">
        <f>VLOOKUP($B65,DATA!$B$7:$AV$679,9,0)</f>
        <v>2021</v>
      </c>
      <c r="F65" s="1216" t="str">
        <f>VLOOKUP($B65,DATA!$B$7:$AV$679,12,0)</f>
        <v>3863/QĐ-UBND ngày 31/10/2018</v>
      </c>
      <c r="G65" s="1568">
        <f>VLOOKUP($B65,DATA!$B$7:$AV$679,13,0)</f>
        <v>4250</v>
      </c>
      <c r="H65" s="1568">
        <f>VLOOKUP($B65,DATA!$B$7:$AV$679,15,0)</f>
        <v>2550</v>
      </c>
      <c r="I65" s="1568">
        <f>VLOOKUP($B65,DATA!$B$7:$AV$679,29,0)</f>
        <v>1275</v>
      </c>
      <c r="J65" s="1568">
        <f>VLOOKUP($B65,DATA!$B$7:$AV$679,30,0)</f>
        <v>1275</v>
      </c>
      <c r="K65" s="1568">
        <f>VLOOKUP($B65,DATA!$B$7:$BA$679,50,0)</f>
        <v>800</v>
      </c>
      <c r="L65" s="1568">
        <f>VLOOKUP($B65,DATA!$B$7:$AV$679,36,0)</f>
        <v>0</v>
      </c>
      <c r="M65" s="1568">
        <f t="shared" si="13"/>
        <v>1275</v>
      </c>
      <c r="N65" s="20"/>
      <c r="O65" s="1231">
        <v>2150</v>
      </c>
      <c r="P65" s="1231">
        <v>1350</v>
      </c>
      <c r="Q65" s="1231">
        <v>800</v>
      </c>
      <c r="R65" s="1231"/>
      <c r="S65" s="1568">
        <v>1350</v>
      </c>
      <c r="T65" s="1571">
        <f t="shared" si="14"/>
        <v>2150</v>
      </c>
      <c r="U65" s="1571">
        <f t="shared" si="15"/>
        <v>1350</v>
      </c>
      <c r="V65" s="1646">
        <f t="shared" si="12"/>
        <v>1200</v>
      </c>
      <c r="W65" s="1218"/>
      <c r="X65" s="59" t="s">
        <v>999</v>
      </c>
    </row>
    <row r="66" spans="1:25" ht="53.25" customHeight="1">
      <c r="A66" s="500">
        <v>56</v>
      </c>
      <c r="B66" s="1562" t="s">
        <v>1810</v>
      </c>
      <c r="C66" s="1216" t="str">
        <f>VLOOKUP($B66,DATA!$B$7:$AV$679,6,0)</f>
        <v>Quảng Ninh</v>
      </c>
      <c r="D66" s="1230">
        <f>VLOOKUP($B66,DATA!$B$7:$AV$679,7,0)</f>
        <v>2019</v>
      </c>
      <c r="E66" s="1230">
        <f>VLOOKUP($B66,DATA!$B$7:$AV$679,9,0)</f>
        <v>2021</v>
      </c>
      <c r="F66" s="1216" t="str">
        <f>VLOOKUP($B66,DATA!$B$7:$AV$679,12,0)</f>
        <v>3143/QĐ-UBND ngày 20/9/2018</v>
      </c>
      <c r="G66" s="1568">
        <f>VLOOKUP($B66,DATA!$B$7:$AV$679,13,0)</f>
        <v>7000</v>
      </c>
      <c r="H66" s="1568">
        <f>VLOOKUP($B66,DATA!$B$7:$AV$679,15,0)</f>
        <v>4200</v>
      </c>
      <c r="I66" s="1568">
        <f>VLOOKUP($B66,DATA!$B$7:$AV$679,29,0)</f>
        <v>2100</v>
      </c>
      <c r="J66" s="1568">
        <f>VLOOKUP($B66,DATA!$B$7:$AV$679,30,0)</f>
        <v>2100</v>
      </c>
      <c r="K66" s="1569">
        <f>VLOOKUP($B66,DATA!$B$7:$BA$679,50,0)+1890</f>
        <v>2690</v>
      </c>
      <c r="L66" s="1569">
        <f>VLOOKUP($B66,DATA!$B$7:$AV$679,36,0)+1890</f>
        <v>1890</v>
      </c>
      <c r="M66" s="1569">
        <v>2100</v>
      </c>
      <c r="N66" s="20">
        <v>1890</v>
      </c>
      <c r="O66" s="1231">
        <v>4790</v>
      </c>
      <c r="P66" s="1231">
        <v>3990</v>
      </c>
      <c r="Q66" s="1231">
        <v>2690</v>
      </c>
      <c r="R66" s="1231">
        <v>1890</v>
      </c>
      <c r="S66" s="1568">
        <v>2100</v>
      </c>
      <c r="T66" s="1571">
        <f t="shared" si="14"/>
        <v>4790</v>
      </c>
      <c r="U66" s="1571">
        <f t="shared" si="15"/>
        <v>3990</v>
      </c>
      <c r="V66" s="1646">
        <f t="shared" si="12"/>
        <v>210</v>
      </c>
      <c r="W66" s="1218"/>
      <c r="X66" s="59" t="s">
        <v>631</v>
      </c>
      <c r="Y66" s="13" t="s">
        <v>2569</v>
      </c>
    </row>
    <row r="67" spans="1:25" ht="53.25" customHeight="1">
      <c r="A67" s="500">
        <v>57</v>
      </c>
      <c r="B67" s="1541" t="s">
        <v>2526</v>
      </c>
      <c r="C67" s="1216" t="str">
        <f>VLOOKUP($B67,DATA!$B$7:$AV$679,6,0)</f>
        <v>Lệ Thủy</v>
      </c>
      <c r="D67" s="1230">
        <f>VLOOKUP($B67,DATA!$B$7:$AV$679,7,0)</f>
        <v>2019</v>
      </c>
      <c r="E67" s="1230">
        <f>VLOOKUP($B67,DATA!$B$7:$AV$679,9,0)</f>
        <v>2021</v>
      </c>
      <c r="F67" s="1216" t="str">
        <f>VLOOKUP($B67,DATA!$B$7:$AV$679,12,0)</f>
        <v>3723/QĐ-UBND ngày 30/10/2018</v>
      </c>
      <c r="G67" s="1568">
        <f>VLOOKUP($B67,DATA!$B$7:$AV$679,13,0)</f>
        <v>13000</v>
      </c>
      <c r="H67" s="1568">
        <f>VLOOKUP($B67,DATA!$B$7:$AV$679,15,0)</f>
        <v>7800</v>
      </c>
      <c r="I67" s="1568">
        <f>VLOOKUP($B67,DATA!$B$7:$AV$679,29,0)</f>
        <v>3900</v>
      </c>
      <c r="J67" s="1568">
        <f>VLOOKUP($B67,DATA!$B$7:$AV$679,30,0)</f>
        <v>3900</v>
      </c>
      <c r="K67" s="1568">
        <f>VLOOKUP($B67,DATA!$B$7:$BA$679,50,0)</f>
        <v>0</v>
      </c>
      <c r="L67" s="1568">
        <f>VLOOKUP($B67,DATA!$B$7:$AV$679,36,0)</f>
        <v>0</v>
      </c>
      <c r="M67" s="1568">
        <f t="shared" si="13"/>
        <v>3900</v>
      </c>
      <c r="N67" s="20"/>
      <c r="O67" s="1231">
        <v>3510</v>
      </c>
      <c r="P67" s="1231">
        <v>3510</v>
      </c>
      <c r="Q67" s="1231"/>
      <c r="R67" s="1231"/>
      <c r="S67" s="1568">
        <v>3510</v>
      </c>
      <c r="T67" s="1571">
        <f t="shared" si="14"/>
        <v>3510</v>
      </c>
      <c r="U67" s="1571">
        <f t="shared" si="15"/>
        <v>3510</v>
      </c>
      <c r="V67" s="1646">
        <f t="shared" si="12"/>
        <v>4290</v>
      </c>
      <c r="W67" s="1218"/>
      <c r="X67" s="59" t="s">
        <v>793</v>
      </c>
    </row>
    <row r="68" spans="1:25" ht="53.25" customHeight="1">
      <c r="A68" s="500">
        <v>58</v>
      </c>
      <c r="B68" s="1541" t="s">
        <v>2527</v>
      </c>
      <c r="C68" s="1216" t="str">
        <f>VLOOKUP($B68,DATA!$B$7:$AV$679,6,0)</f>
        <v>Bố Trạch</v>
      </c>
      <c r="D68" s="1230">
        <f>VLOOKUP($B68,DATA!$B$7:$AV$679,7,0)</f>
        <v>2019</v>
      </c>
      <c r="E68" s="1230">
        <f>VLOOKUP($B68,DATA!$B$7:$AV$679,9,0)</f>
        <v>2021</v>
      </c>
      <c r="F68" s="1216" t="str">
        <f>VLOOKUP($B68,DATA!$B$7:$AV$679,12,0)</f>
        <v>3707/QĐ-UBND ngày 30/10/2018</v>
      </c>
      <c r="G68" s="1568">
        <f>VLOOKUP($B68,DATA!$B$7:$AV$679,13,0)</f>
        <v>8000</v>
      </c>
      <c r="H68" s="1568">
        <f>VLOOKUP($B68,DATA!$B$7:$AV$679,15,0)</f>
        <v>4800</v>
      </c>
      <c r="I68" s="1568">
        <f>VLOOKUP($B68,DATA!$B$7:$AV$679,29,0)</f>
        <v>2400</v>
      </c>
      <c r="J68" s="1568">
        <f>VLOOKUP($B68,DATA!$B$7:$AV$679,30,0)</f>
        <v>2400</v>
      </c>
      <c r="K68" s="1568">
        <f>VLOOKUP($B68,DATA!$B$7:$BA$679,50,0)</f>
        <v>1000</v>
      </c>
      <c r="L68" s="1568">
        <f>VLOOKUP($B68,DATA!$B$7:$AV$679,36,0)</f>
        <v>0</v>
      </c>
      <c r="M68" s="1568">
        <f t="shared" si="13"/>
        <v>2400</v>
      </c>
      <c r="N68" s="20"/>
      <c r="O68" s="1231">
        <v>3160</v>
      </c>
      <c r="P68" s="1231">
        <v>2160</v>
      </c>
      <c r="Q68" s="1231">
        <v>1000</v>
      </c>
      <c r="R68" s="1231"/>
      <c r="S68" s="1568">
        <v>2160</v>
      </c>
      <c r="T68" s="1571">
        <f t="shared" si="14"/>
        <v>3160</v>
      </c>
      <c r="U68" s="1571">
        <f t="shared" si="15"/>
        <v>2160</v>
      </c>
      <c r="V68" s="1646">
        <f t="shared" si="12"/>
        <v>2640</v>
      </c>
      <c r="W68" s="1218"/>
      <c r="X68" s="59" t="s">
        <v>999</v>
      </c>
    </row>
    <row r="69" spans="1:25" ht="53.25" customHeight="1">
      <c r="A69" s="500">
        <v>59</v>
      </c>
      <c r="B69" s="1541" t="s">
        <v>2528</v>
      </c>
      <c r="C69" s="1216" t="str">
        <f>VLOOKUP($B69,DATA!$B$7:$AV$679,6,0)</f>
        <v>Lệ Thủy</v>
      </c>
      <c r="D69" s="1230">
        <f>VLOOKUP($B69,DATA!$B$7:$AV$679,7,0)</f>
        <v>2019</v>
      </c>
      <c r="E69" s="1230">
        <f>VLOOKUP($B69,DATA!$B$7:$AV$679,9,0)</f>
        <v>2021</v>
      </c>
      <c r="F69" s="1216" t="str">
        <f>VLOOKUP($B69,DATA!$B$7:$AV$679,12,0)</f>
        <v>3792/QĐ-UBND ngày 31/10/2018</v>
      </c>
      <c r="G69" s="1568">
        <f>VLOOKUP($B69,DATA!$B$7:$AV$679,13,0)</f>
        <v>10000</v>
      </c>
      <c r="H69" s="1568">
        <f>VLOOKUP($B69,DATA!$B$7:$AV$679,15,0)</f>
        <v>6000</v>
      </c>
      <c r="I69" s="1568">
        <f>VLOOKUP($B69,DATA!$B$7:$AV$679,29,0)</f>
        <v>3000</v>
      </c>
      <c r="J69" s="1568">
        <f>VLOOKUP($B69,DATA!$B$7:$AV$679,30,0)</f>
        <v>3000</v>
      </c>
      <c r="K69" s="1568">
        <f>VLOOKUP($B69,DATA!$B$7:$BA$679,50,0)</f>
        <v>0</v>
      </c>
      <c r="L69" s="1568">
        <f>VLOOKUP($B69,DATA!$B$7:$AV$679,36,0)</f>
        <v>0</v>
      </c>
      <c r="M69" s="1568">
        <f t="shared" si="13"/>
        <v>3000</v>
      </c>
      <c r="N69" s="20"/>
      <c r="O69" s="1231">
        <v>2700</v>
      </c>
      <c r="P69" s="1231">
        <v>2700</v>
      </c>
      <c r="Q69" s="1231"/>
      <c r="R69" s="1231"/>
      <c r="S69" s="1568">
        <v>2700</v>
      </c>
      <c r="T69" s="1571">
        <f t="shared" si="14"/>
        <v>2700</v>
      </c>
      <c r="U69" s="1571">
        <f t="shared" si="15"/>
        <v>2700</v>
      </c>
      <c r="V69" s="1646">
        <f t="shared" si="12"/>
        <v>3300</v>
      </c>
      <c r="W69" s="1218"/>
      <c r="X69" s="59" t="s">
        <v>793</v>
      </c>
    </row>
    <row r="70" spans="1:25" ht="67.5" customHeight="1">
      <c r="A70" s="500">
        <v>60</v>
      </c>
      <c r="B70" s="310" t="s">
        <v>2529</v>
      </c>
      <c r="C70" s="1216" t="str">
        <f>VLOOKUP($B70,DATA!$B$7:$AV$679,6,0)</f>
        <v>Lệ Thủy</v>
      </c>
      <c r="D70" s="1230">
        <f>VLOOKUP($B70,DATA!$B$7:$AV$679,7,0)</f>
        <v>2019</v>
      </c>
      <c r="E70" s="1230">
        <f>VLOOKUP($B70,DATA!$B$7:$AV$679,9,0)</f>
        <v>2021</v>
      </c>
      <c r="F70" s="1216" t="str">
        <f>VLOOKUP($B70,DATA!$B$7:$AV$679,12,0)</f>
        <v>3873/QĐ-UBND ngày 31/10/2018</v>
      </c>
      <c r="G70" s="1568">
        <f>VLOOKUP($B70,DATA!$B$7:$AV$679,13,0)</f>
        <v>2500</v>
      </c>
      <c r="H70" s="1568">
        <f>VLOOKUP($B70,DATA!$B$7:$AV$679,15,0)</f>
        <v>1500</v>
      </c>
      <c r="I70" s="1568">
        <f>VLOOKUP($B70,DATA!$B$7:$AV$679,29,0)</f>
        <v>750</v>
      </c>
      <c r="J70" s="1568">
        <f>VLOOKUP($B70,DATA!$B$7:$AV$679,30,0)</f>
        <v>750</v>
      </c>
      <c r="K70" s="1568">
        <f>VLOOKUP($B70,DATA!$B$7:$BA$679,50,0)</f>
        <v>600</v>
      </c>
      <c r="L70" s="1568">
        <f>VLOOKUP($B70,DATA!$B$7:$AV$679,36,0)</f>
        <v>0</v>
      </c>
      <c r="M70" s="1568">
        <f>H70*0.5+50</f>
        <v>800</v>
      </c>
      <c r="N70" s="20"/>
      <c r="O70" s="1231">
        <v>1275</v>
      </c>
      <c r="P70" s="1231">
        <v>675</v>
      </c>
      <c r="Q70" s="1231">
        <v>600</v>
      </c>
      <c r="R70" s="1231"/>
      <c r="S70" s="1231">
        <v>675</v>
      </c>
      <c r="T70" s="1571">
        <f t="shared" ref="T70:T105" si="16">Q70+S70</f>
        <v>1275</v>
      </c>
      <c r="U70" s="1571">
        <f t="shared" ref="U70:U105" si="17">R70+S70</f>
        <v>675</v>
      </c>
      <c r="V70" s="1646">
        <f t="shared" si="12"/>
        <v>825</v>
      </c>
      <c r="W70" s="1218"/>
      <c r="X70" s="59" t="s">
        <v>504</v>
      </c>
    </row>
    <row r="71" spans="1:25" ht="67.5" customHeight="1">
      <c r="A71" s="500">
        <v>61</v>
      </c>
      <c r="B71" s="310" t="s">
        <v>1877</v>
      </c>
      <c r="C71" s="1216" t="str">
        <f>VLOOKUP($B71,DATA!$B$7:$AV$679,6,0)</f>
        <v>Quảng Trạch</v>
      </c>
      <c r="D71" s="1230">
        <f>VLOOKUP($B71,DATA!$B$7:$AV$679,7,0)</f>
        <v>2019</v>
      </c>
      <c r="E71" s="1230">
        <f>VLOOKUP($B71,DATA!$B$7:$AV$679,9,0)</f>
        <v>2021</v>
      </c>
      <c r="F71" s="1216" t="str">
        <f>VLOOKUP($B71,DATA!$B$7:$AV$679,12,0)</f>
        <v>3783/QĐ-UBND ngày 31/10/2018</v>
      </c>
      <c r="G71" s="1568">
        <f>VLOOKUP($B71,DATA!$B$7:$AV$679,13,0)</f>
        <v>3000</v>
      </c>
      <c r="H71" s="1568">
        <f>VLOOKUP($B71,DATA!$B$7:$AV$679,15,0)</f>
        <v>1800</v>
      </c>
      <c r="I71" s="1568">
        <f>VLOOKUP($B71,DATA!$B$7:$AV$679,29,0)</f>
        <v>900</v>
      </c>
      <c r="J71" s="1568">
        <f>VLOOKUP($B71,DATA!$B$7:$AV$679,30,0)</f>
        <v>900</v>
      </c>
      <c r="K71" s="1568">
        <f>VLOOKUP($B71,DATA!$B$7:$BA$679,50,0)</f>
        <v>900</v>
      </c>
      <c r="L71" s="1568">
        <f>VLOOKUP($B71,DATA!$B$7:$AV$679,36,0)</f>
        <v>0</v>
      </c>
      <c r="M71" s="1568">
        <f t="shared" ref="M71:M105" si="18">H71*0.5</f>
        <v>900</v>
      </c>
      <c r="N71" s="20"/>
      <c r="O71" s="1231">
        <v>1710</v>
      </c>
      <c r="P71" s="1231">
        <v>810</v>
      </c>
      <c r="Q71" s="1231">
        <v>900</v>
      </c>
      <c r="R71" s="1231"/>
      <c r="S71" s="1231">
        <v>810</v>
      </c>
      <c r="T71" s="1571">
        <f t="shared" si="16"/>
        <v>1710</v>
      </c>
      <c r="U71" s="1571">
        <f t="shared" si="17"/>
        <v>810</v>
      </c>
      <c r="V71" s="1646">
        <f t="shared" si="12"/>
        <v>990</v>
      </c>
      <c r="W71" s="1218"/>
      <c r="X71" s="59" t="s">
        <v>994</v>
      </c>
    </row>
    <row r="72" spans="1:25" ht="67.5" customHeight="1">
      <c r="A72" s="500">
        <v>62</v>
      </c>
      <c r="B72" s="310" t="s">
        <v>1893</v>
      </c>
      <c r="C72" s="1216" t="str">
        <f>VLOOKUP($B72,DATA!$B$7:$AV$679,6,0)</f>
        <v>Ba Đồn</v>
      </c>
      <c r="D72" s="1230">
        <f>VLOOKUP($B72,DATA!$B$7:$AV$679,7,0)</f>
        <v>2019</v>
      </c>
      <c r="E72" s="1230">
        <f>VLOOKUP($B72,DATA!$B$7:$AV$679,9,0)</f>
        <v>2021</v>
      </c>
      <c r="F72" s="1216" t="str">
        <f>VLOOKUP($B72,DATA!$B$7:$AV$679,12,0)</f>
        <v>3777/QĐ-UBND ngày 31/10/2018</v>
      </c>
      <c r="G72" s="1568">
        <f>VLOOKUP($B72,DATA!$B$7:$AV$679,13,0)</f>
        <v>3000</v>
      </c>
      <c r="H72" s="1568">
        <f>VLOOKUP($B72,DATA!$B$7:$AV$679,15,0)</f>
        <v>1800</v>
      </c>
      <c r="I72" s="1568">
        <f>VLOOKUP($B72,DATA!$B$7:$AV$679,29,0)</f>
        <v>900</v>
      </c>
      <c r="J72" s="1568">
        <f>VLOOKUP($B72,DATA!$B$7:$AV$679,30,0)</f>
        <v>900</v>
      </c>
      <c r="K72" s="1568">
        <f>VLOOKUP($B72,DATA!$B$7:$BA$679,50,0)</f>
        <v>1000</v>
      </c>
      <c r="L72" s="1568">
        <f>VLOOKUP($B72,DATA!$B$7:$AV$679,36,0)</f>
        <v>0</v>
      </c>
      <c r="M72" s="1568">
        <f t="shared" si="18"/>
        <v>900</v>
      </c>
      <c r="N72" s="20"/>
      <c r="O72" s="1231">
        <v>1810</v>
      </c>
      <c r="P72" s="1231">
        <v>810</v>
      </c>
      <c r="Q72" s="1231">
        <v>1000</v>
      </c>
      <c r="R72" s="1231"/>
      <c r="S72" s="1231">
        <v>810</v>
      </c>
      <c r="T72" s="1571">
        <f t="shared" si="16"/>
        <v>1810</v>
      </c>
      <c r="U72" s="1571">
        <f t="shared" si="17"/>
        <v>810</v>
      </c>
      <c r="V72" s="1646">
        <f t="shared" si="12"/>
        <v>990</v>
      </c>
      <c r="W72" s="1218"/>
      <c r="X72" s="59" t="s">
        <v>586</v>
      </c>
      <c r="Y72" s="13" t="s">
        <v>2570</v>
      </c>
    </row>
    <row r="73" spans="1:25" ht="67.5" customHeight="1">
      <c r="A73" s="500">
        <v>63</v>
      </c>
      <c r="B73" s="310" t="s">
        <v>1904</v>
      </c>
      <c r="C73" s="1216" t="str">
        <f>VLOOKUP($B73,DATA!$B$7:$AV$679,6,0)</f>
        <v>Quảng Ninh</v>
      </c>
      <c r="D73" s="1230">
        <f>VLOOKUP($B73,DATA!$B$7:$AV$679,7,0)</f>
        <v>2019</v>
      </c>
      <c r="E73" s="1230">
        <f>VLOOKUP($B73,DATA!$B$7:$AV$679,9,0)</f>
        <v>2021</v>
      </c>
      <c r="F73" s="1216" t="str">
        <f>VLOOKUP($B73,DATA!$B$7:$AV$679,12,0)</f>
        <v>3822/QĐ-UBND ngày 31/10/2018</v>
      </c>
      <c r="G73" s="1568">
        <f>VLOOKUP($B73,DATA!$B$7:$AV$679,13,0)</f>
        <v>4000</v>
      </c>
      <c r="H73" s="1568">
        <f>VLOOKUP($B73,DATA!$B$7:$AV$679,15,0)</f>
        <v>2400</v>
      </c>
      <c r="I73" s="1568">
        <f>VLOOKUP($B73,DATA!$B$7:$AV$679,29,0)</f>
        <v>1200</v>
      </c>
      <c r="J73" s="1568">
        <f>VLOOKUP($B73,DATA!$B$7:$AV$679,30,0)</f>
        <v>1200</v>
      </c>
      <c r="K73" s="1568">
        <f>VLOOKUP($B73,DATA!$B$7:$BA$679,50,0)</f>
        <v>500</v>
      </c>
      <c r="L73" s="1568">
        <f>VLOOKUP($B73,DATA!$B$7:$AV$679,36,0)</f>
        <v>0</v>
      </c>
      <c r="M73" s="1568">
        <f t="shared" si="18"/>
        <v>1200</v>
      </c>
      <c r="N73" s="20"/>
      <c r="O73" s="1231">
        <v>1580</v>
      </c>
      <c r="P73" s="1231">
        <v>1080</v>
      </c>
      <c r="Q73" s="1231">
        <v>500</v>
      </c>
      <c r="R73" s="1231"/>
      <c r="S73" s="1231">
        <v>1080</v>
      </c>
      <c r="T73" s="1571">
        <f t="shared" si="16"/>
        <v>1580</v>
      </c>
      <c r="U73" s="1571">
        <f t="shared" si="17"/>
        <v>1080</v>
      </c>
      <c r="V73" s="1646">
        <f t="shared" si="12"/>
        <v>1320</v>
      </c>
      <c r="W73" s="1218"/>
      <c r="X73" s="59" t="s">
        <v>956</v>
      </c>
    </row>
    <row r="74" spans="1:25" ht="67.5" customHeight="1">
      <c r="A74" s="500">
        <v>64</v>
      </c>
      <c r="B74" s="310" t="s">
        <v>1931</v>
      </c>
      <c r="C74" s="1216" t="str">
        <f>VLOOKUP($B74,DATA!$B$7:$AV$679,6,0)</f>
        <v>Lệ Thủy</v>
      </c>
      <c r="D74" s="1230">
        <f>VLOOKUP($B74,DATA!$B$7:$AV$679,7,0)</f>
        <v>2019</v>
      </c>
      <c r="E74" s="1230">
        <f>VLOOKUP($B74,DATA!$B$7:$AV$679,9,0)</f>
        <v>2021</v>
      </c>
      <c r="F74" s="1216" t="str">
        <f>VLOOKUP($B74,DATA!$B$7:$AV$679,12,0)</f>
        <v>3787/QĐ-UBND ngày 31/10/2018</v>
      </c>
      <c r="G74" s="1568">
        <f>VLOOKUP($B74,DATA!$B$7:$AV$679,13,0)</f>
        <v>4000</v>
      </c>
      <c r="H74" s="1568">
        <f>VLOOKUP($B74,DATA!$B$7:$AV$679,15,0)</f>
        <v>2400</v>
      </c>
      <c r="I74" s="1568">
        <f>VLOOKUP($B74,DATA!$B$7:$AV$679,29,0)</f>
        <v>1200</v>
      </c>
      <c r="J74" s="1568">
        <f>VLOOKUP($B74,DATA!$B$7:$AV$679,30,0)</f>
        <v>1200</v>
      </c>
      <c r="K74" s="1568">
        <f>VLOOKUP($B74,DATA!$B$7:$BA$679,50,0)</f>
        <v>960</v>
      </c>
      <c r="L74" s="1568">
        <f>VLOOKUP($B74,DATA!$B$7:$AV$679,36,0)</f>
        <v>0</v>
      </c>
      <c r="M74" s="1568">
        <f t="shared" si="18"/>
        <v>1200</v>
      </c>
      <c r="N74" s="20"/>
      <c r="O74" s="1231">
        <v>2040</v>
      </c>
      <c r="P74" s="1231">
        <v>1080</v>
      </c>
      <c r="Q74" s="1231">
        <v>960</v>
      </c>
      <c r="R74" s="1231"/>
      <c r="S74" s="1231">
        <v>1080</v>
      </c>
      <c r="T74" s="1571">
        <f t="shared" si="16"/>
        <v>2040</v>
      </c>
      <c r="U74" s="1571">
        <f t="shared" si="17"/>
        <v>1080</v>
      </c>
      <c r="V74" s="1646">
        <f t="shared" si="12"/>
        <v>1320</v>
      </c>
      <c r="W74" s="1218"/>
      <c r="X74" s="59" t="s">
        <v>851</v>
      </c>
    </row>
    <row r="75" spans="1:25" ht="67.5" customHeight="1">
      <c r="A75" s="500">
        <v>65</v>
      </c>
      <c r="B75" s="310" t="s">
        <v>1844</v>
      </c>
      <c r="C75" s="1216" t="str">
        <f>VLOOKUP($B75,DATA!$B$7:$AV$679,6,0)</f>
        <v>Tuyên Hóa</v>
      </c>
      <c r="D75" s="1230">
        <f>VLOOKUP($B75,DATA!$B$7:$AV$679,7,0)</f>
        <v>2019</v>
      </c>
      <c r="E75" s="1230">
        <f>VLOOKUP($B75,DATA!$B$7:$AV$679,9,0)</f>
        <v>2021</v>
      </c>
      <c r="F75" s="1216" t="str">
        <f>VLOOKUP($B75,DATA!$B$7:$AV$679,12,0)</f>
        <v>3729/QĐ-UBND ngày 30/10/2018</v>
      </c>
      <c r="G75" s="1568">
        <f>VLOOKUP($B75,DATA!$B$7:$AV$679,13,0)</f>
        <v>5000</v>
      </c>
      <c r="H75" s="1568">
        <f>VLOOKUP($B75,DATA!$B$7:$AV$679,15,0)</f>
        <v>3000</v>
      </c>
      <c r="I75" s="1568">
        <f>VLOOKUP($B75,DATA!$B$7:$AV$679,29,0)</f>
        <v>1500</v>
      </c>
      <c r="J75" s="1568">
        <f>VLOOKUP($B75,DATA!$B$7:$AV$679,30,0)</f>
        <v>1500</v>
      </c>
      <c r="K75" s="1568">
        <f>VLOOKUP($B75,DATA!$B$7:$BA$679,50,0)</f>
        <v>1500</v>
      </c>
      <c r="L75" s="1568">
        <f>VLOOKUP($B75,DATA!$B$7:$AV$679,36,0)</f>
        <v>0</v>
      </c>
      <c r="M75" s="1568">
        <f t="shared" si="18"/>
        <v>1500</v>
      </c>
      <c r="N75" s="20"/>
      <c r="O75" s="1231">
        <v>2850</v>
      </c>
      <c r="P75" s="1231">
        <v>1350</v>
      </c>
      <c r="Q75" s="1231">
        <v>1500</v>
      </c>
      <c r="R75" s="1231"/>
      <c r="S75" s="1231">
        <v>1350</v>
      </c>
      <c r="T75" s="1571">
        <f t="shared" si="16"/>
        <v>2850</v>
      </c>
      <c r="U75" s="1571">
        <f t="shared" si="17"/>
        <v>1350</v>
      </c>
      <c r="V75" s="1646">
        <f t="shared" si="12"/>
        <v>1650</v>
      </c>
      <c r="W75" s="1218"/>
      <c r="X75" s="59" t="s">
        <v>719</v>
      </c>
    </row>
    <row r="76" spans="1:25" ht="67.5" customHeight="1">
      <c r="A76" s="500">
        <v>66</v>
      </c>
      <c r="B76" s="310" t="s">
        <v>1866</v>
      </c>
      <c r="C76" s="1216" t="str">
        <f>VLOOKUP($B76,DATA!$B$7:$AV$679,6,0)</f>
        <v>Quảng Trạch</v>
      </c>
      <c r="D76" s="1230">
        <f>VLOOKUP($B76,DATA!$B$7:$AV$679,7,0)</f>
        <v>2019</v>
      </c>
      <c r="E76" s="1230">
        <f>VLOOKUP($B76,DATA!$B$7:$AV$679,9,0)</f>
        <v>2021</v>
      </c>
      <c r="F76" s="1216" t="str">
        <f>VLOOKUP($B76,DATA!$B$7:$AV$679,12,0)</f>
        <v>3781/QĐ-UBND ngày 31/10/2018</v>
      </c>
      <c r="G76" s="1568">
        <f>VLOOKUP($B76,DATA!$B$7:$AV$679,13,0)</f>
        <v>5000</v>
      </c>
      <c r="H76" s="1568">
        <f>VLOOKUP($B76,DATA!$B$7:$AV$679,15,0)</f>
        <v>3000</v>
      </c>
      <c r="I76" s="1568">
        <f>VLOOKUP($B76,DATA!$B$7:$AV$679,29,0)</f>
        <v>1500</v>
      </c>
      <c r="J76" s="1568">
        <f>VLOOKUP($B76,DATA!$B$7:$AV$679,30,0)</f>
        <v>1500</v>
      </c>
      <c r="K76" s="1568">
        <f>VLOOKUP($B76,DATA!$B$7:$BA$679,50,0)</f>
        <v>1600</v>
      </c>
      <c r="L76" s="1568">
        <f>VLOOKUP($B76,DATA!$B$7:$AV$679,36,0)</f>
        <v>0</v>
      </c>
      <c r="M76" s="1568">
        <f t="shared" si="18"/>
        <v>1500</v>
      </c>
      <c r="N76" s="20"/>
      <c r="O76" s="1231">
        <v>2950</v>
      </c>
      <c r="P76" s="1231">
        <v>1350</v>
      </c>
      <c r="Q76" s="1231">
        <v>1600</v>
      </c>
      <c r="R76" s="1231"/>
      <c r="S76" s="1231">
        <v>1350</v>
      </c>
      <c r="T76" s="1571">
        <f t="shared" si="16"/>
        <v>2950</v>
      </c>
      <c r="U76" s="1571">
        <f t="shared" si="17"/>
        <v>1350</v>
      </c>
      <c r="V76" s="1646">
        <f t="shared" si="12"/>
        <v>1650</v>
      </c>
      <c r="W76" s="1218"/>
      <c r="X76" s="59" t="s">
        <v>614</v>
      </c>
      <c r="Y76" s="13" t="s">
        <v>2571</v>
      </c>
    </row>
    <row r="77" spans="1:25" ht="67.5" customHeight="1">
      <c r="A77" s="500">
        <v>67</v>
      </c>
      <c r="B77" s="310" t="s">
        <v>1937</v>
      </c>
      <c r="C77" s="1216" t="str">
        <f>VLOOKUP($B77,DATA!$B$7:$AV$679,6,0)</f>
        <v>Lệ Thủy</v>
      </c>
      <c r="D77" s="1230">
        <f>VLOOKUP($B77,DATA!$B$7:$AV$679,7,0)</f>
        <v>2019</v>
      </c>
      <c r="E77" s="1230">
        <f>VLOOKUP($B77,DATA!$B$7:$AV$679,9,0)</f>
        <v>2021</v>
      </c>
      <c r="F77" s="1216" t="str">
        <f>VLOOKUP($B77,DATA!$B$7:$AV$679,12,0)</f>
        <v>3731/QĐ-UBND ngày 30/10/2018</v>
      </c>
      <c r="G77" s="1568">
        <f>VLOOKUP($B77,DATA!$B$7:$AV$679,13,0)</f>
        <v>5000</v>
      </c>
      <c r="H77" s="1568">
        <f>VLOOKUP($B77,DATA!$B$7:$AV$679,15,0)</f>
        <v>3000</v>
      </c>
      <c r="I77" s="1568">
        <f>VLOOKUP($B77,DATA!$B$7:$AV$679,29,0)</f>
        <v>1500</v>
      </c>
      <c r="J77" s="1568">
        <f>VLOOKUP($B77,DATA!$B$7:$AV$679,30,0)</f>
        <v>1500</v>
      </c>
      <c r="K77" s="1568">
        <f>VLOOKUP($B77,DATA!$B$7:$BA$679,50,0)</f>
        <v>1250</v>
      </c>
      <c r="L77" s="1568">
        <f>VLOOKUP($B77,DATA!$B$7:$AV$679,36,0)</f>
        <v>0</v>
      </c>
      <c r="M77" s="1568">
        <f t="shared" si="18"/>
        <v>1500</v>
      </c>
      <c r="N77" s="20"/>
      <c r="O77" s="1231">
        <v>2600</v>
      </c>
      <c r="P77" s="1231">
        <v>1350</v>
      </c>
      <c r="Q77" s="1231">
        <v>1250</v>
      </c>
      <c r="R77" s="1231"/>
      <c r="S77" s="1231">
        <v>1350</v>
      </c>
      <c r="T77" s="1571">
        <f t="shared" si="16"/>
        <v>2600</v>
      </c>
      <c r="U77" s="1571">
        <f t="shared" si="17"/>
        <v>1350</v>
      </c>
      <c r="V77" s="1646">
        <f t="shared" si="12"/>
        <v>1650</v>
      </c>
      <c r="W77" s="1218"/>
      <c r="X77" s="59" t="s">
        <v>1940</v>
      </c>
    </row>
    <row r="78" spans="1:25" ht="67.5" customHeight="1">
      <c r="A78" s="500">
        <v>68</v>
      </c>
      <c r="B78" s="310" t="s">
        <v>1957</v>
      </c>
      <c r="C78" s="1216" t="str">
        <f>VLOOKUP($B78,DATA!$B$7:$AV$679,6,0)</f>
        <v>Bố Trạch</v>
      </c>
      <c r="D78" s="1230">
        <f>VLOOKUP($B78,DATA!$B$7:$AV$679,7,0)</f>
        <v>2019</v>
      </c>
      <c r="E78" s="1230">
        <f>VLOOKUP($B78,DATA!$B$7:$AV$679,9,0)</f>
        <v>2021</v>
      </c>
      <c r="F78" s="1216" t="str">
        <f>VLOOKUP($B78,DATA!$B$7:$AV$679,12,0)</f>
        <v>3737/QĐ-UBND ngày 30/10/2018</v>
      </c>
      <c r="G78" s="1568">
        <f>VLOOKUP($B78,DATA!$B$7:$AV$679,13,0)</f>
        <v>5000</v>
      </c>
      <c r="H78" s="1568">
        <f>VLOOKUP($B78,DATA!$B$7:$AV$679,15,0)</f>
        <v>3000</v>
      </c>
      <c r="I78" s="1568">
        <f>VLOOKUP($B78,DATA!$B$7:$AV$679,29,0)</f>
        <v>1500</v>
      </c>
      <c r="J78" s="1568">
        <f>VLOOKUP($B78,DATA!$B$7:$AV$679,30,0)</f>
        <v>1500</v>
      </c>
      <c r="K78" s="1568">
        <f>VLOOKUP($B78,DATA!$B$7:$BA$679,50,0)</f>
        <v>1700</v>
      </c>
      <c r="L78" s="1568">
        <f>VLOOKUP($B78,DATA!$B$7:$AV$679,36,0)</f>
        <v>0</v>
      </c>
      <c r="M78" s="1568">
        <f t="shared" si="18"/>
        <v>1500</v>
      </c>
      <c r="N78" s="20"/>
      <c r="O78" s="1231">
        <v>3050</v>
      </c>
      <c r="P78" s="1231">
        <v>1350</v>
      </c>
      <c r="Q78" s="1231">
        <v>1700</v>
      </c>
      <c r="R78" s="1231"/>
      <c r="S78" s="1231">
        <v>1350</v>
      </c>
      <c r="T78" s="1571">
        <f t="shared" si="16"/>
        <v>3050</v>
      </c>
      <c r="U78" s="1571">
        <f t="shared" si="17"/>
        <v>1350</v>
      </c>
      <c r="V78" s="1646">
        <f t="shared" si="12"/>
        <v>1650</v>
      </c>
      <c r="W78" s="1218"/>
      <c r="X78" s="59" t="s">
        <v>2071</v>
      </c>
    </row>
    <row r="79" spans="1:25" ht="67.5" customHeight="1">
      <c r="A79" s="500">
        <v>69</v>
      </c>
      <c r="B79" s="310" t="s">
        <v>2530</v>
      </c>
      <c r="C79" s="1216" t="str">
        <f>VLOOKUP($B79,DATA!$B$7:$AV$679,6,0)</f>
        <v>Bố Trạch</v>
      </c>
      <c r="D79" s="1230">
        <f>VLOOKUP($B79,DATA!$B$7:$AV$679,7,0)</f>
        <v>2019</v>
      </c>
      <c r="E79" s="1230">
        <f>VLOOKUP($B79,DATA!$B$7:$AV$679,9,0)</f>
        <v>2021</v>
      </c>
      <c r="F79" s="1216" t="str">
        <f>VLOOKUP($B79,DATA!$B$7:$AV$679,12,0)</f>
        <v>3816/QĐ-UBND ngày 31/10/2018</v>
      </c>
      <c r="G79" s="1568">
        <f>VLOOKUP($B79,DATA!$B$7:$AV$679,13,0)</f>
        <v>5000</v>
      </c>
      <c r="H79" s="1568">
        <f>VLOOKUP($B79,DATA!$B$7:$AV$679,15,0)</f>
        <v>3000</v>
      </c>
      <c r="I79" s="1568">
        <f>VLOOKUP($B79,DATA!$B$7:$AV$679,29,0)</f>
        <v>1500</v>
      </c>
      <c r="J79" s="1568">
        <f>VLOOKUP($B79,DATA!$B$7:$AV$679,30,0)</f>
        <v>1500</v>
      </c>
      <c r="K79" s="1568">
        <f>VLOOKUP($B79,DATA!$B$7:$BA$679,50,0)</f>
        <v>0</v>
      </c>
      <c r="L79" s="1568">
        <f>VLOOKUP($B79,DATA!$B$7:$AV$679,36,0)</f>
        <v>0</v>
      </c>
      <c r="M79" s="1568">
        <f t="shared" si="18"/>
        <v>1500</v>
      </c>
      <c r="N79" s="20"/>
      <c r="O79" s="1231">
        <v>1350</v>
      </c>
      <c r="P79" s="1231">
        <v>1350</v>
      </c>
      <c r="Q79" s="1231"/>
      <c r="R79" s="1231"/>
      <c r="S79" s="1231">
        <v>1350</v>
      </c>
      <c r="T79" s="1571">
        <f t="shared" si="16"/>
        <v>1350</v>
      </c>
      <c r="U79" s="1571">
        <f t="shared" si="17"/>
        <v>1350</v>
      </c>
      <c r="V79" s="1646">
        <f t="shared" si="12"/>
        <v>1650</v>
      </c>
      <c r="W79" s="1218"/>
      <c r="X79" s="59" t="s">
        <v>1962</v>
      </c>
    </row>
    <row r="80" spans="1:25" ht="67.5" customHeight="1">
      <c r="A80" s="500">
        <v>70</v>
      </c>
      <c r="B80" s="310" t="s">
        <v>2531</v>
      </c>
      <c r="C80" s="1216" t="str">
        <f>VLOOKUP($B80,DATA!$B$7:$AV$679,6,0)</f>
        <v>Tuyên Hóa</v>
      </c>
      <c r="D80" s="1230">
        <f>VLOOKUP($B80,DATA!$B$7:$AV$679,7,0)</f>
        <v>2019</v>
      </c>
      <c r="E80" s="1230">
        <f>VLOOKUP($B80,DATA!$B$7:$AV$679,9,0)</f>
        <v>2021</v>
      </c>
      <c r="F80" s="1216" t="str">
        <f>VLOOKUP($B80,DATA!$B$7:$AV$679,12,0)</f>
        <v>3826/QĐ-UBND ngày 31/10/2018</v>
      </c>
      <c r="G80" s="1568">
        <f>VLOOKUP($B80,DATA!$B$7:$AV$679,13,0)</f>
        <v>6000</v>
      </c>
      <c r="H80" s="1568">
        <f>VLOOKUP($B80,DATA!$B$7:$AV$679,15,0)</f>
        <v>3600</v>
      </c>
      <c r="I80" s="1568">
        <f>VLOOKUP($B80,DATA!$B$7:$AV$679,29,0)</f>
        <v>1800</v>
      </c>
      <c r="J80" s="1568">
        <f>VLOOKUP($B80,DATA!$B$7:$AV$679,30,0)</f>
        <v>1800</v>
      </c>
      <c r="K80" s="1568">
        <f>VLOOKUP($B80,DATA!$B$7:$BA$679,50,0)</f>
        <v>338</v>
      </c>
      <c r="L80" s="1568">
        <f>VLOOKUP($B80,DATA!$B$7:$AV$679,36,0)</f>
        <v>0</v>
      </c>
      <c r="M80" s="1568">
        <f t="shared" si="18"/>
        <v>1800</v>
      </c>
      <c r="N80" s="20"/>
      <c r="O80" s="1231">
        <v>1958</v>
      </c>
      <c r="P80" s="1231">
        <v>1620</v>
      </c>
      <c r="Q80" s="1231">
        <v>338</v>
      </c>
      <c r="R80" s="1231"/>
      <c r="S80" s="1231">
        <v>1620</v>
      </c>
      <c r="T80" s="1571">
        <f t="shared" si="16"/>
        <v>1958</v>
      </c>
      <c r="U80" s="1571">
        <f t="shared" si="17"/>
        <v>1620</v>
      </c>
      <c r="V80" s="1646">
        <f t="shared" si="12"/>
        <v>1980</v>
      </c>
      <c r="W80" s="1218"/>
      <c r="X80" s="59" t="s">
        <v>605</v>
      </c>
    </row>
    <row r="81" spans="1:25" ht="67.5" customHeight="1">
      <c r="A81" s="500">
        <v>71</v>
      </c>
      <c r="B81" s="310" t="s">
        <v>2532</v>
      </c>
      <c r="C81" s="1216" t="str">
        <f>VLOOKUP($B81,DATA!$B$7:$AV$679,6,0)</f>
        <v>Ba Đồn</v>
      </c>
      <c r="D81" s="1230">
        <f>VLOOKUP($B81,DATA!$B$7:$AV$679,7,0)</f>
        <v>2019</v>
      </c>
      <c r="E81" s="1230">
        <f>VLOOKUP($B81,DATA!$B$7:$AV$679,9,0)</f>
        <v>2021</v>
      </c>
      <c r="F81" s="1216" t="str">
        <f>VLOOKUP($B81,DATA!$B$7:$AV$679,12,0)</f>
        <v>3785/QĐ-UBND ngày 31/10/2018</v>
      </c>
      <c r="G81" s="1568">
        <f>VLOOKUP($B81,DATA!$B$7:$AV$679,13,0)</f>
        <v>6000</v>
      </c>
      <c r="H81" s="1568">
        <f>VLOOKUP($B81,DATA!$B$7:$AV$679,15,0)</f>
        <v>3600</v>
      </c>
      <c r="I81" s="1568">
        <f>VLOOKUP($B81,DATA!$B$7:$AV$679,29,0)</f>
        <v>1800</v>
      </c>
      <c r="J81" s="1568">
        <f>VLOOKUP($B81,DATA!$B$7:$AV$679,30,0)</f>
        <v>1800</v>
      </c>
      <c r="K81" s="1568">
        <f>VLOOKUP($B81,DATA!$B$7:$BA$679,50,0)</f>
        <v>2400</v>
      </c>
      <c r="L81" s="1568">
        <f>VLOOKUP($B81,DATA!$B$7:$AV$679,36,0)</f>
        <v>0</v>
      </c>
      <c r="M81" s="1568">
        <f t="shared" si="18"/>
        <v>1800</v>
      </c>
      <c r="N81" s="20"/>
      <c r="O81" s="1231">
        <v>4020</v>
      </c>
      <c r="P81" s="1231">
        <v>1620</v>
      </c>
      <c r="Q81" s="1231">
        <v>2400</v>
      </c>
      <c r="R81" s="1231"/>
      <c r="S81" s="1231">
        <v>1620</v>
      </c>
      <c r="T81" s="1571">
        <f t="shared" si="16"/>
        <v>4020</v>
      </c>
      <c r="U81" s="1571">
        <f t="shared" si="17"/>
        <v>1620</v>
      </c>
      <c r="V81" s="1646">
        <f t="shared" si="12"/>
        <v>1980</v>
      </c>
      <c r="W81" s="1218"/>
      <c r="X81" s="59" t="s">
        <v>728</v>
      </c>
    </row>
    <row r="82" spans="1:25" ht="67.5" customHeight="1">
      <c r="A82" s="500">
        <v>72</v>
      </c>
      <c r="B82" s="310" t="s">
        <v>1918</v>
      </c>
      <c r="C82" s="1216" t="str">
        <f>VLOOKUP($B82,DATA!$B$7:$AV$679,6,0)</f>
        <v>Lệ Thủy</v>
      </c>
      <c r="D82" s="1230">
        <f>VLOOKUP($B82,DATA!$B$7:$AV$679,7,0)</f>
        <v>2019</v>
      </c>
      <c r="E82" s="1230">
        <f>VLOOKUP($B82,DATA!$B$7:$AV$679,9,0)</f>
        <v>2021</v>
      </c>
      <c r="F82" s="1216" t="str">
        <f>VLOOKUP($B82,DATA!$B$7:$AV$679,12,0)</f>
        <v>3815/QĐ-UBND ngày 31/10/2018</v>
      </c>
      <c r="G82" s="1568">
        <f>VLOOKUP($B82,DATA!$B$7:$AV$679,13,0)</f>
        <v>6000</v>
      </c>
      <c r="H82" s="1568">
        <f>VLOOKUP($B82,DATA!$B$7:$AV$679,15,0)</f>
        <v>3600</v>
      </c>
      <c r="I82" s="1568">
        <f>VLOOKUP($B82,DATA!$B$7:$AV$679,29,0)</f>
        <v>1800</v>
      </c>
      <c r="J82" s="1568">
        <f>VLOOKUP($B82,DATA!$B$7:$AV$679,30,0)</f>
        <v>1800</v>
      </c>
      <c r="K82" s="1568">
        <f>VLOOKUP($B82,DATA!$B$7:$BA$679,50,0)</f>
        <v>960</v>
      </c>
      <c r="L82" s="1568">
        <f>VLOOKUP($B82,DATA!$B$7:$AV$679,36,0)</f>
        <v>0</v>
      </c>
      <c r="M82" s="1568">
        <f t="shared" si="18"/>
        <v>1800</v>
      </c>
      <c r="N82" s="20"/>
      <c r="O82" s="1231">
        <v>2580</v>
      </c>
      <c r="P82" s="1231">
        <v>1620</v>
      </c>
      <c r="Q82" s="1231">
        <v>960</v>
      </c>
      <c r="R82" s="1231"/>
      <c r="S82" s="1231">
        <v>1620</v>
      </c>
      <c r="T82" s="1571">
        <f t="shared" si="16"/>
        <v>2580</v>
      </c>
      <c r="U82" s="1571">
        <f t="shared" si="17"/>
        <v>1620</v>
      </c>
      <c r="V82" s="1646">
        <f t="shared" si="12"/>
        <v>1980</v>
      </c>
      <c r="W82" s="1218"/>
      <c r="X82" s="59" t="s">
        <v>653</v>
      </c>
    </row>
    <row r="83" spans="1:25" ht="67.5" customHeight="1">
      <c r="A83" s="500">
        <v>73</v>
      </c>
      <c r="B83" s="310" t="s">
        <v>1921</v>
      </c>
      <c r="C83" s="1216" t="str">
        <f>VLOOKUP($B83,DATA!$B$7:$AV$679,6,0)</f>
        <v>Lệ Thủy</v>
      </c>
      <c r="D83" s="1230">
        <f>VLOOKUP($B83,DATA!$B$7:$AV$679,7,0)</f>
        <v>2019</v>
      </c>
      <c r="E83" s="1230">
        <f>VLOOKUP($B83,DATA!$B$7:$AV$679,9,0)</f>
        <v>2021</v>
      </c>
      <c r="F83" s="1216" t="str">
        <f>VLOOKUP($B83,DATA!$B$7:$AV$679,12,0)</f>
        <v>3814/QĐ-UBND ngày 31/10/2018</v>
      </c>
      <c r="G83" s="1568">
        <f>VLOOKUP($B83,DATA!$B$7:$AV$679,13,0)</f>
        <v>6000</v>
      </c>
      <c r="H83" s="1568">
        <f>VLOOKUP($B83,DATA!$B$7:$AV$679,15,0)</f>
        <v>3600</v>
      </c>
      <c r="I83" s="1568">
        <f>VLOOKUP($B83,DATA!$B$7:$AV$679,29,0)</f>
        <v>1800</v>
      </c>
      <c r="J83" s="1568">
        <f>VLOOKUP($B83,DATA!$B$7:$AV$679,30,0)</f>
        <v>1800</v>
      </c>
      <c r="K83" s="1568">
        <f>VLOOKUP($B83,DATA!$B$7:$BA$679,50,0)</f>
        <v>1600</v>
      </c>
      <c r="L83" s="1568">
        <f>VLOOKUP($B83,DATA!$B$7:$AV$679,36,0)</f>
        <v>0</v>
      </c>
      <c r="M83" s="1568">
        <f t="shared" si="18"/>
        <v>1800</v>
      </c>
      <c r="N83" s="20"/>
      <c r="O83" s="1231">
        <v>3220</v>
      </c>
      <c r="P83" s="1231">
        <v>1620</v>
      </c>
      <c r="Q83" s="1231">
        <v>1600</v>
      </c>
      <c r="R83" s="1231"/>
      <c r="S83" s="1231">
        <v>1620</v>
      </c>
      <c r="T83" s="1571">
        <f t="shared" si="16"/>
        <v>3220</v>
      </c>
      <c r="U83" s="1571">
        <f t="shared" si="17"/>
        <v>1620</v>
      </c>
      <c r="V83" s="1646">
        <f t="shared" si="12"/>
        <v>1980</v>
      </c>
      <c r="W83" s="1218"/>
      <c r="X83" s="59" t="s">
        <v>543</v>
      </c>
    </row>
    <row r="84" spans="1:25" ht="67.5" customHeight="1">
      <c r="A84" s="500">
        <v>74</v>
      </c>
      <c r="B84" s="310" t="s">
        <v>1942</v>
      </c>
      <c r="C84" s="1216" t="str">
        <f>VLOOKUP($B84,DATA!$B$7:$AV$679,6,0)</f>
        <v>Bố Trạch</v>
      </c>
      <c r="D84" s="1230">
        <f>VLOOKUP($B84,DATA!$B$7:$AV$679,7,0)</f>
        <v>2019</v>
      </c>
      <c r="E84" s="1230">
        <f>VLOOKUP($B84,DATA!$B$7:$AV$679,9,0)</f>
        <v>2021</v>
      </c>
      <c r="F84" s="1216" t="str">
        <f>VLOOKUP($B84,DATA!$B$7:$AV$679,12,0)</f>
        <v>3761/QĐ-UBND ngày 30/10/2018</v>
      </c>
      <c r="G84" s="1568">
        <f>VLOOKUP($B84,DATA!$B$7:$AV$679,13,0)</f>
        <v>6000</v>
      </c>
      <c r="H84" s="1568">
        <f>VLOOKUP($B84,DATA!$B$7:$AV$679,15,0)</f>
        <v>3600</v>
      </c>
      <c r="I84" s="1568">
        <f>VLOOKUP($B84,DATA!$B$7:$AV$679,29,0)</f>
        <v>1800</v>
      </c>
      <c r="J84" s="1568">
        <f>VLOOKUP($B84,DATA!$B$7:$AV$679,30,0)</f>
        <v>1800</v>
      </c>
      <c r="K84" s="1568">
        <f>VLOOKUP($B84,DATA!$B$7:$BA$679,50,0)</f>
        <v>0</v>
      </c>
      <c r="L84" s="1568">
        <f>VLOOKUP($B84,DATA!$B$7:$AV$679,36,0)</f>
        <v>0</v>
      </c>
      <c r="M84" s="1568">
        <f t="shared" si="18"/>
        <v>1800</v>
      </c>
      <c r="N84" s="20"/>
      <c r="O84" s="1231">
        <v>1620</v>
      </c>
      <c r="P84" s="1231">
        <v>1620</v>
      </c>
      <c r="Q84" s="1231"/>
      <c r="R84" s="1231"/>
      <c r="S84" s="1231">
        <v>1620</v>
      </c>
      <c r="T84" s="1571">
        <f t="shared" si="16"/>
        <v>1620</v>
      </c>
      <c r="U84" s="1571">
        <f t="shared" si="17"/>
        <v>1620</v>
      </c>
      <c r="V84" s="1646">
        <f t="shared" si="12"/>
        <v>1980</v>
      </c>
      <c r="W84" s="1218"/>
      <c r="X84" s="59" t="s">
        <v>999</v>
      </c>
    </row>
    <row r="85" spans="1:25" ht="67.5" customHeight="1">
      <c r="A85" s="500">
        <v>75</v>
      </c>
      <c r="B85" s="310" t="s">
        <v>1945</v>
      </c>
      <c r="C85" s="1216" t="str">
        <f>VLOOKUP($B85,DATA!$B$7:$AV$679,6,0)</f>
        <v>Bố Trạch</v>
      </c>
      <c r="D85" s="1230">
        <f>VLOOKUP($B85,DATA!$B$7:$AV$679,7,0)</f>
        <v>2019</v>
      </c>
      <c r="E85" s="1230">
        <f>VLOOKUP($B85,DATA!$B$7:$AV$679,9,0)</f>
        <v>2021</v>
      </c>
      <c r="F85" s="1216" t="str">
        <f>VLOOKUP($B85,DATA!$B$7:$AV$679,12,0)</f>
        <v>3742/QĐ-UBND ngày 30/10/2018</v>
      </c>
      <c r="G85" s="1568">
        <f>VLOOKUP($B85,DATA!$B$7:$AV$679,13,0)</f>
        <v>6000</v>
      </c>
      <c r="H85" s="1568">
        <f>VLOOKUP($B85,DATA!$B$7:$AV$679,15,0)</f>
        <v>3600</v>
      </c>
      <c r="I85" s="1568">
        <f>VLOOKUP($B85,DATA!$B$7:$AV$679,29,0)</f>
        <v>1800</v>
      </c>
      <c r="J85" s="1568">
        <f>VLOOKUP($B85,DATA!$B$7:$AV$679,30,0)</f>
        <v>1800</v>
      </c>
      <c r="K85" s="1568">
        <f>VLOOKUP($B85,DATA!$B$7:$BA$679,50,0)</f>
        <v>1239</v>
      </c>
      <c r="L85" s="1568">
        <f>VLOOKUP($B85,DATA!$B$7:$AV$679,36,0)</f>
        <v>0</v>
      </c>
      <c r="M85" s="1568">
        <f t="shared" si="18"/>
        <v>1800</v>
      </c>
      <c r="N85" s="20"/>
      <c r="O85" s="1231">
        <v>2859</v>
      </c>
      <c r="P85" s="1231">
        <v>1620</v>
      </c>
      <c r="Q85" s="1231">
        <v>1239</v>
      </c>
      <c r="R85" s="1231"/>
      <c r="S85" s="1231">
        <v>1620</v>
      </c>
      <c r="T85" s="1571">
        <f t="shared" si="16"/>
        <v>2859</v>
      </c>
      <c r="U85" s="1571">
        <f t="shared" si="17"/>
        <v>1620</v>
      </c>
      <c r="V85" s="1646">
        <f t="shared" si="12"/>
        <v>1980</v>
      </c>
      <c r="W85" s="1218"/>
      <c r="X85" s="59" t="s">
        <v>999</v>
      </c>
    </row>
    <row r="86" spans="1:25" ht="67.5" customHeight="1">
      <c r="A86" s="500">
        <v>76</v>
      </c>
      <c r="B86" s="310" t="s">
        <v>1840</v>
      </c>
      <c r="C86" s="1216" t="str">
        <f>VLOOKUP($B86,DATA!$B$7:$AV$679,6,0)</f>
        <v>Tuyên Hóa</v>
      </c>
      <c r="D86" s="1230">
        <f>VLOOKUP($B86,DATA!$B$7:$AV$679,7,0)</f>
        <v>2019</v>
      </c>
      <c r="E86" s="1230">
        <f>VLOOKUP($B86,DATA!$B$7:$AV$679,9,0)</f>
        <v>2021</v>
      </c>
      <c r="F86" s="1216" t="str">
        <f>VLOOKUP($B86,DATA!$B$7:$AV$679,12,0)</f>
        <v>3885a/QĐ-UBND ngày 31/10/2018</v>
      </c>
      <c r="G86" s="1568">
        <f>VLOOKUP($B86,DATA!$B$7:$AV$679,13,0)</f>
        <v>7000</v>
      </c>
      <c r="H86" s="1568">
        <f>VLOOKUP($B86,DATA!$B$7:$AV$679,15,0)</f>
        <v>4200</v>
      </c>
      <c r="I86" s="1568">
        <f>VLOOKUP($B86,DATA!$B$7:$AV$679,29,0)</f>
        <v>2100</v>
      </c>
      <c r="J86" s="1568">
        <f>VLOOKUP($B86,DATA!$B$7:$AV$679,30,0)</f>
        <v>2100</v>
      </c>
      <c r="K86" s="1568">
        <f>VLOOKUP($B86,DATA!$B$7:$BA$679,50,0)</f>
        <v>2100</v>
      </c>
      <c r="L86" s="1568">
        <f>VLOOKUP($B86,DATA!$B$7:$AV$679,36,0)</f>
        <v>0</v>
      </c>
      <c r="M86" s="1568">
        <f t="shared" si="18"/>
        <v>2100</v>
      </c>
      <c r="N86" s="20"/>
      <c r="O86" s="1231">
        <v>3990</v>
      </c>
      <c r="P86" s="1231">
        <v>1890</v>
      </c>
      <c r="Q86" s="1231">
        <v>2100</v>
      </c>
      <c r="R86" s="1231"/>
      <c r="S86" s="1231">
        <v>1890</v>
      </c>
      <c r="T86" s="1571">
        <f t="shared" si="16"/>
        <v>3990</v>
      </c>
      <c r="U86" s="1571">
        <f t="shared" si="17"/>
        <v>1890</v>
      </c>
      <c r="V86" s="1646">
        <f t="shared" si="12"/>
        <v>2310</v>
      </c>
      <c r="W86" s="1218"/>
      <c r="X86" s="59" t="s">
        <v>950</v>
      </c>
    </row>
    <row r="87" spans="1:25" ht="67.5" customHeight="1">
      <c r="A87" s="500">
        <v>77</v>
      </c>
      <c r="B87" s="545" t="s">
        <v>1851</v>
      </c>
      <c r="C87" s="1216" t="str">
        <f>VLOOKUP($B87,DATA!$B$7:$AV$679,6,0)</f>
        <v>Bố Trạch</v>
      </c>
      <c r="D87" s="1230">
        <f>VLOOKUP($B87,DATA!$B$7:$AV$679,7,0)</f>
        <v>2019</v>
      </c>
      <c r="E87" s="1230">
        <f>VLOOKUP($B87,DATA!$B$7:$AV$679,9,0)</f>
        <v>2021</v>
      </c>
      <c r="F87" s="1216" t="str">
        <f>VLOOKUP($B87,DATA!$B$7:$AV$679,12,0)</f>
        <v>3730/QĐ-UBND ngày 30/10/2018</v>
      </c>
      <c r="G87" s="1568">
        <f>VLOOKUP($B87,DATA!$B$7:$AV$679,13,0)</f>
        <v>7000</v>
      </c>
      <c r="H87" s="1568">
        <f>VLOOKUP($B87,DATA!$B$7:$AV$679,15,0)</f>
        <v>4200</v>
      </c>
      <c r="I87" s="1568">
        <f>VLOOKUP($B87,DATA!$B$7:$AV$679,29,0)</f>
        <v>2100</v>
      </c>
      <c r="J87" s="1568">
        <f>VLOOKUP($B87,DATA!$B$7:$AV$679,30,0)</f>
        <v>2100</v>
      </c>
      <c r="K87" s="1569">
        <f>VLOOKUP($B87,DATA!$B$7:$BA$679,50,0)+1890</f>
        <v>3990</v>
      </c>
      <c r="L87" s="1569">
        <f>VLOOKUP($B87,DATA!$B$7:$AV$679,36,0)+1890</f>
        <v>1890</v>
      </c>
      <c r="M87" s="1569">
        <f t="shared" si="18"/>
        <v>2100</v>
      </c>
      <c r="N87" s="20">
        <v>1890</v>
      </c>
      <c r="O87" s="1231">
        <v>6090</v>
      </c>
      <c r="P87" s="1231">
        <v>3990</v>
      </c>
      <c r="Q87" s="1231">
        <v>3990</v>
      </c>
      <c r="R87" s="1231">
        <v>1890</v>
      </c>
      <c r="S87" s="1231">
        <v>2100</v>
      </c>
      <c r="T87" s="1571">
        <f t="shared" si="16"/>
        <v>6090</v>
      </c>
      <c r="U87" s="1571">
        <f t="shared" si="17"/>
        <v>3990</v>
      </c>
      <c r="V87" s="1646">
        <f t="shared" si="12"/>
        <v>210</v>
      </c>
      <c r="W87" s="1218"/>
      <c r="X87" s="59" t="s">
        <v>1854</v>
      </c>
      <c r="Y87" s="13" t="s">
        <v>2569</v>
      </c>
    </row>
    <row r="88" spans="1:25" ht="67.5" customHeight="1">
      <c r="A88" s="500">
        <v>78</v>
      </c>
      <c r="B88" s="310" t="s">
        <v>1926</v>
      </c>
      <c r="C88" s="1216" t="str">
        <f>VLOOKUP($B88,DATA!$B$7:$AV$679,6,0)</f>
        <v>Lệ Thủy</v>
      </c>
      <c r="D88" s="1230">
        <f>VLOOKUP($B88,DATA!$B$7:$AV$679,7,0)</f>
        <v>2019</v>
      </c>
      <c r="E88" s="1230">
        <f>VLOOKUP($B88,DATA!$B$7:$AV$679,9,0)</f>
        <v>2021</v>
      </c>
      <c r="F88" s="1216" t="str">
        <f>VLOOKUP($B88,DATA!$B$7:$AV$679,12,0)</f>
        <v>3790/QĐ-UBND ngày 31/10/2018</v>
      </c>
      <c r="G88" s="1568">
        <f>VLOOKUP($B88,DATA!$B$7:$AV$679,13,0)</f>
        <v>7000</v>
      </c>
      <c r="H88" s="1568">
        <f>VLOOKUP($B88,DATA!$B$7:$AV$679,15,0)</f>
        <v>4200</v>
      </c>
      <c r="I88" s="1568">
        <f>VLOOKUP($B88,DATA!$B$7:$AV$679,29,0)</f>
        <v>2100</v>
      </c>
      <c r="J88" s="1568">
        <f>VLOOKUP($B88,DATA!$B$7:$AV$679,30,0)</f>
        <v>2100</v>
      </c>
      <c r="K88" s="1568">
        <f>VLOOKUP($B88,DATA!$B$7:$BA$679,50,0)</f>
        <v>1120</v>
      </c>
      <c r="L88" s="1568">
        <f>VLOOKUP($B88,DATA!$B$7:$AV$679,36,0)</f>
        <v>0</v>
      </c>
      <c r="M88" s="1568">
        <f>H88*0.5+1000</f>
        <v>3100</v>
      </c>
      <c r="N88" s="20"/>
      <c r="O88" s="1231">
        <v>3010</v>
      </c>
      <c r="P88" s="1231">
        <v>1890</v>
      </c>
      <c r="Q88" s="1231">
        <v>1120</v>
      </c>
      <c r="R88" s="1231"/>
      <c r="S88" s="1231">
        <v>1890</v>
      </c>
      <c r="T88" s="1571">
        <f t="shared" si="16"/>
        <v>3010</v>
      </c>
      <c r="U88" s="1571">
        <f t="shared" si="17"/>
        <v>1890</v>
      </c>
      <c r="V88" s="1646">
        <f t="shared" si="12"/>
        <v>2310</v>
      </c>
      <c r="W88" s="1218"/>
      <c r="X88" s="59" t="s">
        <v>1929</v>
      </c>
    </row>
    <row r="89" spans="1:25" ht="67.5" customHeight="1">
      <c r="A89" s="500">
        <v>79</v>
      </c>
      <c r="B89" s="310" t="s">
        <v>1907</v>
      </c>
      <c r="C89" s="1216" t="str">
        <f>VLOOKUP($B89,DATA!$B$7:$AV$679,6,0)</f>
        <v>Quảng Ninh</v>
      </c>
      <c r="D89" s="1230">
        <f>VLOOKUP($B89,DATA!$B$7:$AV$679,7,0)</f>
        <v>2019</v>
      </c>
      <c r="E89" s="1230">
        <f>VLOOKUP($B89,DATA!$B$7:$AV$679,9,0)</f>
        <v>2021</v>
      </c>
      <c r="F89" s="1216" t="str">
        <f>VLOOKUP($B89,DATA!$B$7:$AV$679,12,0)</f>
        <v>3870/QĐ-UBND ngày 31/10/2018</v>
      </c>
      <c r="G89" s="1568">
        <f>VLOOKUP($B89,DATA!$B$7:$AV$679,13,0)</f>
        <v>7500</v>
      </c>
      <c r="H89" s="1568">
        <f>VLOOKUP($B89,DATA!$B$7:$AV$679,15,0)</f>
        <v>4500</v>
      </c>
      <c r="I89" s="1568">
        <f>VLOOKUP($B89,DATA!$B$7:$AV$679,29,0)</f>
        <v>2250</v>
      </c>
      <c r="J89" s="1568">
        <f>VLOOKUP($B89,DATA!$B$7:$AV$679,30,0)</f>
        <v>2250</v>
      </c>
      <c r="K89" s="1568">
        <f>VLOOKUP($B89,DATA!$B$7:$BA$679,50,0)</f>
        <v>1000</v>
      </c>
      <c r="L89" s="1568">
        <f>VLOOKUP($B89,DATA!$B$7:$AV$679,36,0)</f>
        <v>0</v>
      </c>
      <c r="M89" s="1568">
        <f t="shared" si="18"/>
        <v>2250</v>
      </c>
      <c r="N89" s="20"/>
      <c r="O89" s="1231">
        <v>3025</v>
      </c>
      <c r="P89" s="1231">
        <v>2025</v>
      </c>
      <c r="Q89" s="1231">
        <v>1000</v>
      </c>
      <c r="R89" s="1231"/>
      <c r="S89" s="1231">
        <v>2025</v>
      </c>
      <c r="T89" s="1571">
        <f t="shared" si="16"/>
        <v>3025</v>
      </c>
      <c r="U89" s="1571">
        <f t="shared" si="17"/>
        <v>2025</v>
      </c>
      <c r="V89" s="1646">
        <f t="shared" si="12"/>
        <v>2475</v>
      </c>
      <c r="W89" s="1218"/>
      <c r="X89" s="59" t="s">
        <v>631</v>
      </c>
    </row>
    <row r="90" spans="1:25" ht="67.5" customHeight="1">
      <c r="A90" s="500">
        <v>80</v>
      </c>
      <c r="B90" s="310" t="s">
        <v>1885</v>
      </c>
      <c r="C90" s="1216" t="str">
        <f>VLOOKUP($B90,DATA!$B$7:$AV$679,6,0)</f>
        <v>Quảng Trạch</v>
      </c>
      <c r="D90" s="1230">
        <f>VLOOKUP($B90,DATA!$B$7:$AV$679,7,0)</f>
        <v>2019</v>
      </c>
      <c r="E90" s="1230">
        <f>VLOOKUP($B90,DATA!$B$7:$AV$679,9,0)</f>
        <v>2021</v>
      </c>
      <c r="F90" s="1216" t="str">
        <f>VLOOKUP($B90,DATA!$B$7:$AV$679,12,0)</f>
        <v>3733/QĐ-UBND ngày 30/10/2018</v>
      </c>
      <c r="G90" s="1568">
        <f>VLOOKUP($B90,DATA!$B$7:$AV$679,13,0)</f>
        <v>7500</v>
      </c>
      <c r="H90" s="1568">
        <f>VLOOKUP($B90,DATA!$B$7:$AV$679,15,0)</f>
        <v>4500</v>
      </c>
      <c r="I90" s="1568">
        <f>VLOOKUP($B90,DATA!$B$7:$AV$679,29,0)</f>
        <v>2250</v>
      </c>
      <c r="J90" s="1568">
        <f>VLOOKUP($B90,DATA!$B$7:$AV$679,30,0)</f>
        <v>2250</v>
      </c>
      <c r="K90" s="1568">
        <f>VLOOKUP($B90,DATA!$B$7:$BA$679,50,0)</f>
        <v>2250</v>
      </c>
      <c r="L90" s="1568">
        <f>VLOOKUP($B90,DATA!$B$7:$AV$679,36,0)</f>
        <v>0</v>
      </c>
      <c r="M90" s="1568">
        <f t="shared" si="18"/>
        <v>2250</v>
      </c>
      <c r="N90" s="20"/>
      <c r="O90" s="1231">
        <v>4275</v>
      </c>
      <c r="P90" s="1231">
        <v>2025</v>
      </c>
      <c r="Q90" s="1231">
        <v>2250</v>
      </c>
      <c r="R90" s="1231"/>
      <c r="S90" s="1231">
        <v>2025</v>
      </c>
      <c r="T90" s="1571">
        <f t="shared" si="16"/>
        <v>4275</v>
      </c>
      <c r="U90" s="1571">
        <f t="shared" si="17"/>
        <v>2025</v>
      </c>
      <c r="V90" s="1646">
        <f t="shared" si="12"/>
        <v>2475</v>
      </c>
      <c r="W90" s="1218"/>
      <c r="X90" s="59" t="s">
        <v>1307</v>
      </c>
    </row>
    <row r="91" spans="1:25" ht="67.5" customHeight="1">
      <c r="A91" s="500">
        <v>81</v>
      </c>
      <c r="B91" s="310" t="s">
        <v>2533</v>
      </c>
      <c r="C91" s="1216" t="str">
        <f>VLOOKUP($B91,DATA!$B$7:$AV$679,6,0)</f>
        <v>Lệ Thủy</v>
      </c>
      <c r="D91" s="1230">
        <f>VLOOKUP($B91,DATA!$B$7:$AV$679,7,0)</f>
        <v>2019</v>
      </c>
      <c r="E91" s="1230">
        <f>VLOOKUP($B91,DATA!$B$7:$AV$679,9,0)</f>
        <v>2021</v>
      </c>
      <c r="F91" s="1216" t="str">
        <f>VLOOKUP($B91,DATA!$B$7:$AV$679,12,0)</f>
        <v>1503/QĐ-UBND ngày 04/5/2019</v>
      </c>
      <c r="G91" s="1568">
        <f>VLOOKUP($B91,DATA!$B$7:$AV$679,13,0)</f>
        <v>7500</v>
      </c>
      <c r="H91" s="1568">
        <f>VLOOKUP($B91,DATA!$B$7:$AV$679,15,0)</f>
        <v>4500</v>
      </c>
      <c r="I91" s="1568">
        <f>VLOOKUP($B91,DATA!$B$7:$AV$679,29,0)</f>
        <v>2250</v>
      </c>
      <c r="J91" s="1568">
        <f>VLOOKUP($B91,DATA!$B$7:$AV$679,30,0)</f>
        <v>2250</v>
      </c>
      <c r="K91" s="1568">
        <f>VLOOKUP($B91,DATA!$B$7:$BA$679,50,0)</f>
        <v>500</v>
      </c>
      <c r="L91" s="1568">
        <f>VLOOKUP($B91,DATA!$B$7:$AV$679,36,0)</f>
        <v>0</v>
      </c>
      <c r="M91" s="1568">
        <f t="shared" si="18"/>
        <v>2250</v>
      </c>
      <c r="N91" s="20"/>
      <c r="O91" s="1231">
        <v>2525</v>
      </c>
      <c r="P91" s="1231">
        <v>2025</v>
      </c>
      <c r="Q91" s="1231">
        <v>500</v>
      </c>
      <c r="R91" s="1231"/>
      <c r="S91" s="1231">
        <v>2025</v>
      </c>
      <c r="T91" s="1571">
        <f t="shared" si="16"/>
        <v>2525</v>
      </c>
      <c r="U91" s="1571">
        <f t="shared" si="17"/>
        <v>2025</v>
      </c>
      <c r="V91" s="1646">
        <f t="shared" si="12"/>
        <v>2475</v>
      </c>
      <c r="W91" s="1218"/>
      <c r="X91" s="59" t="s">
        <v>793</v>
      </c>
    </row>
    <row r="92" spans="1:25" ht="67.5" customHeight="1">
      <c r="A92" s="500">
        <v>82</v>
      </c>
      <c r="B92" s="310" t="s">
        <v>1870</v>
      </c>
      <c r="C92" s="1216" t="str">
        <f>VLOOKUP($B92,DATA!$B$7:$AV$679,6,0)</f>
        <v>Quảng Trạch</v>
      </c>
      <c r="D92" s="1230">
        <f>VLOOKUP($B92,DATA!$B$7:$AV$679,7,0)</f>
        <v>2019</v>
      </c>
      <c r="E92" s="1230">
        <f>VLOOKUP($B92,DATA!$B$7:$AV$679,9,0)</f>
        <v>2021</v>
      </c>
      <c r="F92" s="1216" t="str">
        <f>VLOOKUP($B92,DATA!$B$7:$AV$679,12,0)</f>
        <v>3828/QĐ-UBND ngày 31/10/2018</v>
      </c>
      <c r="G92" s="1568">
        <f>VLOOKUP($B92,DATA!$B$7:$AV$679,13,0)</f>
        <v>8000</v>
      </c>
      <c r="H92" s="1568">
        <f>VLOOKUP($B92,DATA!$B$7:$AV$679,15,0)</f>
        <v>4800</v>
      </c>
      <c r="I92" s="1568">
        <f>VLOOKUP($B92,DATA!$B$7:$AV$679,29,0)</f>
        <v>2400</v>
      </c>
      <c r="J92" s="1568">
        <f>VLOOKUP($B92,DATA!$B$7:$AV$679,30,0)</f>
        <v>2400</v>
      </c>
      <c r="K92" s="1568">
        <f>VLOOKUP($B92,DATA!$B$7:$BA$679,50,0)</f>
        <v>1000</v>
      </c>
      <c r="L92" s="1568">
        <f>VLOOKUP($B92,DATA!$B$7:$AV$679,36,0)</f>
        <v>0</v>
      </c>
      <c r="M92" s="1568">
        <f t="shared" si="18"/>
        <v>2400</v>
      </c>
      <c r="N92" s="20"/>
      <c r="O92" s="1231">
        <v>3160</v>
      </c>
      <c r="P92" s="1231">
        <v>2160</v>
      </c>
      <c r="Q92" s="1231">
        <v>1000</v>
      </c>
      <c r="R92" s="1231"/>
      <c r="S92" s="1231">
        <v>2160</v>
      </c>
      <c r="T92" s="1571">
        <f t="shared" si="16"/>
        <v>3160</v>
      </c>
      <c r="U92" s="1571">
        <f t="shared" si="17"/>
        <v>2160</v>
      </c>
      <c r="V92" s="1646">
        <f t="shared" si="12"/>
        <v>2640</v>
      </c>
      <c r="W92" s="1218"/>
      <c r="X92" s="59" t="s">
        <v>1307</v>
      </c>
    </row>
    <row r="93" spans="1:25" ht="67.5" customHeight="1">
      <c r="A93" s="500">
        <v>83</v>
      </c>
      <c r="B93" s="310" t="s">
        <v>1874</v>
      </c>
      <c r="C93" s="1216" t="str">
        <f>VLOOKUP($B93,DATA!$B$7:$AV$679,6,0)</f>
        <v>Quảng Trạch</v>
      </c>
      <c r="D93" s="1230">
        <f>VLOOKUP($B93,DATA!$B$7:$AV$679,7,0)</f>
        <v>2019</v>
      </c>
      <c r="E93" s="1230">
        <f>VLOOKUP($B93,DATA!$B$7:$AV$679,9,0)</f>
        <v>2021</v>
      </c>
      <c r="F93" s="1216" t="str">
        <f>VLOOKUP($B93,DATA!$B$7:$AV$679,12,0)</f>
        <v>3829/QĐ-UBND ngày 31/10/2018</v>
      </c>
      <c r="G93" s="1568">
        <f>VLOOKUP($B93,DATA!$B$7:$AV$679,13,0)</f>
        <v>7954</v>
      </c>
      <c r="H93" s="1568">
        <f>VLOOKUP($B93,DATA!$B$7:$AV$679,15,0)</f>
        <v>4772</v>
      </c>
      <c r="I93" s="1568">
        <f>VLOOKUP($B93,DATA!$B$7:$AV$679,29,0)</f>
        <v>2386</v>
      </c>
      <c r="J93" s="1568">
        <f>VLOOKUP($B93,DATA!$B$7:$AV$679,30,0)</f>
        <v>2386</v>
      </c>
      <c r="K93" s="1568">
        <f>VLOOKUP($B93,DATA!$B$7:$BA$679,50,0)</f>
        <v>2400</v>
      </c>
      <c r="L93" s="1568">
        <f>VLOOKUP($B93,DATA!$B$7:$AV$679,36,0)</f>
        <v>0</v>
      </c>
      <c r="M93" s="1568">
        <f>H93*0.5+800</f>
        <v>3186</v>
      </c>
      <c r="N93" s="20"/>
      <c r="O93" s="1231">
        <v>4547.3999999999996</v>
      </c>
      <c r="P93" s="1231">
        <v>2147.4</v>
      </c>
      <c r="Q93" s="1231">
        <v>2400</v>
      </c>
      <c r="R93" s="1231"/>
      <c r="S93" s="1231">
        <v>2147.4</v>
      </c>
      <c r="T93" s="1571">
        <f t="shared" si="16"/>
        <v>4547.3999999999996</v>
      </c>
      <c r="U93" s="1571">
        <f t="shared" si="17"/>
        <v>2147.4</v>
      </c>
      <c r="V93" s="1646">
        <f t="shared" si="12"/>
        <v>2624.6</v>
      </c>
      <c r="W93" s="1218"/>
      <c r="X93" s="59" t="s">
        <v>1307</v>
      </c>
    </row>
    <row r="94" spans="1:25" ht="67.5" customHeight="1">
      <c r="A94" s="500">
        <v>84</v>
      </c>
      <c r="B94" s="310" t="s">
        <v>2534</v>
      </c>
      <c r="C94" s="1216" t="str">
        <f>VLOOKUP($B94,DATA!$B$7:$AV$679,6,0)</f>
        <v>Lệ Thủy</v>
      </c>
      <c r="D94" s="1230">
        <f>VLOOKUP($B94,DATA!$B$7:$AV$679,7,0)</f>
        <v>2019</v>
      </c>
      <c r="E94" s="1230">
        <f>VLOOKUP($B94,DATA!$B$7:$AV$679,9,0)</f>
        <v>2021</v>
      </c>
      <c r="F94" s="1216" t="str">
        <f>VLOOKUP($B94,DATA!$B$7:$AV$679,12,0)</f>
        <v>3789/QĐ-UBND ngày 31/10/2018</v>
      </c>
      <c r="G94" s="1568">
        <f>VLOOKUP($B94,DATA!$B$7:$AV$679,13,0)</f>
        <v>8000</v>
      </c>
      <c r="H94" s="1568">
        <f>VLOOKUP($B94,DATA!$B$7:$AV$679,15,0)</f>
        <v>4800</v>
      </c>
      <c r="I94" s="1568">
        <f>VLOOKUP($B94,DATA!$B$7:$AV$679,29,0)</f>
        <v>2400</v>
      </c>
      <c r="J94" s="1568">
        <f>VLOOKUP($B94,DATA!$B$7:$AV$679,30,0)</f>
        <v>2400</v>
      </c>
      <c r="K94" s="1568">
        <f>VLOOKUP($B94,DATA!$B$7:$BA$679,50,0)</f>
        <v>1920</v>
      </c>
      <c r="L94" s="1568">
        <f>VLOOKUP($B94,DATA!$B$7:$AV$679,36,0)</f>
        <v>0</v>
      </c>
      <c r="M94" s="1568">
        <f t="shared" si="18"/>
        <v>2400</v>
      </c>
      <c r="N94" s="20"/>
      <c r="O94" s="1231">
        <v>4080</v>
      </c>
      <c r="P94" s="1231">
        <v>2160</v>
      </c>
      <c r="Q94" s="1231">
        <v>1920</v>
      </c>
      <c r="R94" s="1231"/>
      <c r="S94" s="1231">
        <v>2160</v>
      </c>
      <c r="T94" s="1571">
        <f t="shared" si="16"/>
        <v>4080</v>
      </c>
      <c r="U94" s="1571">
        <f t="shared" si="17"/>
        <v>2160</v>
      </c>
      <c r="V94" s="1646">
        <f t="shared" si="12"/>
        <v>2640</v>
      </c>
      <c r="W94" s="1218"/>
      <c r="X94" s="59" t="s">
        <v>1916</v>
      </c>
    </row>
    <row r="95" spans="1:25" ht="67.5" customHeight="1">
      <c r="A95" s="500">
        <v>85</v>
      </c>
      <c r="B95" s="310" t="s">
        <v>1856</v>
      </c>
      <c r="C95" s="1216" t="str">
        <f>VLOOKUP($B95,DATA!$B$7:$AV$679,6,0)</f>
        <v>Bố Trạch</v>
      </c>
      <c r="D95" s="1230">
        <f>VLOOKUP($B95,DATA!$B$7:$AV$679,7,0)</f>
        <v>2019</v>
      </c>
      <c r="E95" s="1230">
        <f>VLOOKUP($B95,DATA!$B$7:$AV$679,9,0)</f>
        <v>2021</v>
      </c>
      <c r="F95" s="1216" t="str">
        <f>VLOOKUP($B95,DATA!$B$7:$AV$679,12,0)</f>
        <v>3784/QĐ-UBND ngày 31/10/2018</v>
      </c>
      <c r="G95" s="1568">
        <f>VLOOKUP($B95,DATA!$B$7:$AV$679,13,0)</f>
        <v>9000</v>
      </c>
      <c r="H95" s="1568">
        <f>VLOOKUP($B95,DATA!$B$7:$AV$679,15,0)</f>
        <v>5400</v>
      </c>
      <c r="I95" s="1568">
        <f>VLOOKUP($B95,DATA!$B$7:$AV$679,29,0)</f>
        <v>2700</v>
      </c>
      <c r="J95" s="1568">
        <f>VLOOKUP($B95,DATA!$B$7:$AV$679,30,0)</f>
        <v>2700</v>
      </c>
      <c r="K95" s="1568">
        <f>VLOOKUP($B95,DATA!$B$7:$BA$679,50,0)</f>
        <v>3000</v>
      </c>
      <c r="L95" s="1568">
        <f>VLOOKUP($B95,DATA!$B$7:$AV$679,36,0)</f>
        <v>0</v>
      </c>
      <c r="M95" s="1568">
        <f t="shared" si="18"/>
        <v>2700</v>
      </c>
      <c r="N95" s="20"/>
      <c r="O95" s="1231">
        <v>5430</v>
      </c>
      <c r="P95" s="1231">
        <v>2430</v>
      </c>
      <c r="Q95" s="1231">
        <v>3000</v>
      </c>
      <c r="R95" s="1231"/>
      <c r="S95" s="1231">
        <v>2430</v>
      </c>
      <c r="T95" s="1571">
        <f t="shared" si="16"/>
        <v>5430</v>
      </c>
      <c r="U95" s="1571">
        <f t="shared" si="17"/>
        <v>2430</v>
      </c>
      <c r="V95" s="1646">
        <f t="shared" si="12"/>
        <v>2970</v>
      </c>
      <c r="W95" s="1218"/>
      <c r="X95" s="59" t="s">
        <v>1859</v>
      </c>
    </row>
    <row r="96" spans="1:25" ht="67.5" customHeight="1">
      <c r="A96" s="500">
        <v>86</v>
      </c>
      <c r="B96" s="310" t="s">
        <v>2535</v>
      </c>
      <c r="C96" s="1216" t="str">
        <f>VLOOKUP($B96,DATA!$B$7:$AV$679,6,0)</f>
        <v>Bố Trạch</v>
      </c>
      <c r="D96" s="1230">
        <f>VLOOKUP($B96,DATA!$B$7:$AV$679,7,0)</f>
        <v>2019</v>
      </c>
      <c r="E96" s="1230">
        <f>VLOOKUP($B96,DATA!$B$7:$AV$679,9,0)</f>
        <v>2021</v>
      </c>
      <c r="F96" s="1216" t="str">
        <f>VLOOKUP($B96,DATA!$B$7:$AV$679,12,0)</f>
        <v>3774/QĐ-UBND ngày 31/10/2018</v>
      </c>
      <c r="G96" s="1568">
        <f>VLOOKUP($B96,DATA!$B$7:$AV$679,13,0)</f>
        <v>9500</v>
      </c>
      <c r="H96" s="1568">
        <f>VLOOKUP($B96,DATA!$B$7:$AV$679,15,0)</f>
        <v>5700</v>
      </c>
      <c r="I96" s="1568">
        <f>VLOOKUP($B96,DATA!$B$7:$AV$679,29,0)</f>
        <v>2850</v>
      </c>
      <c r="J96" s="1568">
        <f>VLOOKUP($B96,DATA!$B$7:$AV$679,30,0)</f>
        <v>2850</v>
      </c>
      <c r="K96" s="1568">
        <f>VLOOKUP($B96,DATA!$B$7:$BA$679,50,0)</f>
        <v>2500</v>
      </c>
      <c r="L96" s="1568">
        <f>VLOOKUP($B96,DATA!$B$7:$AV$679,36,0)</f>
        <v>0</v>
      </c>
      <c r="M96" s="1568">
        <f t="shared" si="18"/>
        <v>2850</v>
      </c>
      <c r="N96" s="20"/>
      <c r="O96" s="1231">
        <v>5065</v>
      </c>
      <c r="P96" s="1231">
        <v>2565</v>
      </c>
      <c r="Q96" s="1231">
        <v>2500</v>
      </c>
      <c r="R96" s="1231"/>
      <c r="S96" s="1231">
        <v>2565</v>
      </c>
      <c r="T96" s="1571">
        <f t="shared" si="16"/>
        <v>5065</v>
      </c>
      <c r="U96" s="1571">
        <f t="shared" si="17"/>
        <v>2565</v>
      </c>
      <c r="V96" s="1646">
        <f t="shared" si="12"/>
        <v>3135</v>
      </c>
      <c r="W96" s="1218"/>
      <c r="X96" s="59" t="s">
        <v>1836</v>
      </c>
    </row>
    <row r="97" spans="1:25" ht="67.5" customHeight="1">
      <c r="A97" s="500">
        <v>87</v>
      </c>
      <c r="B97" s="310" t="s">
        <v>1827</v>
      </c>
      <c r="C97" s="1216" t="str">
        <f>VLOOKUP($B97,DATA!$B$7:$AV$679,6,0)</f>
        <v>Lệ Thủy</v>
      </c>
      <c r="D97" s="1230">
        <f>VLOOKUP($B97,DATA!$B$7:$AV$679,7,0)</f>
        <v>2019</v>
      </c>
      <c r="E97" s="1230">
        <f>VLOOKUP($B97,DATA!$B$7:$AV$679,9,0)</f>
        <v>2021</v>
      </c>
      <c r="F97" s="1216" t="str">
        <f>VLOOKUP($B97,DATA!$B$7:$AV$679,12,0)</f>
        <v>2282/QĐ-UBND ngày 11/7/2018</v>
      </c>
      <c r="G97" s="1568">
        <f>VLOOKUP($B97,DATA!$B$7:$AV$679,13,0)</f>
        <v>10000</v>
      </c>
      <c r="H97" s="1568">
        <f>VLOOKUP($B97,DATA!$B$7:$AV$679,15,0)</f>
        <v>6000</v>
      </c>
      <c r="I97" s="1568">
        <f>VLOOKUP($B97,DATA!$B$7:$AV$679,29,0)</f>
        <v>3000</v>
      </c>
      <c r="J97" s="1568">
        <f>VLOOKUP($B97,DATA!$B$7:$AV$679,30,0)</f>
        <v>3000</v>
      </c>
      <c r="K97" s="1568">
        <f>VLOOKUP($B97,DATA!$B$7:$BA$679,50,0)</f>
        <v>2000</v>
      </c>
      <c r="L97" s="1568">
        <f>VLOOKUP($B97,DATA!$B$7:$AV$679,36,0)</f>
        <v>0</v>
      </c>
      <c r="M97" s="1568">
        <f t="shared" si="18"/>
        <v>3000</v>
      </c>
      <c r="N97" s="20"/>
      <c r="O97" s="1231">
        <v>4700</v>
      </c>
      <c r="P97" s="1231">
        <v>2700</v>
      </c>
      <c r="Q97" s="1231">
        <v>2000</v>
      </c>
      <c r="R97" s="1231"/>
      <c r="S97" s="1231">
        <v>2700</v>
      </c>
      <c r="T97" s="1571">
        <f t="shared" si="16"/>
        <v>4700</v>
      </c>
      <c r="U97" s="1571">
        <f t="shared" si="17"/>
        <v>2700</v>
      </c>
      <c r="V97" s="1646">
        <f t="shared" si="12"/>
        <v>3300</v>
      </c>
      <c r="W97" s="1218"/>
      <c r="X97" s="59" t="s">
        <v>793</v>
      </c>
    </row>
    <row r="98" spans="1:25" ht="67.5" customHeight="1">
      <c r="A98" s="500">
        <v>88</v>
      </c>
      <c r="B98" s="310" t="s">
        <v>1896</v>
      </c>
      <c r="C98" s="1216" t="str">
        <f>VLOOKUP($B98,DATA!$B$7:$AV$679,6,0)</f>
        <v>Ba Đồn</v>
      </c>
      <c r="D98" s="1230">
        <f>VLOOKUP($B98,DATA!$B$7:$AV$679,7,0)</f>
        <v>2019</v>
      </c>
      <c r="E98" s="1230">
        <f>VLOOKUP($B98,DATA!$B$7:$AV$679,9,0)</f>
        <v>2021</v>
      </c>
      <c r="F98" s="1216" t="str">
        <f>VLOOKUP($B98,DATA!$B$7:$AV$679,12,0)</f>
        <v>3884/QĐ-UBND ngày 31/10/2018</v>
      </c>
      <c r="G98" s="1568">
        <f>VLOOKUP($B98,DATA!$B$7:$AV$679,13,0)</f>
        <v>10000</v>
      </c>
      <c r="H98" s="1568">
        <f>VLOOKUP($B98,DATA!$B$7:$AV$679,15,0)</f>
        <v>6000</v>
      </c>
      <c r="I98" s="1568">
        <f>VLOOKUP($B98,DATA!$B$7:$AV$679,29,0)</f>
        <v>3000</v>
      </c>
      <c r="J98" s="1568">
        <f>VLOOKUP($B98,DATA!$B$7:$AV$679,30,0)</f>
        <v>3000</v>
      </c>
      <c r="K98" s="1568">
        <f>VLOOKUP($B98,DATA!$B$7:$BA$679,50,0)</f>
        <v>2700</v>
      </c>
      <c r="L98" s="1568">
        <f>VLOOKUP($B98,DATA!$B$7:$AV$679,36,0)</f>
        <v>0</v>
      </c>
      <c r="M98" s="1568">
        <f t="shared" si="18"/>
        <v>3000</v>
      </c>
      <c r="N98" s="20"/>
      <c r="O98" s="1231">
        <v>5400</v>
      </c>
      <c r="P98" s="1231">
        <v>2700</v>
      </c>
      <c r="Q98" s="1231">
        <v>2700</v>
      </c>
      <c r="R98" s="1231"/>
      <c r="S98" s="1231">
        <v>2700</v>
      </c>
      <c r="T98" s="1571">
        <f t="shared" si="16"/>
        <v>5400</v>
      </c>
      <c r="U98" s="1571">
        <f t="shared" si="17"/>
        <v>2700</v>
      </c>
      <c r="V98" s="1646">
        <f t="shared" si="12"/>
        <v>3300</v>
      </c>
      <c r="W98" s="1218"/>
      <c r="X98" s="59" t="s">
        <v>1899</v>
      </c>
    </row>
    <row r="99" spans="1:25" ht="67.5" customHeight="1">
      <c r="A99" s="500">
        <v>89</v>
      </c>
      <c r="B99" s="310" t="s">
        <v>1830</v>
      </c>
      <c r="C99" s="1216" t="str">
        <f>VLOOKUP($B99,DATA!$B$7:$AV$679,6,0)</f>
        <v>Lệ Thủy</v>
      </c>
      <c r="D99" s="1230">
        <f>VLOOKUP($B99,DATA!$B$7:$AV$679,7,0)</f>
        <v>2019</v>
      </c>
      <c r="E99" s="1230">
        <f>VLOOKUP($B99,DATA!$B$7:$AV$679,9,0)</f>
        <v>2021</v>
      </c>
      <c r="F99" s="1216" t="str">
        <f>VLOOKUP($B99,DATA!$B$7:$AV$679,12,0)</f>
        <v>3132/QĐ-UBND ngày 19/9/2018</v>
      </c>
      <c r="G99" s="1568">
        <f>VLOOKUP($B99,DATA!$B$7:$AV$679,13,0)</f>
        <v>14940</v>
      </c>
      <c r="H99" s="1568">
        <f>VLOOKUP($B99,DATA!$B$7:$AV$679,15,0)</f>
        <v>6642</v>
      </c>
      <c r="I99" s="1568">
        <f>VLOOKUP($B99,DATA!$B$7:$AV$679,29,0)</f>
        <v>3321</v>
      </c>
      <c r="J99" s="1568">
        <f>VLOOKUP($B99,DATA!$B$7:$AV$679,30,0)</f>
        <v>3321</v>
      </c>
      <c r="K99" s="1568">
        <f>VLOOKUP($B99,DATA!$B$7:$BA$679,50,0)</f>
        <v>1200</v>
      </c>
      <c r="L99" s="1568">
        <f>VLOOKUP($B99,DATA!$B$7:$AV$679,36,0)</f>
        <v>0</v>
      </c>
      <c r="M99" s="1568">
        <f t="shared" si="18"/>
        <v>3321</v>
      </c>
      <c r="N99" s="20"/>
      <c r="O99" s="1231">
        <v>4188.8999999999996</v>
      </c>
      <c r="P99" s="1231">
        <v>2988.9</v>
      </c>
      <c r="Q99" s="1231">
        <v>1200</v>
      </c>
      <c r="R99" s="1231"/>
      <c r="S99" s="1231">
        <v>2988.9</v>
      </c>
      <c r="T99" s="1571">
        <f t="shared" si="16"/>
        <v>4188.8999999999996</v>
      </c>
      <c r="U99" s="1571">
        <f t="shared" si="17"/>
        <v>2988.9</v>
      </c>
      <c r="V99" s="1646">
        <f t="shared" si="12"/>
        <v>3653.1</v>
      </c>
      <c r="W99" s="1218"/>
      <c r="X99" s="59" t="s">
        <v>793</v>
      </c>
    </row>
    <row r="100" spans="1:25" ht="67.5" customHeight="1">
      <c r="A100" s="500">
        <v>90</v>
      </c>
      <c r="B100" s="310" t="s">
        <v>1888</v>
      </c>
      <c r="C100" s="1216" t="str">
        <f>VLOOKUP($B100,DATA!$B$7:$AV$679,6,0)</f>
        <v>Ba Đồn</v>
      </c>
      <c r="D100" s="1230">
        <f>VLOOKUP($B100,DATA!$B$7:$AV$679,7,0)</f>
        <v>2019</v>
      </c>
      <c r="E100" s="1230">
        <f>VLOOKUP($B100,DATA!$B$7:$AV$679,9,0)</f>
        <v>2021</v>
      </c>
      <c r="F100" s="1216" t="str">
        <f>VLOOKUP($B100,DATA!$B$7:$AV$679,12,0)</f>
        <v>3778/QĐ-UBND ngày 31/10/2018</v>
      </c>
      <c r="G100" s="1568">
        <f>VLOOKUP($B100,DATA!$B$7:$AV$679,13,0)</f>
        <v>11200</v>
      </c>
      <c r="H100" s="1568">
        <f>VLOOKUP($B100,DATA!$B$7:$AV$679,15,0)</f>
        <v>6720</v>
      </c>
      <c r="I100" s="1568">
        <f>VLOOKUP($B100,DATA!$B$7:$AV$679,29,0)</f>
        <v>3360</v>
      </c>
      <c r="J100" s="1568">
        <f>VLOOKUP($B100,DATA!$B$7:$AV$679,30,0)</f>
        <v>3360</v>
      </c>
      <c r="K100" s="1568">
        <f>VLOOKUP($B100,DATA!$B$7:$BA$679,50,0)</f>
        <v>2740</v>
      </c>
      <c r="L100" s="1568">
        <f>VLOOKUP($B100,DATA!$B$7:$AV$679,36,0)</f>
        <v>0</v>
      </c>
      <c r="M100" s="1568">
        <f>H100*0.5+1000</f>
        <v>4360</v>
      </c>
      <c r="N100" s="20"/>
      <c r="O100" s="1231">
        <v>5764</v>
      </c>
      <c r="P100" s="1231">
        <v>3024</v>
      </c>
      <c r="Q100" s="1231">
        <v>2740</v>
      </c>
      <c r="R100" s="1231"/>
      <c r="S100" s="1231">
        <v>3024</v>
      </c>
      <c r="T100" s="1571">
        <f t="shared" si="16"/>
        <v>5764</v>
      </c>
      <c r="U100" s="1571">
        <f t="shared" si="17"/>
        <v>3024</v>
      </c>
      <c r="V100" s="1646">
        <f t="shared" si="12"/>
        <v>3696</v>
      </c>
      <c r="W100" s="1218"/>
      <c r="X100" s="59" t="s">
        <v>768</v>
      </c>
      <c r="Y100" s="13" t="s">
        <v>2559</v>
      </c>
    </row>
    <row r="101" spans="1:25" ht="67.5" customHeight="1">
      <c r="A101" s="500">
        <v>91</v>
      </c>
      <c r="B101" s="545" t="s">
        <v>1881</v>
      </c>
      <c r="C101" s="1216" t="str">
        <f>VLOOKUP($B101,DATA!$B$7:$AV$679,6,0)</f>
        <v>Quảng Trạch</v>
      </c>
      <c r="D101" s="1230">
        <f>VLOOKUP($B101,DATA!$B$7:$AV$679,7,0)</f>
        <v>2019</v>
      </c>
      <c r="E101" s="1230">
        <f>VLOOKUP($B101,DATA!$B$7:$AV$679,9,0)</f>
        <v>2021</v>
      </c>
      <c r="F101" s="1216" t="str">
        <f>VLOOKUP($B101,DATA!$B$7:$AV$679,12,0)</f>
        <v>3732/QĐ-UBND ngày 30/10/2018</v>
      </c>
      <c r="G101" s="1568">
        <f>VLOOKUP($B101,DATA!$B$7:$AV$679,13,0)</f>
        <v>12000</v>
      </c>
      <c r="H101" s="1568">
        <f>VLOOKUP($B101,DATA!$B$7:$AV$679,15,0)</f>
        <v>7200</v>
      </c>
      <c r="I101" s="1568">
        <f>VLOOKUP($B101,DATA!$B$7:$AV$679,29,0)</f>
        <v>3600</v>
      </c>
      <c r="J101" s="1568">
        <f>VLOOKUP($B101,DATA!$B$7:$AV$679,30,0)</f>
        <v>3600</v>
      </c>
      <c r="K101" s="1569">
        <f>VLOOKUP($B101,DATA!$B$7:$BA$679,50,0)+3240</f>
        <v>6840</v>
      </c>
      <c r="L101" s="1569">
        <v>3240</v>
      </c>
      <c r="M101" s="1569">
        <f t="shared" si="18"/>
        <v>3600</v>
      </c>
      <c r="N101" s="20">
        <v>3240</v>
      </c>
      <c r="O101" s="1231">
        <v>10440</v>
      </c>
      <c r="P101" s="1231">
        <v>6840</v>
      </c>
      <c r="Q101" s="1231">
        <v>6840</v>
      </c>
      <c r="R101" s="1231">
        <v>3240</v>
      </c>
      <c r="S101" s="1231">
        <v>3600</v>
      </c>
      <c r="T101" s="1571">
        <f t="shared" si="16"/>
        <v>10440</v>
      </c>
      <c r="U101" s="1571">
        <f t="shared" si="17"/>
        <v>6840</v>
      </c>
      <c r="V101" s="1646">
        <f t="shared" si="12"/>
        <v>360</v>
      </c>
      <c r="W101" s="1218"/>
      <c r="X101" s="59" t="s">
        <v>692</v>
      </c>
      <c r="Y101" s="13" t="s">
        <v>2560</v>
      </c>
    </row>
    <row r="102" spans="1:25" ht="67.5" customHeight="1">
      <c r="A102" s="500">
        <v>92</v>
      </c>
      <c r="B102" s="310" t="s">
        <v>1946</v>
      </c>
      <c r="C102" s="1216" t="str">
        <f>VLOOKUP($B102,DATA!$B$7:$AV$679,6,0)</f>
        <v>Quảng Ninh</v>
      </c>
      <c r="D102" s="1230">
        <f>VLOOKUP($B102,DATA!$B$7:$AV$679,7,0)</f>
        <v>2019</v>
      </c>
      <c r="E102" s="1230">
        <f>VLOOKUP($B102,DATA!$B$7:$AV$679,9,0)</f>
        <v>2021</v>
      </c>
      <c r="F102" s="1216" t="str">
        <f>VLOOKUP($B102,DATA!$B$7:$AV$679,12,0)</f>
        <v>3865/QĐ-UBND ngày 31/10/2018</v>
      </c>
      <c r="G102" s="1568">
        <f>VLOOKUP($B102,DATA!$B$7:$AV$679,13,0)</f>
        <v>15000</v>
      </c>
      <c r="H102" s="1568">
        <f>VLOOKUP($B102,DATA!$B$7:$AV$679,15,0)</f>
        <v>9000</v>
      </c>
      <c r="I102" s="1568">
        <f>VLOOKUP($B102,DATA!$B$7:$AV$679,29,0)</f>
        <v>4500</v>
      </c>
      <c r="J102" s="1568">
        <f>VLOOKUP($B102,DATA!$B$7:$AV$679,30,0)</f>
        <v>4500</v>
      </c>
      <c r="K102" s="1568">
        <f>VLOOKUP($B102,DATA!$B$7:$BA$679,50,0)</f>
        <v>0</v>
      </c>
      <c r="L102" s="1568">
        <f>VLOOKUP($B102,DATA!$B$7:$AV$679,36,0)</f>
        <v>0</v>
      </c>
      <c r="M102" s="1568">
        <f t="shared" si="18"/>
        <v>4500</v>
      </c>
      <c r="N102" s="20"/>
      <c r="O102" s="1231">
        <v>4050</v>
      </c>
      <c r="P102" s="1231">
        <v>4050</v>
      </c>
      <c r="Q102" s="1231"/>
      <c r="R102" s="1231"/>
      <c r="S102" s="1231">
        <v>4050</v>
      </c>
      <c r="T102" s="1571">
        <f t="shared" si="16"/>
        <v>4050</v>
      </c>
      <c r="U102" s="1571">
        <f t="shared" si="17"/>
        <v>4050</v>
      </c>
      <c r="V102" s="1646">
        <f t="shared" si="12"/>
        <v>4950</v>
      </c>
      <c r="W102" s="1218"/>
      <c r="X102" s="59" t="s">
        <v>631</v>
      </c>
    </row>
    <row r="103" spans="1:25" ht="67.5" customHeight="1">
      <c r="A103" s="500">
        <v>93</v>
      </c>
      <c r="B103" s="310" t="s">
        <v>1950</v>
      </c>
      <c r="C103" s="1216" t="str">
        <f>VLOOKUP($B103,DATA!$B$7:$AV$679,6,0)</f>
        <v>Bố Trạch</v>
      </c>
      <c r="D103" s="1230">
        <f>VLOOKUP($B103,DATA!$B$7:$AV$679,7,0)</f>
        <v>2019</v>
      </c>
      <c r="E103" s="1230">
        <f>VLOOKUP($B103,DATA!$B$7:$AV$679,9,0)</f>
        <v>2021</v>
      </c>
      <c r="F103" s="1216" t="str">
        <f>VLOOKUP($B103,DATA!$B$7:$AV$679,12,0)</f>
        <v>3738/QĐ-UBND ngày 30/10/2018</v>
      </c>
      <c r="G103" s="1568">
        <f>VLOOKUP($B103,DATA!$B$7:$AV$679,13,0)</f>
        <v>15000</v>
      </c>
      <c r="H103" s="1568">
        <f>VLOOKUP($B103,DATA!$B$7:$AV$679,15,0)</f>
        <v>9000</v>
      </c>
      <c r="I103" s="1568">
        <f>VLOOKUP($B103,DATA!$B$7:$AV$679,29,0)</f>
        <v>4500</v>
      </c>
      <c r="J103" s="1568">
        <f>VLOOKUP($B103,DATA!$B$7:$AV$679,30,0)</f>
        <v>4500</v>
      </c>
      <c r="K103" s="1568">
        <f>VLOOKUP($B103,DATA!$B$7:$BA$679,50,0)</f>
        <v>0</v>
      </c>
      <c r="L103" s="1568">
        <f>VLOOKUP($B103,DATA!$B$7:$AV$679,36,0)</f>
        <v>0</v>
      </c>
      <c r="M103" s="1568">
        <f t="shared" si="18"/>
        <v>4500</v>
      </c>
      <c r="N103" s="20"/>
      <c r="O103" s="1231">
        <v>4050</v>
      </c>
      <c r="P103" s="1231">
        <v>4050</v>
      </c>
      <c r="Q103" s="1231"/>
      <c r="R103" s="1231"/>
      <c r="S103" s="1231">
        <v>4050</v>
      </c>
      <c r="T103" s="1571">
        <f t="shared" si="16"/>
        <v>4050</v>
      </c>
      <c r="U103" s="1571">
        <f t="shared" si="17"/>
        <v>4050</v>
      </c>
      <c r="V103" s="1646">
        <f t="shared" si="12"/>
        <v>4950</v>
      </c>
      <c r="W103" s="1218"/>
      <c r="X103" s="59" t="s">
        <v>999</v>
      </c>
    </row>
    <row r="104" spans="1:25" ht="67.5" customHeight="1">
      <c r="A104" s="500">
        <v>94</v>
      </c>
      <c r="B104" s="310" t="s">
        <v>1863</v>
      </c>
      <c r="C104" s="1216" t="str">
        <f>VLOOKUP($B104,DATA!$B$7:$AV$679,6,0)</f>
        <v>Quảng Ninh</v>
      </c>
      <c r="D104" s="1230">
        <f>VLOOKUP($B104,DATA!$B$7:$AV$679,7,0)</f>
        <v>2019</v>
      </c>
      <c r="E104" s="1230">
        <f>VLOOKUP($B104,DATA!$B$7:$AV$679,9,0)</f>
        <v>2021</v>
      </c>
      <c r="F104" s="1216" t="str">
        <f>VLOOKUP($B104,DATA!$B$7:$AV$679,12,0)</f>
        <v>3864/QĐ-UBND ngày 31/10/2018</v>
      </c>
      <c r="G104" s="1568">
        <f>VLOOKUP($B104,DATA!$B$7:$AV$679,13,0)</f>
        <v>20000</v>
      </c>
      <c r="H104" s="1568">
        <f>VLOOKUP($B104,DATA!$B$7:$AV$679,15,0)</f>
        <v>12000</v>
      </c>
      <c r="I104" s="1603"/>
      <c r="J104" s="1603"/>
      <c r="K104" s="1603"/>
      <c r="L104" s="1603"/>
      <c r="M104" s="1603"/>
      <c r="N104" s="20"/>
      <c r="O104" s="1604">
        <v>5400</v>
      </c>
      <c r="P104" s="1604">
        <v>5400</v>
      </c>
      <c r="Q104" s="1604"/>
      <c r="R104" s="1604"/>
      <c r="S104" s="1604">
        <v>5400</v>
      </c>
      <c r="T104" s="1605">
        <f t="shared" si="16"/>
        <v>5400</v>
      </c>
      <c r="U104" s="1605">
        <f t="shared" si="17"/>
        <v>5400</v>
      </c>
      <c r="V104" s="1652">
        <f t="shared" si="12"/>
        <v>6600</v>
      </c>
      <c r="W104" s="1218"/>
      <c r="X104" s="59"/>
    </row>
    <row r="105" spans="1:25" ht="67.5" customHeight="1">
      <c r="A105" s="500">
        <v>95</v>
      </c>
      <c r="B105" s="1602" t="s">
        <v>1954</v>
      </c>
      <c r="C105" s="1597" t="str">
        <f>VLOOKUP($B105,DATA!$B$7:$AV$679,6,0)</f>
        <v>Bố Trạch</v>
      </c>
      <c r="D105" s="1494">
        <f>VLOOKUP($B105,DATA!$B$7:$AV$679,7,0)</f>
        <v>2019</v>
      </c>
      <c r="E105" s="1494">
        <f>VLOOKUP($B105,DATA!$B$7:$AV$679,9,0)</f>
        <v>2021</v>
      </c>
      <c r="F105" s="1597" t="str">
        <f>VLOOKUP($B105,DATA!$B$7:$AV$679,12,0)</f>
        <v>3856/QĐ-UBND ngày 31/10/2018</v>
      </c>
      <c r="G105" s="1603">
        <f>VLOOKUP($B105,DATA!$B$7:$AV$679,13,0)</f>
        <v>48800</v>
      </c>
      <c r="H105" s="1603">
        <f>VLOOKUP($B105,DATA!$B$7:$AV$679,15,0)</f>
        <v>28800</v>
      </c>
      <c r="I105" s="1603">
        <f>VLOOKUP($B105,DATA!$B$7:$AV$679,29,0)</f>
        <v>14400</v>
      </c>
      <c r="J105" s="1603">
        <f>VLOOKUP($B105,DATA!$B$7:$AV$679,30,0)</f>
        <v>14400</v>
      </c>
      <c r="K105" s="1603">
        <f>VLOOKUP($B105,DATA!$B$7:$BA$679,50,0)</f>
        <v>7000</v>
      </c>
      <c r="L105" s="1603">
        <f>VLOOKUP($B105,DATA!$B$7:$AV$679,36,0)</f>
        <v>0</v>
      </c>
      <c r="M105" s="1603">
        <f t="shared" si="18"/>
        <v>14400</v>
      </c>
      <c r="N105" s="20"/>
      <c r="O105" s="1604">
        <v>19960</v>
      </c>
      <c r="P105" s="1604">
        <v>12960</v>
      </c>
      <c r="Q105" s="1604">
        <v>7000</v>
      </c>
      <c r="R105" s="1604"/>
      <c r="S105" s="1604">
        <v>12960</v>
      </c>
      <c r="T105" s="1605">
        <f t="shared" si="16"/>
        <v>19960</v>
      </c>
      <c r="U105" s="1605">
        <f t="shared" si="17"/>
        <v>12960</v>
      </c>
      <c r="V105" s="1652">
        <f t="shared" si="12"/>
        <v>15840</v>
      </c>
      <c r="W105" s="1218"/>
      <c r="X105" s="59" t="s">
        <v>1859</v>
      </c>
    </row>
    <row r="106" spans="1:25" ht="63">
      <c r="A106" s="500">
        <v>96</v>
      </c>
      <c r="B106" s="1287" t="s">
        <v>1165</v>
      </c>
      <c r="C106" s="1216" t="str">
        <f>VLOOKUP($B106,DATA!$B$7:$AV$679,6,0)</f>
        <v>Minh Hóa</v>
      </c>
      <c r="D106" s="1230">
        <f>VLOOKUP($B106,DATA!$B$7:$AV$679,7,0)</f>
        <v>2015</v>
      </c>
      <c r="E106" s="1230">
        <f>VLOOKUP($B106,DATA!$B$7:$AV$679,9,0)</f>
        <v>2020</v>
      </c>
      <c r="F106" s="1216" t="str">
        <f>VLOOKUP($B106,DATA!$B$7:$AV$679,12,0)</f>
        <v>3064/QĐ-UBND ngày 29/10/2014; 4885/QĐ-UBND ngày 29/12/2017</v>
      </c>
      <c r="G106" s="1217">
        <f>VLOOKUP($B106,DATA!$B$7:$AV$679,13,0)</f>
        <v>307197</v>
      </c>
      <c r="H106" s="1217">
        <f>VLOOKUP($B106,DATA!$B$7:$AV$679,15,0)</f>
        <v>67815</v>
      </c>
      <c r="I106" s="1606"/>
      <c r="J106" s="1606"/>
      <c r="K106" s="1606"/>
      <c r="L106" s="1606"/>
      <c r="M106" s="1606"/>
      <c r="N106" s="1220"/>
      <c r="O106" s="1217" t="s">
        <v>2582</v>
      </c>
      <c r="P106" s="1217">
        <v>41934</v>
      </c>
      <c r="Q106" s="1217">
        <v>147976</v>
      </c>
      <c r="R106" s="1217">
        <f>VLOOKUP($B106,DATA!$B$7:$AV$679,36,0)</f>
        <v>22833</v>
      </c>
      <c r="S106" s="1217">
        <v>19101</v>
      </c>
      <c r="T106" s="1217">
        <f>Q106+S106</f>
        <v>167077</v>
      </c>
      <c r="U106" s="1217">
        <f>R106+S106</f>
        <v>41934</v>
      </c>
      <c r="V106" s="1654">
        <f>H106*0.9-U106</f>
        <v>19099.5</v>
      </c>
      <c r="W106" s="1218"/>
    </row>
    <row r="107" spans="1:25" ht="83.25" customHeight="1">
      <c r="A107" s="500">
        <v>97</v>
      </c>
      <c r="B107" s="1289" t="s">
        <v>1181</v>
      </c>
      <c r="C107" s="1216" t="str">
        <f>VLOOKUP($B107,DATA!$B$7:$AV$679,6,0)</f>
        <v>Bố Trạch</v>
      </c>
      <c r="D107" s="1230">
        <f>VLOOKUP($B107,DATA!$B$7:$AV$679,7,0)</f>
        <v>2018</v>
      </c>
      <c r="E107" s="1230" t="str">
        <f>VLOOKUP($B107,DATA!$B$7:$AV$679,9,0)</f>
        <v>2020</v>
      </c>
      <c r="F107" s="1216" t="str">
        <f>VLOOKUP($B107,DATA!$B$7:$AV$679,12,0)</f>
        <v>2856/QĐ-UBND ngày 28/8/2018</v>
      </c>
      <c r="G107" s="1217">
        <f>VLOOKUP($B107,DATA!$B$7:$AV$679,13,0)</f>
        <v>8480</v>
      </c>
      <c r="H107" s="1217">
        <f>VLOOKUP($B107,DATA!$B$7:$AV$679,15,0)</f>
        <v>8480</v>
      </c>
      <c r="I107" s="1606"/>
      <c r="J107" s="1606"/>
      <c r="K107" s="1606"/>
      <c r="L107" s="1606"/>
      <c r="M107" s="1606"/>
      <c r="N107" s="1220"/>
      <c r="O107" s="1217">
        <v>6198</v>
      </c>
      <c r="P107" s="1217">
        <v>6198</v>
      </c>
      <c r="Q107" s="1217">
        <f>VLOOKUP($B107,DATA!$B$7:$AV$679,35,0)</f>
        <v>4227</v>
      </c>
      <c r="R107" s="1217">
        <f>VLOOKUP($B107,DATA!$B$7:$AV$679,36,0)</f>
        <v>4227</v>
      </c>
      <c r="S107" s="1217">
        <v>1971</v>
      </c>
      <c r="T107" s="1217">
        <f>Q107+S107</f>
        <v>6198</v>
      </c>
      <c r="U107" s="1217">
        <f>R107+S107</f>
        <v>6198</v>
      </c>
      <c r="V107" s="1654">
        <f>H107*0.9-U107</f>
        <v>1434</v>
      </c>
      <c r="W107" s="1218"/>
    </row>
    <row r="108" spans="1:25" ht="72.75" customHeight="1">
      <c r="A108" s="500">
        <v>98</v>
      </c>
      <c r="B108" s="1289" t="s">
        <v>1183</v>
      </c>
      <c r="C108" s="1216" t="str">
        <f>VLOOKUP($B108,DATA!$B$7:$AV$679,6,0)</f>
        <v>Bố Trạch</v>
      </c>
      <c r="D108" s="1230">
        <f>VLOOKUP($B108,DATA!$B$7:$AV$679,7,0)</f>
        <v>2018</v>
      </c>
      <c r="E108" s="1230" t="str">
        <f>VLOOKUP($B108,DATA!$B$7:$AV$679,9,0)</f>
        <v>2020</v>
      </c>
      <c r="F108" s="1216" t="str">
        <f>VLOOKUP($B108,DATA!$B$7:$AV$679,12,0)</f>
        <v>4742/QĐ-UBND ngày 31/12/2018</v>
      </c>
      <c r="G108" s="1217">
        <f>VLOOKUP($B108,DATA!$B$7:$AV$679,13,0)</f>
        <v>10993</v>
      </c>
      <c r="H108" s="1217">
        <f>VLOOKUP($B108,DATA!$B$7:$AV$679,15,0)</f>
        <v>10993</v>
      </c>
      <c r="I108" s="1606"/>
      <c r="J108" s="1606"/>
      <c r="K108" s="1606"/>
      <c r="L108" s="1606"/>
      <c r="M108" s="1606"/>
      <c r="N108" s="1220"/>
      <c r="O108" s="1217">
        <v>6465</v>
      </c>
      <c r="P108" s="1217">
        <v>6465</v>
      </c>
      <c r="Q108" s="1217">
        <f>VLOOKUP($B108,DATA!$B$7:$AV$679,35,0)</f>
        <v>3030</v>
      </c>
      <c r="R108" s="1217">
        <f>VLOOKUP($B108,DATA!$B$7:$AV$679,36,0)</f>
        <v>3030</v>
      </c>
      <c r="S108" s="1217">
        <v>3435</v>
      </c>
      <c r="T108" s="1217">
        <f>Q108+S108</f>
        <v>6465</v>
      </c>
      <c r="U108" s="1217">
        <f>R108+S108</f>
        <v>6465</v>
      </c>
      <c r="V108" s="1654">
        <f>H108*0.9-U108</f>
        <v>3428.7000000000007</v>
      </c>
      <c r="W108" s="1218"/>
    </row>
    <row r="109" spans="1:25" ht="31.5">
      <c r="A109" s="500">
        <v>99</v>
      </c>
      <c r="B109" s="1460" t="s">
        <v>1978</v>
      </c>
      <c r="C109" s="1542" t="str">
        <f>VLOOKUP($B109,DATA!$B$7:$AV$679,6,0)</f>
        <v>Quảng Trạch</v>
      </c>
      <c r="D109" s="1543">
        <f>VLOOKUP($B109,DATA!$B$7:$AV$679,7,0)</f>
        <v>2020</v>
      </c>
      <c r="E109" s="1543">
        <f>VLOOKUP($B109,DATA!$B$7:$AV$679,9,0)</f>
        <v>2022</v>
      </c>
      <c r="F109" s="1216" t="str">
        <f>VLOOKUP($B109,DATA!$B$7:$AV$679,12,0)</f>
        <v>4102/QĐ-UBND ngày 29/10/2019</v>
      </c>
      <c r="G109" s="1569">
        <f>VLOOKUP($B109,DATA!$B$7:$AV$679,13,0)</f>
        <v>8600</v>
      </c>
      <c r="H109" s="1569">
        <f>VLOOKUP($B109,DATA!$B$7:$AV$679,15,0)</f>
        <v>5000</v>
      </c>
      <c r="I109" s="1569">
        <f>VLOOKUP($B109,DATA!$B$7:$AV$679,29,0)</f>
        <v>1500</v>
      </c>
      <c r="J109" s="1569">
        <f>VLOOKUP($B109,DATA!$B$7:$AV$679,30,0)</f>
        <v>1500</v>
      </c>
      <c r="K109" s="1569">
        <f>VLOOKUP($B109,DATA!$B$7:$AV$679,35,0)</f>
        <v>0</v>
      </c>
      <c r="L109" s="1569">
        <f>VLOOKUP($B109,DATA!$B$7:$AV$679,36,0)</f>
        <v>0</v>
      </c>
      <c r="M109" s="1568">
        <f>H109*0.3</f>
        <v>1500</v>
      </c>
      <c r="N109" s="1575"/>
      <c r="O109" s="1568">
        <v>1500</v>
      </c>
      <c r="P109" s="1568">
        <v>1500</v>
      </c>
      <c r="Q109" s="1569"/>
      <c r="R109" s="1569"/>
      <c r="S109" s="1568">
        <v>1500</v>
      </c>
      <c r="T109" s="1568">
        <f>Q109+S109</f>
        <v>1500</v>
      </c>
      <c r="U109" s="1568">
        <f>R109+S109</f>
        <v>1500</v>
      </c>
      <c r="V109" s="1646">
        <f t="shared" ref="V109:V127" si="19">H109*0.7-U109</f>
        <v>2000</v>
      </c>
      <c r="W109" s="1218"/>
    </row>
    <row r="110" spans="1:25" ht="48" customHeight="1">
      <c r="A110" s="500">
        <v>100</v>
      </c>
      <c r="B110" s="310" t="s">
        <v>1963</v>
      </c>
      <c r="C110" s="1216" t="str">
        <f>VLOOKUP($B110,DATA!$B$7:$AV$679,6,0)</f>
        <v>Lệ Thủy</v>
      </c>
      <c r="D110" s="1230">
        <f>VLOOKUP($B110,DATA!$B$7:$AV$679,7,0)</f>
        <v>2020</v>
      </c>
      <c r="E110" s="1230">
        <f>VLOOKUP($B110,DATA!$B$7:$AV$679,9,0)</f>
        <v>2022</v>
      </c>
      <c r="F110" s="1216" t="str">
        <f>VLOOKUP($B110,DATA!$B$7:$AV$679,12,0)</f>
        <v>4227/QĐ-UBND ngày 30/10/2019</v>
      </c>
      <c r="G110" s="1568">
        <f>VLOOKUP($B110,DATA!$B$7:$AV$679,13,0)</f>
        <v>25000</v>
      </c>
      <c r="H110" s="1568">
        <f>VLOOKUP($B110,DATA!$B$7:$AV$679,15,0)</f>
        <v>15000</v>
      </c>
      <c r="I110" s="1568">
        <f>VLOOKUP($B110,DATA!$B$7:$AV$679,29,0)</f>
        <v>4500</v>
      </c>
      <c r="J110" s="1568">
        <f>VLOOKUP($B110,DATA!$B$7:$AV$679,30,0)</f>
        <v>4500</v>
      </c>
      <c r="K110" s="1568">
        <f>VLOOKUP($B110,DATA!$B$7:$AV$679,35,0)</f>
        <v>0</v>
      </c>
      <c r="L110" s="1568">
        <f>VLOOKUP($B110,DATA!$B$7:$AV$679,36,0)</f>
        <v>0</v>
      </c>
      <c r="M110" s="1568">
        <f t="shared" ref="M110:M139" si="20">H110*0.3</f>
        <v>4500</v>
      </c>
      <c r="N110" s="20"/>
      <c r="O110" s="1231">
        <v>4500</v>
      </c>
      <c r="P110" s="1231">
        <v>4500</v>
      </c>
      <c r="Q110" s="1231"/>
      <c r="R110" s="1231"/>
      <c r="S110" s="1568">
        <v>4500</v>
      </c>
      <c r="T110" s="1568">
        <f>Q110+S110</f>
        <v>4500</v>
      </c>
      <c r="U110" s="1568">
        <f>R110+S110</f>
        <v>4500</v>
      </c>
      <c r="V110" s="1646">
        <f t="shared" si="19"/>
        <v>6000</v>
      </c>
      <c r="W110" s="1218"/>
    </row>
    <row r="111" spans="1:25" ht="58.5" customHeight="1">
      <c r="A111" s="500">
        <v>101</v>
      </c>
      <c r="B111" s="310" t="s">
        <v>1964</v>
      </c>
      <c r="C111" s="1216" t="str">
        <f>VLOOKUP($B111,DATA!$B$7:$AV$679,6,0)</f>
        <v>Quảng Trạch</v>
      </c>
      <c r="D111" s="1230">
        <f>VLOOKUP($B111,DATA!$B$7:$AV$679,7,0)</f>
        <v>2020</v>
      </c>
      <c r="E111" s="1230">
        <f>VLOOKUP($B111,DATA!$B$7:$AV$679,9,0)</f>
        <v>2022</v>
      </c>
      <c r="F111" s="1216" t="str">
        <f>VLOOKUP($B111,DATA!$B$7:$AV$679,12,0)</f>
        <v>4234/QĐ-UBND ngày 30/10/2019</v>
      </c>
      <c r="G111" s="1568">
        <f>VLOOKUP($B111,DATA!$B$7:$AV$679,13,0)</f>
        <v>9000</v>
      </c>
      <c r="H111" s="1568">
        <f>VLOOKUP($B111,DATA!$B$7:$AV$679,15,0)</f>
        <v>9000</v>
      </c>
      <c r="I111" s="1568">
        <f>VLOOKUP($B111,DATA!$B$7:$AV$679,29,0)</f>
        <v>2700</v>
      </c>
      <c r="J111" s="1568">
        <f>VLOOKUP($B111,DATA!$B$7:$AV$679,30,0)</f>
        <v>2700</v>
      </c>
      <c r="K111" s="1568">
        <f>VLOOKUP($B111,DATA!$B$7:$AV$679,35,0)</f>
        <v>0</v>
      </c>
      <c r="L111" s="1568">
        <f>VLOOKUP($B111,DATA!$B$7:$AV$679,36,0)</f>
        <v>0</v>
      </c>
      <c r="M111" s="1568">
        <f t="shared" si="20"/>
        <v>2700</v>
      </c>
      <c r="N111" s="20"/>
      <c r="O111" s="1231">
        <v>2700</v>
      </c>
      <c r="P111" s="1231">
        <v>2700</v>
      </c>
      <c r="Q111" s="1231"/>
      <c r="R111" s="1231"/>
      <c r="S111" s="1568">
        <v>2700</v>
      </c>
      <c r="T111" s="1568">
        <f t="shared" ref="T111:T139" si="21">Q111+S111</f>
        <v>2700</v>
      </c>
      <c r="U111" s="1568">
        <f t="shared" ref="U111:U139" si="22">R111+S111</f>
        <v>2700</v>
      </c>
      <c r="V111" s="1646">
        <f t="shared" si="19"/>
        <v>3600</v>
      </c>
      <c r="W111" s="1218"/>
    </row>
    <row r="112" spans="1:25" ht="72.75" customHeight="1">
      <c r="A112" s="500">
        <v>102</v>
      </c>
      <c r="B112" s="310" t="s">
        <v>1965</v>
      </c>
      <c r="C112" s="1216" t="str">
        <f>VLOOKUP($B112,DATA!$B$7:$AV$679,6,0)</f>
        <v>Tuyên Hóa</v>
      </c>
      <c r="D112" s="1230">
        <f>VLOOKUP($B112,DATA!$B$7:$AV$679,7,0)</f>
        <v>2020</v>
      </c>
      <c r="E112" s="1230">
        <f>VLOOKUP($B112,DATA!$B$7:$AV$679,9,0)</f>
        <v>2022</v>
      </c>
      <c r="F112" s="1216" t="str">
        <f>VLOOKUP($B112,DATA!$B$7:$AV$679,12,0)</f>
        <v>4074/QĐ-UBND ngày 28/10/2019</v>
      </c>
      <c r="G112" s="1568">
        <f>VLOOKUP($B112,DATA!$B$7:$AV$679,13,0)</f>
        <v>14900</v>
      </c>
      <c r="H112" s="1568">
        <f>VLOOKUP($B112,DATA!$B$7:$AV$679,15,0)</f>
        <v>12000</v>
      </c>
      <c r="I112" s="1568">
        <f>VLOOKUP($B112,DATA!$B$7:$AV$679,29,0)</f>
        <v>3600</v>
      </c>
      <c r="J112" s="1568">
        <f>VLOOKUP($B112,DATA!$B$7:$AV$679,30,0)</f>
        <v>3600</v>
      </c>
      <c r="K112" s="1568">
        <f>VLOOKUP($B112,DATA!$B$7:$AV$679,35,0)</f>
        <v>0</v>
      </c>
      <c r="L112" s="1568">
        <f>VLOOKUP($B112,DATA!$B$7:$AV$679,36,0)</f>
        <v>0</v>
      </c>
      <c r="M112" s="1568">
        <f t="shared" si="20"/>
        <v>3600</v>
      </c>
      <c r="N112" s="20"/>
      <c r="O112" s="1231">
        <v>3600</v>
      </c>
      <c r="P112" s="1231">
        <v>3600</v>
      </c>
      <c r="Q112" s="1231"/>
      <c r="R112" s="1231"/>
      <c r="S112" s="1568">
        <v>3600</v>
      </c>
      <c r="T112" s="1568">
        <f t="shared" si="21"/>
        <v>3600</v>
      </c>
      <c r="U112" s="1568">
        <f t="shared" si="22"/>
        <v>3600</v>
      </c>
      <c r="V112" s="1646">
        <f t="shared" si="19"/>
        <v>4800</v>
      </c>
      <c r="W112" s="1218"/>
    </row>
    <row r="113" spans="1:23" ht="46.5" customHeight="1">
      <c r="A113" s="500">
        <v>103</v>
      </c>
      <c r="B113" s="1557" t="s">
        <v>1968</v>
      </c>
      <c r="C113" s="1216" t="str">
        <f>VLOOKUP($B113,DATA!$B$7:$AV$679,6,0)</f>
        <v>Ba Đồn</v>
      </c>
      <c r="D113" s="1230">
        <f>VLOOKUP($B113,DATA!$B$7:$AV$679,7,0)</f>
        <v>2020</v>
      </c>
      <c r="E113" s="1230">
        <f>VLOOKUP($B113,DATA!$B$7:$AV$679,9,0)</f>
        <v>2022</v>
      </c>
      <c r="F113" s="1216" t="str">
        <f>VLOOKUP($B113,DATA!$B$7:$AV$679,12,0)</f>
        <v>4230/QĐ-UBND
ngày 30/10/2019</v>
      </c>
      <c r="G113" s="1568">
        <f>VLOOKUP($B113,DATA!$B$7:$AV$679,13,0)</f>
        <v>6000</v>
      </c>
      <c r="H113" s="1568">
        <f>VLOOKUP($B113,DATA!$B$7:$AV$679,15,0)</f>
        <v>3600</v>
      </c>
      <c r="I113" s="1568">
        <f>VLOOKUP($B113,DATA!$B$7:$AV$679,29,0)</f>
        <v>1080</v>
      </c>
      <c r="J113" s="1568">
        <f>VLOOKUP($B113,DATA!$B$7:$AV$679,30,0)</f>
        <v>1080</v>
      </c>
      <c r="K113" s="1568">
        <f>VLOOKUP($B113,DATA!$B$7:$AV$679,35,0)</f>
        <v>0</v>
      </c>
      <c r="L113" s="1568">
        <f>VLOOKUP($B113,DATA!$B$7:$AV$679,36,0)</f>
        <v>0</v>
      </c>
      <c r="M113" s="1568">
        <f t="shared" si="20"/>
        <v>1080</v>
      </c>
      <c r="N113" s="1293"/>
      <c r="O113" s="1560">
        <v>1080</v>
      </c>
      <c r="P113" s="1560">
        <v>1080</v>
      </c>
      <c r="Q113" s="1560"/>
      <c r="R113" s="1560"/>
      <c r="S113" s="1568">
        <v>1080</v>
      </c>
      <c r="T113" s="1568">
        <f t="shared" si="21"/>
        <v>1080</v>
      </c>
      <c r="U113" s="1568">
        <f t="shared" si="22"/>
        <v>1080</v>
      </c>
      <c r="V113" s="1646">
        <f t="shared" si="19"/>
        <v>1440</v>
      </c>
      <c r="W113" s="1218"/>
    </row>
    <row r="114" spans="1:23" ht="31.5">
      <c r="A114" s="500">
        <v>104</v>
      </c>
      <c r="B114" s="1557" t="s">
        <v>1969</v>
      </c>
      <c r="C114" s="1216" t="str">
        <f>VLOOKUP($B114,DATA!$B$7:$AV$679,6,0)</f>
        <v>Ba Đồn</v>
      </c>
      <c r="D114" s="1230">
        <f>VLOOKUP($B114,DATA!$B$7:$AV$679,7,0)</f>
        <v>2020</v>
      </c>
      <c r="E114" s="1230">
        <f>VLOOKUP($B114,DATA!$B$7:$AV$679,9,0)</f>
        <v>2022</v>
      </c>
      <c r="F114" s="1216" t="str">
        <f>VLOOKUP($B114,DATA!$B$7:$AV$679,12,0)</f>
        <v>4231/QĐ-UBND
ngày 30/10/2019</v>
      </c>
      <c r="G114" s="1568">
        <f>VLOOKUP($B114,DATA!$B$7:$AV$679,13,0)</f>
        <v>4000</v>
      </c>
      <c r="H114" s="1568">
        <f>VLOOKUP($B114,DATA!$B$7:$AV$679,15,0)</f>
        <v>2400</v>
      </c>
      <c r="I114" s="1568">
        <f>VLOOKUP($B114,DATA!$B$7:$AV$679,29,0)</f>
        <v>720</v>
      </c>
      <c r="J114" s="1568">
        <f>VLOOKUP($B114,DATA!$B$7:$AV$679,30,0)</f>
        <v>720</v>
      </c>
      <c r="K114" s="1568">
        <f>VLOOKUP($B114,DATA!$B$7:$AV$679,35,0)</f>
        <v>0</v>
      </c>
      <c r="L114" s="1568">
        <f>VLOOKUP($B114,DATA!$B$7:$AV$679,36,0)</f>
        <v>0</v>
      </c>
      <c r="M114" s="1568">
        <f t="shared" si="20"/>
        <v>720</v>
      </c>
      <c r="N114" s="1293"/>
      <c r="O114" s="1560">
        <v>720</v>
      </c>
      <c r="P114" s="1560">
        <v>720</v>
      </c>
      <c r="Q114" s="1560"/>
      <c r="R114" s="1560"/>
      <c r="S114" s="1568">
        <v>720</v>
      </c>
      <c r="T114" s="1568">
        <f t="shared" si="21"/>
        <v>720</v>
      </c>
      <c r="U114" s="1568">
        <f t="shared" si="22"/>
        <v>720</v>
      </c>
      <c r="V114" s="1646">
        <f t="shared" si="19"/>
        <v>960</v>
      </c>
      <c r="W114" s="1218"/>
    </row>
    <row r="115" spans="1:23" ht="47.25">
      <c r="A115" s="500">
        <v>105</v>
      </c>
      <c r="B115" s="1558" t="s">
        <v>2512</v>
      </c>
      <c r="C115" s="1216" t="str">
        <f>VLOOKUP($B115,DATA!$B$7:$AV$679,6,0)</f>
        <v>Ba Đồn</v>
      </c>
      <c r="D115" s="1230">
        <f>VLOOKUP($B115,DATA!$B$7:$AV$679,7,0)</f>
        <v>2020</v>
      </c>
      <c r="E115" s="1230">
        <f>VLOOKUP($B115,DATA!$B$7:$AV$679,9,0)</f>
        <v>2022</v>
      </c>
      <c r="F115" s="1216" t="str">
        <f>VLOOKUP($B115,DATA!$B$7:$AV$679,12,0)</f>
        <v>1016/QĐ-UBND
ngày 21/3/2019</v>
      </c>
      <c r="G115" s="1568">
        <f>VLOOKUP($B115,DATA!$B$7:$AV$679,13,0)</f>
        <v>13500</v>
      </c>
      <c r="H115" s="1568">
        <f>VLOOKUP($B115,DATA!$B$7:$AV$679,15,0)</f>
        <v>8100</v>
      </c>
      <c r="I115" s="1568">
        <f>VLOOKUP($B115,DATA!$B$7:$AV$679,29,0)</f>
        <v>2430</v>
      </c>
      <c r="J115" s="1568">
        <f>VLOOKUP($B115,DATA!$B$7:$AV$679,30,0)</f>
        <v>2430</v>
      </c>
      <c r="K115" s="1568">
        <f>VLOOKUP($B115,DATA!$B$7:$AV$679,35,0)</f>
        <v>0</v>
      </c>
      <c r="L115" s="1568">
        <f>VLOOKUP($B115,DATA!$B$7:$AV$679,36,0)</f>
        <v>0</v>
      </c>
      <c r="M115" s="1568">
        <f t="shared" si="20"/>
        <v>2430</v>
      </c>
      <c r="N115" s="1293"/>
      <c r="O115" s="1560">
        <v>2430</v>
      </c>
      <c r="P115" s="1560">
        <v>2430</v>
      </c>
      <c r="Q115" s="1560"/>
      <c r="R115" s="1560"/>
      <c r="S115" s="1568">
        <v>2430</v>
      </c>
      <c r="T115" s="1568">
        <f t="shared" si="21"/>
        <v>2430</v>
      </c>
      <c r="U115" s="1568">
        <f t="shared" si="22"/>
        <v>2430</v>
      </c>
      <c r="V115" s="1646">
        <f t="shared" si="19"/>
        <v>3240</v>
      </c>
      <c r="W115" s="1218"/>
    </row>
    <row r="116" spans="1:23" ht="43.5" customHeight="1">
      <c r="A116" s="500">
        <v>106</v>
      </c>
      <c r="B116" s="1460" t="s">
        <v>1971</v>
      </c>
      <c r="C116" s="1216" t="str">
        <f>VLOOKUP($B116,DATA!$B$7:$AV$679,6,0)</f>
        <v>Ba Đồn</v>
      </c>
      <c r="D116" s="1230">
        <f>VLOOKUP($B116,DATA!$B$7:$AV$679,7,0)</f>
        <v>2020</v>
      </c>
      <c r="E116" s="1230">
        <f>VLOOKUP($B116,DATA!$B$7:$AV$679,9,0)</f>
        <v>2022</v>
      </c>
      <c r="F116" s="1216" t="str">
        <f>VLOOKUP($B116,DATA!$B$7:$AV$679,12,0)</f>
        <v>3891/QĐ-UBND ngày 15/10/2019</v>
      </c>
      <c r="G116" s="1568">
        <f>VLOOKUP($B116,DATA!$B$7:$AV$679,13,0)</f>
        <v>5000</v>
      </c>
      <c r="H116" s="1568">
        <f>VLOOKUP($B116,DATA!$B$7:$AV$679,15,0)</f>
        <v>3000</v>
      </c>
      <c r="I116" s="1568">
        <f>VLOOKUP($B116,DATA!$B$7:$AV$679,29,0)</f>
        <v>900</v>
      </c>
      <c r="J116" s="1568">
        <f>VLOOKUP($B116,DATA!$B$7:$AV$679,30,0)</f>
        <v>900</v>
      </c>
      <c r="K116" s="1568">
        <f>VLOOKUP($B116,DATA!$B$7:$AV$679,35,0)</f>
        <v>0</v>
      </c>
      <c r="L116" s="1568">
        <f>VLOOKUP($B116,DATA!$B$7:$AV$679,36,0)</f>
        <v>0</v>
      </c>
      <c r="M116" s="1568">
        <f t="shared" si="20"/>
        <v>900</v>
      </c>
      <c r="N116" s="1570"/>
      <c r="O116" s="1571">
        <v>900</v>
      </c>
      <c r="P116" s="1571">
        <v>900</v>
      </c>
      <c r="Q116" s="1571"/>
      <c r="R116" s="1571"/>
      <c r="S116" s="1568">
        <v>900</v>
      </c>
      <c r="T116" s="1568">
        <f t="shared" si="21"/>
        <v>900</v>
      </c>
      <c r="U116" s="1568">
        <f t="shared" si="22"/>
        <v>900</v>
      </c>
      <c r="V116" s="1646">
        <f t="shared" si="19"/>
        <v>1200</v>
      </c>
      <c r="W116" s="1218"/>
    </row>
    <row r="117" spans="1:23" ht="39.75" customHeight="1">
      <c r="A117" s="500">
        <v>107</v>
      </c>
      <c r="B117" s="1460" t="s">
        <v>1973</v>
      </c>
      <c r="C117" s="1216" t="str">
        <f>VLOOKUP($B117,DATA!$B$7:$AV$679,6,0)</f>
        <v>Ba Đồn</v>
      </c>
      <c r="D117" s="1230">
        <f>VLOOKUP($B117,DATA!$B$7:$AV$679,7,0)</f>
        <v>2020</v>
      </c>
      <c r="E117" s="1230">
        <f>VLOOKUP($B117,DATA!$B$7:$AV$679,9,0)</f>
        <v>2022</v>
      </c>
      <c r="F117" s="1216" t="str">
        <f>VLOOKUP($B117,DATA!$B$7:$AV$679,12,0)</f>
        <v>4232/QĐ-UBND ngày 30/10/2019</v>
      </c>
      <c r="G117" s="1568">
        <f>VLOOKUP($B117,DATA!$B$7:$AV$679,13,0)</f>
        <v>10000</v>
      </c>
      <c r="H117" s="1568">
        <f>VLOOKUP($B117,DATA!$B$7:$AV$679,15,0)</f>
        <v>6000</v>
      </c>
      <c r="I117" s="1568">
        <f>VLOOKUP($B117,DATA!$B$7:$AV$679,29,0)</f>
        <v>1800</v>
      </c>
      <c r="J117" s="1568">
        <f>VLOOKUP($B117,DATA!$B$7:$AV$679,30,0)</f>
        <v>1800</v>
      </c>
      <c r="K117" s="1568">
        <f>VLOOKUP($B117,DATA!$B$7:$AV$679,35,0)</f>
        <v>0</v>
      </c>
      <c r="L117" s="1568">
        <f>VLOOKUP($B117,DATA!$B$7:$AV$679,36,0)</f>
        <v>0</v>
      </c>
      <c r="M117" s="1569">
        <f t="shared" si="20"/>
        <v>1800</v>
      </c>
      <c r="N117" s="1293"/>
      <c r="O117" s="1560">
        <v>1800</v>
      </c>
      <c r="P117" s="1560">
        <v>1800</v>
      </c>
      <c r="Q117" s="1560"/>
      <c r="R117" s="1560"/>
      <c r="S117" s="1568">
        <v>1800</v>
      </c>
      <c r="T117" s="1568">
        <f t="shared" si="21"/>
        <v>1800</v>
      </c>
      <c r="U117" s="1568">
        <f t="shared" si="22"/>
        <v>1800</v>
      </c>
      <c r="V117" s="1646">
        <f t="shared" si="19"/>
        <v>2400</v>
      </c>
      <c r="W117" s="1218"/>
    </row>
    <row r="118" spans="1:23" ht="51.75" customHeight="1">
      <c r="A118" s="500">
        <v>108</v>
      </c>
      <c r="B118" s="1460" t="s">
        <v>2513</v>
      </c>
      <c r="C118" s="1216" t="str">
        <f>VLOOKUP($B118,DATA!$B$7:$AV$679,6,0)</f>
        <v>Lệ Thủy</v>
      </c>
      <c r="D118" s="1230">
        <f>VLOOKUP($B118,DATA!$B$7:$AV$679,7,0)</f>
        <v>2020</v>
      </c>
      <c r="E118" s="1230">
        <f>VLOOKUP($B118,DATA!$B$7:$AV$679,9,0)</f>
        <v>2022</v>
      </c>
      <c r="F118" s="1216" t="str">
        <f>VLOOKUP($B118,DATA!$B$7:$AV$679,12,0)</f>
        <v>3800/QĐ-UBND ngày 07/10/2019</v>
      </c>
      <c r="G118" s="1568">
        <f>VLOOKUP($B118,DATA!$B$7:$AV$679,13,0)</f>
        <v>6000</v>
      </c>
      <c r="H118" s="1568">
        <f>VLOOKUP($B118,DATA!$B$7:$AV$679,15,0)</f>
        <v>3600</v>
      </c>
      <c r="I118" s="1568">
        <f>VLOOKUP($B118,DATA!$B$7:$AV$679,29,0)</f>
        <v>1080</v>
      </c>
      <c r="J118" s="1568">
        <f>VLOOKUP($B118,DATA!$B$7:$AV$679,30,0)</f>
        <v>1080</v>
      </c>
      <c r="K118" s="1568">
        <f>VLOOKUP($B118,DATA!$B$7:$AV$679,35,0)</f>
        <v>0</v>
      </c>
      <c r="L118" s="1568">
        <f>VLOOKUP($B118,DATA!$B$7:$AV$679,36,0)</f>
        <v>0</v>
      </c>
      <c r="M118" s="1568">
        <f t="shared" si="20"/>
        <v>1080</v>
      </c>
      <c r="N118" s="1570"/>
      <c r="O118" s="1571">
        <v>1080</v>
      </c>
      <c r="P118" s="1571">
        <v>1080</v>
      </c>
      <c r="Q118" s="1571"/>
      <c r="R118" s="1571"/>
      <c r="S118" s="1568">
        <v>1080</v>
      </c>
      <c r="T118" s="1568">
        <f t="shared" si="21"/>
        <v>1080</v>
      </c>
      <c r="U118" s="1568">
        <f t="shared" si="22"/>
        <v>1080</v>
      </c>
      <c r="V118" s="1646">
        <f t="shared" si="19"/>
        <v>1440</v>
      </c>
      <c r="W118" s="1218"/>
    </row>
    <row r="119" spans="1:23" ht="31.5">
      <c r="A119" s="500">
        <v>109</v>
      </c>
      <c r="B119" s="545" t="s">
        <v>1976</v>
      </c>
      <c r="C119" s="1216" t="str">
        <f>VLOOKUP($B119,DATA!$B$7:$AV$679,6,0)</f>
        <v>Minh Hóa</v>
      </c>
      <c r="D119" s="1230">
        <f>VLOOKUP($B119,DATA!$B$7:$AV$679,7,0)</f>
        <v>2020</v>
      </c>
      <c r="E119" s="1230">
        <f>VLOOKUP($B119,DATA!$B$7:$AV$679,9,0)</f>
        <v>2022</v>
      </c>
      <c r="F119" s="1216" t="str">
        <f>VLOOKUP($B119,DATA!$B$7:$AV$679,12,0)</f>
        <v>4066/QĐ-UBND ngày 28/10/2019</v>
      </c>
      <c r="G119" s="1568">
        <f>VLOOKUP($B119,DATA!$B$7:$AV$679,13,0)</f>
        <v>3212</v>
      </c>
      <c r="H119" s="1568">
        <f>VLOOKUP($B119,DATA!$B$7:$AV$679,15,0)</f>
        <v>1927</v>
      </c>
      <c r="I119" s="1568">
        <f>VLOOKUP($B119,DATA!$B$7:$AV$679,29,0)</f>
        <v>578.1</v>
      </c>
      <c r="J119" s="1568">
        <f>VLOOKUP($B119,DATA!$B$7:$AV$679,30,0)</f>
        <v>578.1</v>
      </c>
      <c r="K119" s="1568">
        <f>VLOOKUP($B119,DATA!$B$7:$AV$679,35,0)</f>
        <v>0</v>
      </c>
      <c r="L119" s="1568">
        <f>VLOOKUP($B119,DATA!$B$7:$AV$679,36,0)</f>
        <v>0</v>
      </c>
      <c r="M119" s="1568">
        <f t="shared" si="20"/>
        <v>578.1</v>
      </c>
      <c r="N119" s="1293"/>
      <c r="O119" s="1560">
        <v>684</v>
      </c>
      <c r="P119" s="1560">
        <v>684</v>
      </c>
      <c r="Q119" s="1560"/>
      <c r="R119" s="1560"/>
      <c r="S119" s="1568">
        <v>684</v>
      </c>
      <c r="T119" s="1568">
        <f t="shared" si="21"/>
        <v>684</v>
      </c>
      <c r="U119" s="1568">
        <f t="shared" si="22"/>
        <v>684</v>
      </c>
      <c r="V119" s="1646">
        <f t="shared" si="19"/>
        <v>664.89999999999986</v>
      </c>
      <c r="W119" s="1218"/>
    </row>
    <row r="120" spans="1:23" ht="50.25" customHeight="1">
      <c r="A120" s="500">
        <v>110</v>
      </c>
      <c r="B120" s="1460" t="s">
        <v>1977</v>
      </c>
      <c r="C120" s="1216" t="str">
        <f>VLOOKUP($B120,DATA!$B$7:$AV$679,6,0)</f>
        <v>Quảng Ninh</v>
      </c>
      <c r="D120" s="1230">
        <f>VLOOKUP($B120,DATA!$B$7:$AV$679,7,0)</f>
        <v>2020</v>
      </c>
      <c r="E120" s="1230">
        <f>VLOOKUP($B120,DATA!$B$7:$AV$679,9,0)</f>
        <v>2022</v>
      </c>
      <c r="F120" s="1216" t="str">
        <f>VLOOKUP($B120,DATA!$B$7:$AV$679,12,0)</f>
        <v>3620/QĐ-UBND ngày 25/9/2019</v>
      </c>
      <c r="G120" s="1568">
        <f>VLOOKUP($B120,DATA!$B$7:$AV$679,13,0)</f>
        <v>6000</v>
      </c>
      <c r="H120" s="1568">
        <f>VLOOKUP($B120,DATA!$B$7:$AV$679,15,0)</f>
        <v>3600</v>
      </c>
      <c r="I120" s="1568">
        <f>VLOOKUP($B120,DATA!$B$7:$AV$679,29,0)</f>
        <v>1080</v>
      </c>
      <c r="J120" s="1568">
        <f>VLOOKUP($B120,DATA!$B$7:$AV$679,30,0)</f>
        <v>1080</v>
      </c>
      <c r="K120" s="1568">
        <f>VLOOKUP($B120,DATA!$B$7:$AV$679,35,0)</f>
        <v>0</v>
      </c>
      <c r="L120" s="1568">
        <f>VLOOKUP($B120,DATA!$B$7:$AV$679,36,0)</f>
        <v>0</v>
      </c>
      <c r="M120" s="1568">
        <f t="shared" si="20"/>
        <v>1080</v>
      </c>
      <c r="N120" s="1570"/>
      <c r="O120" s="1571">
        <v>1080</v>
      </c>
      <c r="P120" s="1571">
        <v>1080</v>
      </c>
      <c r="Q120" s="1571"/>
      <c r="R120" s="1571"/>
      <c r="S120" s="1568">
        <v>1080</v>
      </c>
      <c r="T120" s="1568">
        <f t="shared" si="21"/>
        <v>1080</v>
      </c>
      <c r="U120" s="1568">
        <f t="shared" si="22"/>
        <v>1080</v>
      </c>
      <c r="V120" s="1646">
        <f t="shared" si="19"/>
        <v>1440</v>
      </c>
      <c r="W120" s="1218"/>
    </row>
    <row r="121" spans="1:23" ht="60.75" customHeight="1">
      <c r="A121" s="500">
        <v>111</v>
      </c>
      <c r="B121" s="1460" t="s">
        <v>1981</v>
      </c>
      <c r="C121" s="1216" t="str">
        <f>VLOOKUP($B121,DATA!$B$7:$AV$679,6,0)</f>
        <v>Quảng Trạch</v>
      </c>
      <c r="D121" s="1230">
        <f>VLOOKUP($B121,DATA!$B$7:$AV$679,7,0)</f>
        <v>2020</v>
      </c>
      <c r="E121" s="1230">
        <f>VLOOKUP($B121,DATA!$B$7:$AV$679,9,0)</f>
        <v>2022</v>
      </c>
      <c r="F121" s="1216" t="str">
        <f>VLOOKUP($B121,DATA!$B$7:$AV$679,12,0)</f>
        <v>3403/QĐ-UBND ngày 06/9/2019</v>
      </c>
      <c r="G121" s="1568">
        <f>VLOOKUP($B121,DATA!$B$7:$AV$679,13,0)</f>
        <v>7500</v>
      </c>
      <c r="H121" s="1568">
        <f>VLOOKUP($B121,DATA!$B$7:$AV$679,15,0)</f>
        <v>4500</v>
      </c>
      <c r="I121" s="1568">
        <f>VLOOKUP($B121,DATA!$B$7:$AV$679,29,0)</f>
        <v>1350</v>
      </c>
      <c r="J121" s="1568">
        <f>VLOOKUP($B121,DATA!$B$7:$AV$679,30,0)</f>
        <v>1350</v>
      </c>
      <c r="K121" s="1568">
        <f>VLOOKUP($B121,DATA!$B$7:$AV$679,35,0)</f>
        <v>0</v>
      </c>
      <c r="L121" s="1568">
        <f>VLOOKUP($B121,DATA!$B$7:$AV$679,36,0)</f>
        <v>0</v>
      </c>
      <c r="M121" s="1568">
        <f t="shared" si="20"/>
        <v>1350</v>
      </c>
      <c r="N121" s="1570"/>
      <c r="O121" s="1571">
        <v>1350</v>
      </c>
      <c r="P121" s="1571">
        <v>1350</v>
      </c>
      <c r="Q121" s="1571"/>
      <c r="R121" s="1571"/>
      <c r="S121" s="1568">
        <v>1350</v>
      </c>
      <c r="T121" s="1568">
        <f t="shared" si="21"/>
        <v>1350</v>
      </c>
      <c r="U121" s="1568">
        <f t="shared" si="22"/>
        <v>1350</v>
      </c>
      <c r="V121" s="1646">
        <f t="shared" si="19"/>
        <v>1800</v>
      </c>
      <c r="W121" s="1218"/>
    </row>
    <row r="122" spans="1:23" ht="36.75" customHeight="1">
      <c r="A122" s="500">
        <v>112</v>
      </c>
      <c r="B122" s="545" t="s">
        <v>1838</v>
      </c>
      <c r="C122" s="1216" t="str">
        <f>VLOOKUP($B122,DATA!$B$7:$AV$679,6,0)</f>
        <v>Tuyên Hóa</v>
      </c>
      <c r="D122" s="1230">
        <f>VLOOKUP($B122,DATA!$B$7:$AV$679,7,0)</f>
        <v>2020</v>
      </c>
      <c r="E122" s="1230">
        <f>VLOOKUP($B122,DATA!$B$7:$AV$679,9,0)</f>
        <v>2022</v>
      </c>
      <c r="F122" s="1216" t="str">
        <f>VLOOKUP($B122,DATA!$B$7:$AV$679,12,0)</f>
        <v>4228/QĐ-UBND ngày 30/10/2019</v>
      </c>
      <c r="G122" s="1568">
        <f>VLOOKUP($B122,DATA!$B$7:$AV$679,13,0)</f>
        <v>5000</v>
      </c>
      <c r="H122" s="1568">
        <f>VLOOKUP($B122,DATA!$B$7:$AV$679,15,0)</f>
        <v>3000</v>
      </c>
      <c r="I122" s="1568">
        <f>VLOOKUP($B122,DATA!$B$7:$AV$679,29,0)</f>
        <v>900</v>
      </c>
      <c r="J122" s="1568">
        <f>VLOOKUP($B122,DATA!$B$7:$AV$679,30,0)</f>
        <v>900</v>
      </c>
      <c r="K122" s="1568">
        <f>VLOOKUP($B122,DATA!$B$7:$AV$679,35,0)</f>
        <v>0</v>
      </c>
      <c r="L122" s="1568">
        <f>VLOOKUP($B122,DATA!$B$7:$AV$679,36,0)</f>
        <v>0</v>
      </c>
      <c r="M122" s="1568">
        <f t="shared" si="20"/>
        <v>900</v>
      </c>
      <c r="N122" s="1293"/>
      <c r="O122" s="1560">
        <v>900</v>
      </c>
      <c r="P122" s="1560">
        <v>900</v>
      </c>
      <c r="Q122" s="1560"/>
      <c r="R122" s="1560"/>
      <c r="S122" s="1568">
        <v>900</v>
      </c>
      <c r="T122" s="1568">
        <f t="shared" si="21"/>
        <v>900</v>
      </c>
      <c r="U122" s="1568">
        <f t="shared" si="22"/>
        <v>900</v>
      </c>
      <c r="V122" s="1646">
        <f t="shared" si="19"/>
        <v>1200</v>
      </c>
      <c r="W122" s="1218"/>
    </row>
    <row r="123" spans="1:23" ht="65.25" customHeight="1">
      <c r="A123" s="500">
        <v>113</v>
      </c>
      <c r="B123" s="547" t="s">
        <v>2456</v>
      </c>
      <c r="C123" s="1216" t="str">
        <f>VLOOKUP($B123,DATA!$B$7:$AV$679,6,0)</f>
        <v>Quảng Ninh</v>
      </c>
      <c r="D123" s="1230">
        <f>VLOOKUP($B123,DATA!$B$7:$AV$679,7,0)</f>
        <v>2020</v>
      </c>
      <c r="E123" s="1230">
        <f>VLOOKUP($B123,DATA!$B$7:$AV$679,9,0)</f>
        <v>2022</v>
      </c>
      <c r="F123" s="1216" t="str">
        <f>VLOOKUP($B123,DATA!$B$7:$AV$679,12,0)</f>
        <v>3882/QĐ-UBND ngày 14/10/2019</v>
      </c>
      <c r="G123" s="1568">
        <f>VLOOKUP($B123,DATA!$B$7:$AV$679,13,0)</f>
        <v>5500</v>
      </c>
      <c r="H123" s="1568">
        <f>VLOOKUP($B123,DATA!$B$7:$AV$679,15,0)</f>
        <v>5500</v>
      </c>
      <c r="I123" s="1568">
        <f>VLOOKUP($B123,DATA!$B$7:$AV$679,29,0)</f>
        <v>1650</v>
      </c>
      <c r="J123" s="1568">
        <f>VLOOKUP($B123,DATA!$B$7:$AV$679,30,0)</f>
        <v>1650</v>
      </c>
      <c r="K123" s="1568">
        <f>VLOOKUP($B123,DATA!$B$7:$AV$679,35,0)</f>
        <v>0</v>
      </c>
      <c r="L123" s="1568">
        <f>VLOOKUP($B123,DATA!$B$7:$AV$679,36,0)</f>
        <v>0</v>
      </c>
      <c r="M123" s="1569">
        <f t="shared" si="20"/>
        <v>1650</v>
      </c>
      <c r="N123" s="1570"/>
      <c r="O123" s="1571">
        <v>1670</v>
      </c>
      <c r="P123" s="1571">
        <v>1670</v>
      </c>
      <c r="Q123" s="1571"/>
      <c r="R123" s="1571"/>
      <c r="S123" s="1568">
        <v>1670</v>
      </c>
      <c r="T123" s="1568">
        <f t="shared" si="21"/>
        <v>1670</v>
      </c>
      <c r="U123" s="1568">
        <f t="shared" si="22"/>
        <v>1670</v>
      </c>
      <c r="V123" s="1646">
        <f t="shared" si="19"/>
        <v>2179.9999999999995</v>
      </c>
      <c r="W123" s="1218"/>
    </row>
    <row r="124" spans="1:23" ht="34.5" customHeight="1">
      <c r="A124" s="500">
        <v>114</v>
      </c>
      <c r="B124" s="1460" t="s">
        <v>2331</v>
      </c>
      <c r="C124" s="1216" t="str">
        <f>VLOOKUP($B124,DATA!$B$7:$AV$679,6,0)</f>
        <v>Đồng Hới</v>
      </c>
      <c r="D124" s="1230">
        <f>VLOOKUP($B124,DATA!$B$7:$AV$679,7,0)</f>
        <v>2020</v>
      </c>
      <c r="E124" s="1230">
        <f>VLOOKUP($B124,DATA!$B$7:$AV$679,9,0)</f>
        <v>2022</v>
      </c>
      <c r="F124" s="1216" t="str">
        <f>VLOOKUP($B124,DATA!$B$7:$AV$679,12,0)</f>
        <v>4101/QĐ-UBND ngày 29/10/2019</v>
      </c>
      <c r="G124" s="1568">
        <f>VLOOKUP($B124,DATA!$B$7:$AV$679,13,0)</f>
        <v>26000</v>
      </c>
      <c r="H124" s="1568">
        <f>VLOOKUP($B124,DATA!$B$7:$AV$679,15,0)</f>
        <v>26000</v>
      </c>
      <c r="I124" s="1568">
        <f>VLOOKUP($B124,DATA!$B$7:$AV$679,29,0)</f>
        <v>7800</v>
      </c>
      <c r="J124" s="1568">
        <f>VLOOKUP($B124,DATA!$B$7:$AV$679,30,0)</f>
        <v>7800</v>
      </c>
      <c r="K124" s="1568">
        <f>VLOOKUP($B124,DATA!$B$7:$AV$679,35,0)</f>
        <v>0</v>
      </c>
      <c r="L124" s="1568">
        <f>VLOOKUP($B124,DATA!$B$7:$AV$679,36,0)</f>
        <v>0</v>
      </c>
      <c r="M124" s="1568">
        <f t="shared" si="20"/>
        <v>7800</v>
      </c>
      <c r="N124" s="1570"/>
      <c r="O124" s="1571">
        <v>7800</v>
      </c>
      <c r="P124" s="1571">
        <v>7800</v>
      </c>
      <c r="Q124" s="1571"/>
      <c r="R124" s="1571"/>
      <c r="S124" s="1568">
        <v>7800</v>
      </c>
      <c r="T124" s="1568">
        <f t="shared" si="21"/>
        <v>7800</v>
      </c>
      <c r="U124" s="1568">
        <f t="shared" si="22"/>
        <v>7800</v>
      </c>
      <c r="V124" s="1646">
        <f t="shared" si="19"/>
        <v>10400</v>
      </c>
      <c r="W124" s="1218"/>
    </row>
    <row r="125" spans="1:23" ht="31.5">
      <c r="A125" s="500">
        <v>115</v>
      </c>
      <c r="B125" s="1460" t="s">
        <v>2332</v>
      </c>
      <c r="C125" s="1216" t="str">
        <f>VLOOKUP($B125,DATA!$B$7:$AV$679,6,0)</f>
        <v>Đồng Hới</v>
      </c>
      <c r="D125" s="1230">
        <f>VLOOKUP($B125,DATA!$B$7:$AV$679,7,0)</f>
        <v>2020</v>
      </c>
      <c r="E125" s="1230">
        <f>VLOOKUP($B125,DATA!$B$7:$AV$679,9,0)</f>
        <v>2022</v>
      </c>
      <c r="F125" s="1216" t="str">
        <f>VLOOKUP($B125,DATA!$B$7:$AV$679,12,0)</f>
        <v>4186/QĐ-UBND ngày 30/10/2019</v>
      </c>
      <c r="G125" s="1568">
        <f>VLOOKUP($B125,DATA!$B$7:$AV$679,13,0)</f>
        <v>9000</v>
      </c>
      <c r="H125" s="1568">
        <f>VLOOKUP($B125,DATA!$B$7:$AV$679,15,0)</f>
        <v>3900</v>
      </c>
      <c r="I125" s="1568">
        <f>VLOOKUP($B125,DATA!$B$7:$AV$679,29,0)</f>
        <v>1170</v>
      </c>
      <c r="J125" s="1568">
        <f>VLOOKUP($B125,DATA!$B$7:$AV$679,30,0)</f>
        <v>1170</v>
      </c>
      <c r="K125" s="1568">
        <f>VLOOKUP($B125,DATA!$B$7:$AV$679,35,0)</f>
        <v>0</v>
      </c>
      <c r="L125" s="1568">
        <f>VLOOKUP($B125,DATA!$B$7:$AV$679,36,0)</f>
        <v>0</v>
      </c>
      <c r="M125" s="1568">
        <f t="shared" si="20"/>
        <v>1170</v>
      </c>
      <c r="N125" s="1570"/>
      <c r="O125" s="1571">
        <v>1170</v>
      </c>
      <c r="P125" s="1571">
        <v>1170</v>
      </c>
      <c r="Q125" s="1571"/>
      <c r="R125" s="1571"/>
      <c r="S125" s="1568">
        <v>1170</v>
      </c>
      <c r="T125" s="1568">
        <f t="shared" si="21"/>
        <v>1170</v>
      </c>
      <c r="U125" s="1568">
        <f t="shared" si="22"/>
        <v>1170</v>
      </c>
      <c r="V125" s="1646">
        <f t="shared" si="19"/>
        <v>1560</v>
      </c>
      <c r="W125" s="1218"/>
    </row>
    <row r="126" spans="1:23" ht="31.5">
      <c r="A126" s="500">
        <v>116</v>
      </c>
      <c r="B126" s="1556" t="s">
        <v>2363</v>
      </c>
      <c r="C126" s="1216" t="str">
        <f>VLOOKUP($B126,DATA!$B$7:$AV$679,6,0)</f>
        <v>Ba Đồn</v>
      </c>
      <c r="D126" s="1230">
        <f>VLOOKUP($B126,DATA!$B$7:$AV$679,7,0)</f>
        <v>2020</v>
      </c>
      <c r="E126" s="1230">
        <f>VLOOKUP($B126,DATA!$B$7:$AV$679,9,0)</f>
        <v>2022</v>
      </c>
      <c r="F126" s="1216" t="str">
        <f>VLOOKUP($B126,DATA!$B$7:$AV$679,12,0)</f>
        <v>4174/QĐ-UBND ngày 30/10/2019</v>
      </c>
      <c r="G126" s="1568">
        <f>VLOOKUP($B126,DATA!$B$7:$AV$679,13,0)</f>
        <v>6500</v>
      </c>
      <c r="H126" s="1568">
        <f>VLOOKUP($B126,DATA!$B$7:$AV$679,15,0)</f>
        <v>6500</v>
      </c>
      <c r="I126" s="1568">
        <f>VLOOKUP($B126,DATA!$B$7:$AV$679,29,0)</f>
        <v>1950</v>
      </c>
      <c r="J126" s="1568">
        <f>VLOOKUP($B126,DATA!$B$7:$AV$679,30,0)</f>
        <v>1950</v>
      </c>
      <c r="K126" s="1568">
        <f>VLOOKUP($B126,DATA!$B$7:$AV$679,35,0)</f>
        <v>0</v>
      </c>
      <c r="L126" s="1568">
        <f>VLOOKUP($B126,DATA!$B$7:$AV$679,36,0)</f>
        <v>0</v>
      </c>
      <c r="M126" s="1568">
        <f>H126*0.3-200</f>
        <v>1750</v>
      </c>
      <c r="N126" s="1576"/>
      <c r="O126" s="1568">
        <v>1950</v>
      </c>
      <c r="P126" s="1568">
        <v>1950</v>
      </c>
      <c r="Q126" s="1568"/>
      <c r="R126" s="1568"/>
      <c r="S126" s="1568">
        <v>1950</v>
      </c>
      <c r="T126" s="1568">
        <f t="shared" si="21"/>
        <v>1950</v>
      </c>
      <c r="U126" s="1568">
        <f t="shared" si="22"/>
        <v>1950</v>
      </c>
      <c r="V126" s="1646">
        <f t="shared" si="19"/>
        <v>2600</v>
      </c>
      <c r="W126" s="1218"/>
    </row>
    <row r="127" spans="1:23" ht="31.5">
      <c r="A127" s="500">
        <v>117</v>
      </c>
      <c r="B127" s="1556" t="s">
        <v>2364</v>
      </c>
      <c r="C127" s="1216" t="str">
        <f>VLOOKUP($B127,DATA!$B$7:$AV$679,6,0)</f>
        <v>Ba Đồn</v>
      </c>
      <c r="D127" s="1230">
        <f>VLOOKUP($B127,DATA!$B$7:$AV$679,7,0)</f>
        <v>2020</v>
      </c>
      <c r="E127" s="1230">
        <f>VLOOKUP($B127,DATA!$B$7:$AV$679,9,0)</f>
        <v>2022</v>
      </c>
      <c r="F127" s="1216" t="str">
        <f>VLOOKUP($B127,DATA!$B$7:$AV$679,12,0)</f>
        <v>4172/QĐ-UBND ngày 30/10/2019</v>
      </c>
      <c r="G127" s="1568">
        <f>VLOOKUP($B127,DATA!$B$7:$AV$679,13,0)</f>
        <v>6700</v>
      </c>
      <c r="H127" s="1568">
        <f>VLOOKUP($B127,DATA!$B$7:$AV$679,15,0)</f>
        <v>6700</v>
      </c>
      <c r="I127" s="1568">
        <f>VLOOKUP($B127,DATA!$B$7:$AV$679,29,0)</f>
        <v>2010</v>
      </c>
      <c r="J127" s="1568">
        <f>VLOOKUP($B127,DATA!$B$7:$AV$679,30,0)</f>
        <v>2010</v>
      </c>
      <c r="K127" s="1568">
        <f>VLOOKUP($B127,DATA!$B$7:$AV$679,35,0)</f>
        <v>0</v>
      </c>
      <c r="L127" s="1568">
        <f>VLOOKUP($B127,DATA!$B$7:$AV$679,36,0)</f>
        <v>0</v>
      </c>
      <c r="M127" s="1568">
        <f t="shared" si="20"/>
        <v>2010</v>
      </c>
      <c r="N127" s="1576"/>
      <c r="O127" s="1568">
        <v>2010</v>
      </c>
      <c r="P127" s="1568">
        <v>2010</v>
      </c>
      <c r="Q127" s="1568"/>
      <c r="R127" s="1568"/>
      <c r="S127" s="1568">
        <v>2010</v>
      </c>
      <c r="T127" s="1568">
        <f t="shared" si="21"/>
        <v>2010</v>
      </c>
      <c r="U127" s="1568">
        <f t="shared" si="22"/>
        <v>2010</v>
      </c>
      <c r="V127" s="1646">
        <f t="shared" si="19"/>
        <v>2680</v>
      </c>
      <c r="W127" s="1218"/>
    </row>
    <row r="128" spans="1:23" ht="35.25" customHeight="1">
      <c r="A128" s="500">
        <v>118</v>
      </c>
      <c r="B128" s="1481" t="s">
        <v>2457</v>
      </c>
      <c r="C128" s="1216" t="str">
        <f>VLOOKUP($B128,DATA!$B$7:$AV$679,6,0)</f>
        <v>Ba Đồn</v>
      </c>
      <c r="D128" s="1230">
        <f>VLOOKUP($B128,DATA!$B$7:$AV$679,7,0)</f>
        <v>2020</v>
      </c>
      <c r="E128" s="1230">
        <f>VLOOKUP($B128,DATA!$B$7:$AV$679,9,0)</f>
        <v>2022</v>
      </c>
      <c r="F128" s="1216" t="str">
        <f>VLOOKUP($B128,DATA!$B$7:$AV$679,12,0)</f>
        <v>4170/QĐ-UBND ngày 30/10/2019</v>
      </c>
      <c r="G128" s="1568">
        <f>VLOOKUP($B128,DATA!$B$7:$AV$679,13,0)</f>
        <v>8500</v>
      </c>
      <c r="H128" s="1568">
        <f>VLOOKUP($B128,DATA!$B$7:$AV$679,15,0)</f>
        <v>6500</v>
      </c>
      <c r="I128" s="1568">
        <f>VLOOKUP($B128,DATA!$B$7:$AV$679,29,0)</f>
        <v>1950</v>
      </c>
      <c r="J128" s="1568">
        <f>VLOOKUP($B128,DATA!$B$7:$AV$679,30,0)</f>
        <v>1950</v>
      </c>
      <c r="K128" s="1568">
        <f>VLOOKUP($B128,DATA!$B$7:$AV$679,35,0)</f>
        <v>0</v>
      </c>
      <c r="L128" s="1568">
        <f>VLOOKUP($B128,DATA!$B$7:$AV$679,36,0)</f>
        <v>0</v>
      </c>
      <c r="M128" s="1568">
        <f t="shared" si="20"/>
        <v>1950</v>
      </c>
      <c r="N128" s="1576"/>
      <c r="O128" s="1568">
        <v>1950</v>
      </c>
      <c r="P128" s="1568">
        <v>1950</v>
      </c>
      <c r="Q128" s="1568"/>
      <c r="R128" s="1568"/>
      <c r="S128" s="1568">
        <v>1950</v>
      </c>
      <c r="T128" s="1568">
        <f t="shared" si="21"/>
        <v>1950</v>
      </c>
      <c r="U128" s="1568">
        <f t="shared" si="22"/>
        <v>1950</v>
      </c>
      <c r="V128" s="1646">
        <f t="shared" ref="V128:V135" si="23">H128*0.7-U128</f>
        <v>2600</v>
      </c>
      <c r="W128" s="1218"/>
    </row>
    <row r="129" spans="1:24" ht="38.25" customHeight="1">
      <c r="A129" s="500">
        <v>119</v>
      </c>
      <c r="B129" s="1481" t="s">
        <v>2458</v>
      </c>
      <c r="C129" s="1216" t="str">
        <f>VLOOKUP($B129,DATA!$B$7:$AV$679,6,0)</f>
        <v>Quảng Ninh</v>
      </c>
      <c r="D129" s="1230">
        <f>VLOOKUP($B129,DATA!$B$7:$AV$679,7,0)</f>
        <v>2020</v>
      </c>
      <c r="E129" s="1230">
        <f>VLOOKUP($B129,DATA!$B$7:$AV$679,9,0)</f>
        <v>2022</v>
      </c>
      <c r="F129" s="1216" t="str">
        <f>VLOOKUP($B129,DATA!$B$7:$AV$679,12,0)</f>
        <v>4168/QĐ-UBND ngày 30/10/2019</v>
      </c>
      <c r="G129" s="1568">
        <f>VLOOKUP($B129,DATA!$B$7:$AV$679,13,0)</f>
        <v>10000</v>
      </c>
      <c r="H129" s="1568">
        <f>VLOOKUP($B129,DATA!$B$7:$AV$679,15,0)</f>
        <v>7500</v>
      </c>
      <c r="I129" s="1568">
        <f>VLOOKUP($B129,DATA!$B$7:$AV$679,29,0)</f>
        <v>2250</v>
      </c>
      <c r="J129" s="1568">
        <f>VLOOKUP($B129,DATA!$B$7:$AV$679,30,0)</f>
        <v>2250</v>
      </c>
      <c r="K129" s="1568">
        <f>VLOOKUP($B129,DATA!$B$7:$AV$679,35,0)</f>
        <v>0</v>
      </c>
      <c r="L129" s="1568">
        <f>VLOOKUP($B129,DATA!$B$7:$AV$679,36,0)</f>
        <v>0</v>
      </c>
      <c r="M129" s="1568">
        <f t="shared" si="20"/>
        <v>2250</v>
      </c>
      <c r="N129" s="1576"/>
      <c r="O129" s="1568">
        <v>2250</v>
      </c>
      <c r="P129" s="1568">
        <v>2250</v>
      </c>
      <c r="Q129" s="1568"/>
      <c r="R129" s="1568"/>
      <c r="S129" s="1568">
        <v>2250</v>
      </c>
      <c r="T129" s="1568">
        <f t="shared" si="21"/>
        <v>2250</v>
      </c>
      <c r="U129" s="1568">
        <f t="shared" si="22"/>
        <v>2250</v>
      </c>
      <c r="V129" s="1646">
        <f t="shared" si="23"/>
        <v>3000</v>
      </c>
      <c r="W129" s="1218"/>
    </row>
    <row r="130" spans="1:24" ht="41.25" customHeight="1">
      <c r="A130" s="500">
        <v>120</v>
      </c>
      <c r="B130" s="1481" t="s">
        <v>2536</v>
      </c>
      <c r="C130" s="1216" t="str">
        <f>VLOOKUP($B130,DATA!$B$7:$AV$679,6,0)</f>
        <v>Lệ Thủy</v>
      </c>
      <c r="D130" s="1230">
        <f>VLOOKUP($B130,DATA!$B$7:$AV$679,7,0)</f>
        <v>2020</v>
      </c>
      <c r="E130" s="1230">
        <f>VLOOKUP($B130,DATA!$B$7:$AV$679,9,0)</f>
        <v>2022</v>
      </c>
      <c r="F130" s="1216" t="str">
        <f>VLOOKUP($B130,DATA!$B$7:$AV$679,12,0)</f>
        <v>4157/QĐ-UBND ngày 30/10/2019</v>
      </c>
      <c r="G130" s="1568">
        <f>VLOOKUP($B130,DATA!$B$7:$AV$679,13,0)</f>
        <v>5000</v>
      </c>
      <c r="H130" s="1568">
        <f>VLOOKUP($B130,DATA!$B$7:$AV$679,15,0)</f>
        <v>5000</v>
      </c>
      <c r="I130" s="1568">
        <f>VLOOKUP($B130,DATA!$B$7:$AV$679,29,0)</f>
        <v>1500</v>
      </c>
      <c r="J130" s="1568">
        <f>VLOOKUP($B130,DATA!$B$7:$AV$679,30,0)</f>
        <v>1500</v>
      </c>
      <c r="K130" s="1568">
        <f>VLOOKUP($B130,DATA!$B$7:$AV$679,35,0)</f>
        <v>0</v>
      </c>
      <c r="L130" s="1568">
        <f>VLOOKUP($B130,DATA!$B$7:$AV$679,36,0)</f>
        <v>0</v>
      </c>
      <c r="M130" s="1568">
        <f t="shared" si="20"/>
        <v>1500</v>
      </c>
      <c r="N130" s="1576"/>
      <c r="O130" s="1568">
        <v>1500</v>
      </c>
      <c r="P130" s="1568">
        <v>1500</v>
      </c>
      <c r="Q130" s="1568"/>
      <c r="R130" s="1568"/>
      <c r="S130" s="1568">
        <v>1500</v>
      </c>
      <c r="T130" s="1568">
        <f t="shared" si="21"/>
        <v>1500</v>
      </c>
      <c r="U130" s="1568">
        <f t="shared" si="22"/>
        <v>1500</v>
      </c>
      <c r="V130" s="1646">
        <f t="shared" si="23"/>
        <v>2000</v>
      </c>
      <c r="W130" s="1218"/>
    </row>
    <row r="131" spans="1:24" ht="36.75" customHeight="1">
      <c r="A131" s="500">
        <v>121</v>
      </c>
      <c r="B131" s="1481" t="s">
        <v>2459</v>
      </c>
      <c r="C131" s="1216" t="str">
        <f>VLOOKUP($B131,DATA!$B$7:$AV$679,6,0)</f>
        <v>Lệ Thủy</v>
      </c>
      <c r="D131" s="1230">
        <f>VLOOKUP($B131,DATA!$B$7:$AV$679,7,0)</f>
        <v>2020</v>
      </c>
      <c r="E131" s="1230">
        <f>VLOOKUP($B131,DATA!$B$7:$AV$679,9,0)</f>
        <v>2022</v>
      </c>
      <c r="F131" s="1216" t="str">
        <f>VLOOKUP($B131,DATA!$B$7:$AV$679,12,0)</f>
        <v>4160/QĐ-UBND ngày 30/10/2019</v>
      </c>
      <c r="G131" s="1568">
        <f>VLOOKUP($B131,DATA!$B$7:$AV$679,13,0)</f>
        <v>7500</v>
      </c>
      <c r="H131" s="1568">
        <f>VLOOKUP($B131,DATA!$B$7:$AV$679,15,0)</f>
        <v>7500</v>
      </c>
      <c r="I131" s="1568">
        <f>VLOOKUP($B131,DATA!$B$7:$AV$679,29,0)</f>
        <v>2250</v>
      </c>
      <c r="J131" s="1568">
        <f>VLOOKUP($B131,DATA!$B$7:$AV$679,30,0)</f>
        <v>2250</v>
      </c>
      <c r="K131" s="1568">
        <f>VLOOKUP($B131,DATA!$B$7:$AV$679,35,0)</f>
        <v>0</v>
      </c>
      <c r="L131" s="1568">
        <f>VLOOKUP($B131,DATA!$B$7:$AV$679,36,0)</f>
        <v>0</v>
      </c>
      <c r="M131" s="1568">
        <f t="shared" si="20"/>
        <v>2250</v>
      </c>
      <c r="N131" s="1576"/>
      <c r="O131" s="1568">
        <v>2250</v>
      </c>
      <c r="P131" s="1568">
        <v>2250</v>
      </c>
      <c r="Q131" s="1568"/>
      <c r="R131" s="1568"/>
      <c r="S131" s="1568">
        <v>2250</v>
      </c>
      <c r="T131" s="1568">
        <f t="shared" si="21"/>
        <v>2250</v>
      </c>
      <c r="U131" s="1568">
        <f t="shared" si="22"/>
        <v>2250</v>
      </c>
      <c r="V131" s="1646">
        <f t="shared" si="23"/>
        <v>3000</v>
      </c>
      <c r="W131" s="1218"/>
    </row>
    <row r="132" spans="1:24" ht="42.75" customHeight="1">
      <c r="A132" s="500">
        <v>122</v>
      </c>
      <c r="B132" s="1556" t="s">
        <v>2515</v>
      </c>
      <c r="C132" s="1216" t="str">
        <f>VLOOKUP($B132,DATA!$B$7:$AV$679,6,0)</f>
        <v>Quảng Trạch</v>
      </c>
      <c r="D132" s="1230">
        <f>VLOOKUP($B132,DATA!$B$7:$AV$679,7,0)</f>
        <v>2020</v>
      </c>
      <c r="E132" s="1230">
        <f>VLOOKUP($B132,DATA!$B$7:$AV$679,9,0)</f>
        <v>2022</v>
      </c>
      <c r="F132" s="1216" t="str">
        <f>VLOOKUP($B132,DATA!$B$7:$AV$679,12,0)</f>
        <v>4154/QĐ-UBND ngày 30/10/2019</v>
      </c>
      <c r="G132" s="1568">
        <f>VLOOKUP($B132,DATA!$B$7:$AV$679,13,0)</f>
        <v>12500</v>
      </c>
      <c r="H132" s="1568">
        <f>VLOOKUP($B132,DATA!$B$7:$AV$679,15,0)</f>
        <v>11000</v>
      </c>
      <c r="I132" s="1568">
        <f>VLOOKUP($B132,DATA!$B$7:$AV$679,29,0)</f>
        <v>3300</v>
      </c>
      <c r="J132" s="1568">
        <f>VLOOKUP($B132,DATA!$B$7:$AV$679,30,0)</f>
        <v>3300</v>
      </c>
      <c r="K132" s="1568">
        <f>VLOOKUP($B132,DATA!$B$7:$AV$679,35,0)</f>
        <v>0</v>
      </c>
      <c r="L132" s="1568">
        <f>VLOOKUP($B132,DATA!$B$7:$AV$679,36,0)</f>
        <v>0</v>
      </c>
      <c r="M132" s="1568">
        <f t="shared" si="20"/>
        <v>3300</v>
      </c>
      <c r="N132" s="1576"/>
      <c r="O132" s="1568">
        <v>3300</v>
      </c>
      <c r="P132" s="1568">
        <v>3300</v>
      </c>
      <c r="Q132" s="1568"/>
      <c r="R132" s="1568"/>
      <c r="S132" s="1568">
        <v>3300</v>
      </c>
      <c r="T132" s="1568">
        <f t="shared" si="21"/>
        <v>3300</v>
      </c>
      <c r="U132" s="1568">
        <f t="shared" si="22"/>
        <v>3300</v>
      </c>
      <c r="V132" s="1646">
        <f>H132*0.7-U132</f>
        <v>4399.9999999999991</v>
      </c>
      <c r="W132" s="1218"/>
    </row>
    <row r="133" spans="1:24" ht="51.75" customHeight="1">
      <c r="A133" s="500">
        <v>123</v>
      </c>
      <c r="B133" s="1481" t="s">
        <v>2460</v>
      </c>
      <c r="C133" s="1216" t="str">
        <f>VLOOKUP($B133,DATA!$B$7:$AV$679,6,0)</f>
        <v>Quảng Ninh</v>
      </c>
      <c r="D133" s="1230">
        <f>VLOOKUP($B133,DATA!$B$7:$AV$679,7,0)</f>
        <v>2020</v>
      </c>
      <c r="E133" s="1230">
        <f>VLOOKUP($B133,DATA!$B$7:$AV$679,9,0)</f>
        <v>2022</v>
      </c>
      <c r="F133" s="1216" t="str">
        <f>VLOOKUP($B133,DATA!$B$7:$AV$679,12,0)</f>
        <v>4151/QĐ-UBND ngày 30/10/2019</v>
      </c>
      <c r="G133" s="1568">
        <f>VLOOKUP($B133,DATA!$B$7:$AV$679,13,0)</f>
        <v>7500</v>
      </c>
      <c r="H133" s="1568">
        <f>VLOOKUP($B133,DATA!$B$7:$AV$679,15,0)</f>
        <v>5000</v>
      </c>
      <c r="I133" s="1568">
        <f>VLOOKUP($B133,DATA!$B$7:$AV$679,29,0)</f>
        <v>1500</v>
      </c>
      <c r="J133" s="1568">
        <f>VLOOKUP($B133,DATA!$B$7:$AV$679,30,0)</f>
        <v>1500</v>
      </c>
      <c r="K133" s="1568">
        <f>VLOOKUP($B133,DATA!$B$7:$AV$679,35,0)</f>
        <v>0</v>
      </c>
      <c r="L133" s="1568">
        <f>VLOOKUP($B133,DATA!$B$7:$AV$679,36,0)</f>
        <v>0</v>
      </c>
      <c r="M133" s="1568">
        <f t="shared" si="20"/>
        <v>1500</v>
      </c>
      <c r="N133" s="1576"/>
      <c r="O133" s="1568">
        <v>1500</v>
      </c>
      <c r="P133" s="1568">
        <v>1500</v>
      </c>
      <c r="Q133" s="1568"/>
      <c r="R133" s="1568"/>
      <c r="S133" s="1568">
        <v>1500</v>
      </c>
      <c r="T133" s="1568">
        <f t="shared" si="21"/>
        <v>1500</v>
      </c>
      <c r="U133" s="1568">
        <f t="shared" si="22"/>
        <v>1500</v>
      </c>
      <c r="V133" s="1646">
        <f t="shared" si="23"/>
        <v>2000</v>
      </c>
      <c r="W133" s="1218"/>
    </row>
    <row r="134" spans="1:24" ht="42.75" customHeight="1">
      <c r="A134" s="500">
        <v>124</v>
      </c>
      <c r="B134" s="1481" t="s">
        <v>2461</v>
      </c>
      <c r="C134" s="1216" t="str">
        <f>VLOOKUP($B134,DATA!$B$7:$AV$679,6,0)</f>
        <v>Quảng Ninh</v>
      </c>
      <c r="D134" s="1230">
        <f>VLOOKUP($B134,DATA!$B$7:$AV$679,7,0)</f>
        <v>2020</v>
      </c>
      <c r="E134" s="1230">
        <f>VLOOKUP($B134,DATA!$B$7:$AV$679,9,0)</f>
        <v>2022</v>
      </c>
      <c r="F134" s="1216" t="str">
        <f>VLOOKUP($B134,DATA!$B$7:$AV$679,12,0)</f>
        <v>4149/QĐ-UBND ngày 30/10/2019</v>
      </c>
      <c r="G134" s="1568">
        <f>VLOOKUP($B134,DATA!$B$7:$AV$679,13,0)</f>
        <v>5000</v>
      </c>
      <c r="H134" s="1568">
        <f>VLOOKUP($B134,DATA!$B$7:$AV$679,15,0)</f>
        <v>5000</v>
      </c>
      <c r="I134" s="1568">
        <f>VLOOKUP($B134,DATA!$B$7:$AV$679,29,0)</f>
        <v>1500</v>
      </c>
      <c r="J134" s="1568">
        <f>VLOOKUP($B134,DATA!$B$7:$AV$679,30,0)</f>
        <v>1500</v>
      </c>
      <c r="K134" s="1568">
        <f>VLOOKUP($B134,DATA!$B$7:$AV$679,35,0)</f>
        <v>0</v>
      </c>
      <c r="L134" s="1568">
        <f>VLOOKUP($B134,DATA!$B$7:$AV$679,36,0)</f>
        <v>0</v>
      </c>
      <c r="M134" s="1568">
        <f t="shared" si="20"/>
        <v>1500</v>
      </c>
      <c r="N134" s="1576"/>
      <c r="O134" s="1568">
        <v>1500</v>
      </c>
      <c r="P134" s="1568">
        <v>1500</v>
      </c>
      <c r="Q134" s="1568"/>
      <c r="R134" s="1568"/>
      <c r="S134" s="1568">
        <v>1500</v>
      </c>
      <c r="T134" s="1568">
        <f t="shared" si="21"/>
        <v>1500</v>
      </c>
      <c r="U134" s="1568">
        <f t="shared" si="22"/>
        <v>1500</v>
      </c>
      <c r="V134" s="1646">
        <f t="shared" si="23"/>
        <v>2000</v>
      </c>
      <c r="W134" s="1218"/>
    </row>
    <row r="135" spans="1:24" ht="38.25" customHeight="1">
      <c r="A135" s="500">
        <v>125</v>
      </c>
      <c r="B135" s="1481" t="s">
        <v>2462</v>
      </c>
      <c r="C135" s="1216" t="str">
        <f>VLOOKUP($B135,DATA!$B$7:$AV$679,6,0)</f>
        <v>Tuyên Hóa</v>
      </c>
      <c r="D135" s="1230">
        <f>VLOOKUP($B135,DATA!$B$7:$AV$679,7,0)</f>
        <v>2020</v>
      </c>
      <c r="E135" s="1230">
        <f>VLOOKUP($B135,DATA!$B$7:$AV$679,9,0)</f>
        <v>2022</v>
      </c>
      <c r="F135" s="1216" t="str">
        <f>VLOOKUP($B135,DATA!$B$7:$AV$679,12,0)</f>
        <v>4103/QĐ-UBND ngày 29/10/2019</v>
      </c>
      <c r="G135" s="1568">
        <f>VLOOKUP($B135,DATA!$B$7:$AV$679,13,0)</f>
        <v>2400</v>
      </c>
      <c r="H135" s="1568">
        <f>VLOOKUP($B135,DATA!$B$7:$AV$679,15,0)</f>
        <v>2400</v>
      </c>
      <c r="I135" s="1568">
        <f>VLOOKUP($B135,DATA!$B$7:$AV$679,29,0)</f>
        <v>720</v>
      </c>
      <c r="J135" s="1568">
        <f>VLOOKUP($B135,DATA!$B$7:$AV$679,30,0)</f>
        <v>720</v>
      </c>
      <c r="K135" s="1568">
        <f>VLOOKUP($B135,DATA!$B$7:$AV$679,35,0)</f>
        <v>0</v>
      </c>
      <c r="L135" s="1568">
        <f>VLOOKUP($B135,DATA!$B$7:$AV$679,36,0)</f>
        <v>0</v>
      </c>
      <c r="M135" s="1568">
        <f t="shared" si="20"/>
        <v>720</v>
      </c>
      <c r="N135" s="1576"/>
      <c r="O135" s="1568">
        <v>720</v>
      </c>
      <c r="P135" s="1568">
        <v>720</v>
      </c>
      <c r="Q135" s="1568"/>
      <c r="R135" s="1568"/>
      <c r="S135" s="1568">
        <v>720</v>
      </c>
      <c r="T135" s="1568">
        <f t="shared" si="21"/>
        <v>720</v>
      </c>
      <c r="U135" s="1568">
        <f t="shared" si="22"/>
        <v>720</v>
      </c>
      <c r="V135" s="1646">
        <f t="shared" si="23"/>
        <v>960</v>
      </c>
      <c r="W135" s="1218"/>
    </row>
    <row r="136" spans="1:24" ht="74.25" customHeight="1">
      <c r="A136" s="500">
        <v>126</v>
      </c>
      <c r="B136" s="1556" t="s">
        <v>2516</v>
      </c>
      <c r="C136" s="1216" t="str">
        <f>VLOOKUP($B136,DATA!$B$7:$AV$679,6,0)</f>
        <v>Ba Đồn</v>
      </c>
      <c r="D136" s="1230">
        <f>VLOOKUP($B136,DATA!$B$7:$AV$679,7,0)</f>
        <v>2020</v>
      </c>
      <c r="E136" s="1230">
        <f>VLOOKUP($B136,DATA!$B$7:$AV$679,9,0)</f>
        <v>2022</v>
      </c>
      <c r="F136" s="1216" t="str">
        <f>VLOOKUP($B136,DATA!$B$7:$AV$679,12,0)</f>
        <v>4236/QĐ-UBND ngày 30/10/2019</v>
      </c>
      <c r="G136" s="1568">
        <f>VLOOKUP($B136,DATA!$B$7:$AV$679,13,0)</f>
        <v>70000</v>
      </c>
      <c r="H136" s="1568">
        <f>VLOOKUP($B136,DATA!$B$7:$AV$679,15,0)</f>
        <v>50000</v>
      </c>
      <c r="I136" s="1568">
        <f>VLOOKUP($B136,DATA!$B$7:$AV$679,29,0)</f>
        <v>15000</v>
      </c>
      <c r="J136" s="1568">
        <f>VLOOKUP($B136,DATA!$B$7:$AV$679,30,0)</f>
        <v>15000</v>
      </c>
      <c r="K136" s="1568">
        <f>VLOOKUP($B136,DATA!$B$7:$AV$679,35,0)+1904</f>
        <v>1904</v>
      </c>
      <c r="L136" s="1568">
        <f>VLOOKUP($B136,DATA!$B$7:$AV$679,36,0)+1904</f>
        <v>1904</v>
      </c>
      <c r="M136" s="1568">
        <v>5000</v>
      </c>
      <c r="N136" s="1570"/>
      <c r="O136" s="1571">
        <v>6904</v>
      </c>
      <c r="P136" s="1571">
        <v>6904</v>
      </c>
      <c r="Q136" s="1571">
        <v>1904</v>
      </c>
      <c r="R136" s="1571">
        <v>1904</v>
      </c>
      <c r="S136" s="1568">
        <v>5000</v>
      </c>
      <c r="T136" s="1568">
        <f>Q136+S136-1904</f>
        <v>5000</v>
      </c>
      <c r="U136" s="1568">
        <f>R136+S136-1904</f>
        <v>5000</v>
      </c>
      <c r="V136" s="1646">
        <f>H136*0.7-U136</f>
        <v>30000</v>
      </c>
      <c r="W136" s="1218"/>
    </row>
    <row r="137" spans="1:24" ht="43.5" customHeight="1">
      <c r="A137" s="500">
        <v>127</v>
      </c>
      <c r="B137" s="1460" t="s">
        <v>2330</v>
      </c>
      <c r="C137" s="1216" t="str">
        <f>VLOOKUP($B137,DATA!$B$7:$AV$679,6,0)</f>
        <v>Quảng Trạch</v>
      </c>
      <c r="D137" s="1230">
        <f>VLOOKUP($B137,DATA!$B$7:$AV$679,7,0)</f>
        <v>2020</v>
      </c>
      <c r="E137" s="1230">
        <f>VLOOKUP($B137,DATA!$B$7:$AV$679,9,0)</f>
        <v>2022</v>
      </c>
      <c r="F137" s="1216" t="str">
        <f>VLOOKUP($B137,DATA!$B$7:$AV$679,12,0)</f>
        <v>4144/QĐ-UIBND ngày 30/10/2019</v>
      </c>
      <c r="G137" s="1568">
        <f>VLOOKUP($B137,DATA!$B$7:$AV$679,13,0)</f>
        <v>8000</v>
      </c>
      <c r="H137" s="1568">
        <f>VLOOKUP($B137,DATA!$B$7:$AV$679,15,0)</f>
        <v>3000</v>
      </c>
      <c r="I137" s="1568">
        <f>VLOOKUP($B137,DATA!$B$7:$AV$679,29,0)</f>
        <v>900</v>
      </c>
      <c r="J137" s="1568">
        <f>VLOOKUP($B137,DATA!$B$7:$AV$679,30,0)</f>
        <v>900</v>
      </c>
      <c r="K137" s="1568">
        <f>VLOOKUP($B137,DATA!$B$7:$AV$679,35,0)</f>
        <v>0</v>
      </c>
      <c r="L137" s="1568">
        <f>VLOOKUP($B137,DATA!$B$7:$AV$679,36,0)</f>
        <v>0</v>
      </c>
      <c r="M137" s="1568">
        <f t="shared" si="20"/>
        <v>900</v>
      </c>
      <c r="N137" s="1570"/>
      <c r="O137" s="1568">
        <v>900</v>
      </c>
      <c r="P137" s="1568">
        <v>900</v>
      </c>
      <c r="Q137" s="1571"/>
      <c r="R137" s="1571"/>
      <c r="S137" s="1568">
        <v>900</v>
      </c>
      <c r="T137" s="1568">
        <f t="shared" si="21"/>
        <v>900</v>
      </c>
      <c r="U137" s="1568">
        <f t="shared" si="22"/>
        <v>900</v>
      </c>
      <c r="V137" s="1646">
        <f>H137*0.7-U137</f>
        <v>1200</v>
      </c>
      <c r="W137" s="1218"/>
    </row>
    <row r="138" spans="1:24" ht="53.25" customHeight="1">
      <c r="A138" s="500">
        <v>128</v>
      </c>
      <c r="B138" s="310" t="s">
        <v>2470</v>
      </c>
      <c r="C138" s="1216" t="str">
        <f>VLOOKUP($B138,DATA!$B$7:$AV$679,6,0)</f>
        <v>Bố Trạch</v>
      </c>
      <c r="D138" s="1230">
        <f>VLOOKUP($B138,DATA!$B$7:$AV$679,7,0)</f>
        <v>2020</v>
      </c>
      <c r="E138" s="1230">
        <f>VLOOKUP($B138,DATA!$B$7:$AV$679,9,0)</f>
        <v>2022</v>
      </c>
      <c r="F138" s="1216" t="str">
        <f>VLOOKUP($B138,DATA!$B$7:$AV$679,12,0)</f>
        <v>4176/QĐ-UBND ngày 30/10/2019</v>
      </c>
      <c r="G138" s="1568">
        <f>VLOOKUP($B138,DATA!$B$7:$AV$679,13,0)</f>
        <v>10000</v>
      </c>
      <c r="H138" s="1568">
        <f>VLOOKUP($B138,DATA!$B$7:$AV$679,15,0)</f>
        <v>6000</v>
      </c>
      <c r="I138" s="1568">
        <f>VLOOKUP($B138,DATA!$B$7:$AV$679,29,0)</f>
        <v>1800</v>
      </c>
      <c r="J138" s="1568">
        <f>VLOOKUP($B138,DATA!$B$7:$AV$679,30,0)</f>
        <v>1800</v>
      </c>
      <c r="K138" s="1568">
        <f>VLOOKUP($B138,DATA!$B$7:$AV$679,35,0)</f>
        <v>0</v>
      </c>
      <c r="L138" s="1568">
        <f>VLOOKUP($B138,DATA!$B$7:$AV$679,36,0)</f>
        <v>0</v>
      </c>
      <c r="M138" s="1568">
        <f t="shared" si="20"/>
        <v>1800</v>
      </c>
      <c r="N138" s="1570"/>
      <c r="O138" s="1568">
        <v>1800</v>
      </c>
      <c r="P138" s="1568">
        <v>1800</v>
      </c>
      <c r="Q138" s="1571"/>
      <c r="R138" s="1571"/>
      <c r="S138" s="1568">
        <v>1800</v>
      </c>
      <c r="T138" s="1568">
        <f t="shared" si="21"/>
        <v>1800</v>
      </c>
      <c r="U138" s="1568">
        <f t="shared" si="22"/>
        <v>1800</v>
      </c>
      <c r="V138" s="1646">
        <f t="shared" ref="V138:V139" si="24">H138*0.7-U138</f>
        <v>2400</v>
      </c>
      <c r="W138" s="1218"/>
    </row>
    <row r="139" spans="1:24" ht="46.5" customHeight="1">
      <c r="A139" s="500">
        <v>129</v>
      </c>
      <c r="B139" s="545" t="s">
        <v>2365</v>
      </c>
      <c r="C139" s="1216" t="str">
        <f>VLOOKUP($B139,DATA!$B$7:$AV$679,6,0)</f>
        <v>Lệ Thủy</v>
      </c>
      <c r="D139" s="1230">
        <f>VLOOKUP($B139,DATA!$B$7:$AV$679,7,0)</f>
        <v>2020</v>
      </c>
      <c r="E139" s="1230">
        <f>VLOOKUP($B139,DATA!$B$7:$AV$679,9,0)</f>
        <v>2022</v>
      </c>
      <c r="F139" s="1216" t="str">
        <f>VLOOKUP($B139,DATA!$B$7:$AV$679,12,0)</f>
        <v>4056a/QĐ-UBND ngày 28/10/2019</v>
      </c>
      <c r="G139" s="1568">
        <f>VLOOKUP($B139,DATA!$B$7:$AV$679,13,0)</f>
        <v>6500</v>
      </c>
      <c r="H139" s="1568">
        <f>VLOOKUP($B139,DATA!$B$7:$AV$679,15,0)</f>
        <v>6500</v>
      </c>
      <c r="I139" s="1568">
        <f>VLOOKUP($B139,DATA!$B$7:$AV$679,29,0)</f>
        <v>1950</v>
      </c>
      <c r="J139" s="1568">
        <f>VLOOKUP($B139,DATA!$B$7:$AV$679,30,0)</f>
        <v>1950</v>
      </c>
      <c r="K139" s="1568">
        <f>VLOOKUP($B139,DATA!$B$7:$AV$679,35,0)</f>
        <v>0</v>
      </c>
      <c r="L139" s="1568">
        <f>VLOOKUP($B139,DATA!$B$7:$AV$679,36,0)</f>
        <v>0</v>
      </c>
      <c r="M139" s="1568">
        <f t="shared" si="20"/>
        <v>1950</v>
      </c>
      <c r="N139" s="1576"/>
      <c r="O139" s="1568">
        <v>1950</v>
      </c>
      <c r="P139" s="1568">
        <v>1950</v>
      </c>
      <c r="Q139" s="1568"/>
      <c r="R139" s="1568"/>
      <c r="S139" s="1568">
        <v>1950</v>
      </c>
      <c r="T139" s="1568">
        <f t="shared" si="21"/>
        <v>1950</v>
      </c>
      <c r="U139" s="1568">
        <f t="shared" si="22"/>
        <v>1950</v>
      </c>
      <c r="V139" s="1646">
        <f t="shared" si="24"/>
        <v>2600</v>
      </c>
      <c r="W139" s="1218"/>
    </row>
    <row r="140" spans="1:24" ht="54" customHeight="1">
      <c r="A140" s="1578"/>
      <c r="B140" s="531" t="s">
        <v>2443</v>
      </c>
      <c r="C140" s="1579"/>
      <c r="D140" s="1580"/>
      <c r="E140" s="1580"/>
      <c r="F140" s="1579"/>
      <c r="G140" s="1581">
        <f t="shared" ref="G140:P140" si="25">SUBTOTAL(109,G141:G150)</f>
        <v>139100</v>
      </c>
      <c r="H140" s="1581">
        <f t="shared" si="25"/>
        <v>10000</v>
      </c>
      <c r="I140" s="1581">
        <f t="shared" si="25"/>
        <v>10000</v>
      </c>
      <c r="J140" s="1581">
        <f t="shared" si="25"/>
        <v>10000</v>
      </c>
      <c r="K140" s="1581">
        <f t="shared" si="25"/>
        <v>0</v>
      </c>
      <c r="L140" s="1581">
        <f t="shared" si="25"/>
        <v>0</v>
      </c>
      <c r="M140" s="1581">
        <f t="shared" si="25"/>
        <v>10000</v>
      </c>
      <c r="N140" s="1581">
        <f t="shared" si="25"/>
        <v>0</v>
      </c>
      <c r="O140" s="1581">
        <f t="shared" si="25"/>
        <v>10000</v>
      </c>
      <c r="P140" s="1581">
        <f t="shared" si="25"/>
        <v>10000</v>
      </c>
      <c r="Q140" s="1581"/>
      <c r="R140" s="1581"/>
      <c r="S140" s="1581">
        <f>SUBTOTAL(109,S141:S150)</f>
        <v>10000</v>
      </c>
      <c r="T140" s="1581">
        <f t="shared" ref="T140:V140" si="26">SUBTOTAL(109,T141:T150)</f>
        <v>10000</v>
      </c>
      <c r="U140" s="1581">
        <f t="shared" si="26"/>
        <v>10000</v>
      </c>
      <c r="V140" s="1653">
        <f t="shared" si="26"/>
        <v>59920</v>
      </c>
      <c r="W140" s="1218"/>
    </row>
    <row r="141" spans="1:24" ht="39.75" customHeight="1">
      <c r="A141" s="1213">
        <v>130</v>
      </c>
      <c r="B141" s="1556" t="s">
        <v>2436</v>
      </c>
      <c r="C141" s="1216" t="str">
        <f>VLOOKUP($B141,DATA!$B$7:$AV$679,6,0)</f>
        <v>Bố Trạch</v>
      </c>
      <c r="D141" s="1230">
        <f>VLOOKUP($B141,DATA!$B$7:$AV$679,7,0)</f>
        <v>2020</v>
      </c>
      <c r="E141" s="1230">
        <f>VLOOKUP($B141,DATA!$B$7:$AV$679,9,0)</f>
        <v>2022</v>
      </c>
      <c r="F141" s="1216" t="str">
        <f>VLOOKUP($B141,DATA!$B$7:$AV$679,12,0)</f>
        <v>4188/QĐ-UBND ngày 30/10/2019</v>
      </c>
      <c r="G141" s="1568">
        <f>VLOOKUP($B141,DATA!$B$7:$AV$679,13,0)</f>
        <v>20000</v>
      </c>
      <c r="H141" s="1568">
        <f>VLOOKUP($B141,DATA!$B$7:$AV$679,15,0)</f>
        <v>1000</v>
      </c>
      <c r="I141" s="1568">
        <f>VLOOKUP($B141,DATA!$B$7:$AV$679,29,0)</f>
        <v>1000</v>
      </c>
      <c r="J141" s="1568">
        <f>VLOOKUP($B141,DATA!$B$7:$AV$679,30,0)</f>
        <v>1000</v>
      </c>
      <c r="K141" s="1568">
        <f>VLOOKUP($B141,DATA!$B$7:$AV$679,35,0)</f>
        <v>0</v>
      </c>
      <c r="L141" s="1568">
        <f>VLOOKUP($B141,DATA!$B$7:$AV$679,36,0)</f>
        <v>0</v>
      </c>
      <c r="M141" s="1568">
        <v>1000</v>
      </c>
      <c r="N141" s="1576"/>
      <c r="O141" s="1568">
        <v>1000</v>
      </c>
      <c r="P141" s="1568">
        <v>1000</v>
      </c>
      <c r="Q141" s="1568"/>
      <c r="R141" s="1568"/>
      <c r="S141" s="1568">
        <v>1000</v>
      </c>
      <c r="T141" s="1568">
        <f t="shared" ref="T141:T150" si="27">Q141+S141</f>
        <v>1000</v>
      </c>
      <c r="U141" s="1568">
        <f t="shared" ref="U141:U150" si="28">R141+S141</f>
        <v>1000</v>
      </c>
      <c r="V141" s="1646">
        <f t="shared" ref="V141:V150" si="29">G141*0.7-U141-X141</f>
        <v>10050</v>
      </c>
      <c r="W141" s="1218"/>
      <c r="X141" s="13">
        <v>2950</v>
      </c>
    </row>
    <row r="142" spans="1:24" ht="39.75" customHeight="1">
      <c r="A142" s="1213">
        <v>131</v>
      </c>
      <c r="B142" s="1481" t="s">
        <v>2464</v>
      </c>
      <c r="C142" s="1216" t="str">
        <f>VLOOKUP($B142,DATA!$B$7:$AV$679,6,0)</f>
        <v>Ba Đồn</v>
      </c>
      <c r="D142" s="1230">
        <f>VLOOKUP($B142,DATA!$B$7:$AV$679,7,0)</f>
        <v>2020</v>
      </c>
      <c r="E142" s="1230">
        <f>VLOOKUP($B142,DATA!$B$7:$AV$679,9,0)</f>
        <v>2022</v>
      </c>
      <c r="F142" s="1216" t="str">
        <f>VLOOKUP($B142,DATA!$B$7:$AV$679,12,0)</f>
        <v>4146/QĐ-UBND ngày 30/10/2019</v>
      </c>
      <c r="G142" s="1568">
        <f>VLOOKUP($B142,DATA!$B$7:$AV$679,13,0)</f>
        <v>11000</v>
      </c>
      <c r="H142" s="1568">
        <f>VLOOKUP($B142,DATA!$B$7:$AV$679,15,0)</f>
        <v>1000</v>
      </c>
      <c r="I142" s="1568">
        <f>VLOOKUP($B142,DATA!$B$7:$AV$679,29,0)</f>
        <v>1000</v>
      </c>
      <c r="J142" s="1568">
        <f>VLOOKUP($B142,DATA!$B$7:$AV$679,30,0)</f>
        <v>1000</v>
      </c>
      <c r="K142" s="1568">
        <f>VLOOKUP($B142,DATA!$B$7:$AV$679,35,0)</f>
        <v>0</v>
      </c>
      <c r="L142" s="1568">
        <f>VLOOKUP($B142,DATA!$B$7:$AV$679,36,0)</f>
        <v>0</v>
      </c>
      <c r="M142" s="1568">
        <v>1000</v>
      </c>
      <c r="N142" s="1576"/>
      <c r="O142" s="1568">
        <v>1000</v>
      </c>
      <c r="P142" s="1568">
        <v>1000</v>
      </c>
      <c r="Q142" s="1568"/>
      <c r="R142" s="1568"/>
      <c r="S142" s="1568">
        <v>1000</v>
      </c>
      <c r="T142" s="1568">
        <f t="shared" si="27"/>
        <v>1000</v>
      </c>
      <c r="U142" s="1568">
        <f t="shared" si="28"/>
        <v>1000</v>
      </c>
      <c r="V142" s="1646">
        <f t="shared" si="29"/>
        <v>4699.9999999999991</v>
      </c>
      <c r="W142" s="1218"/>
      <c r="X142" s="13">
        <v>2000</v>
      </c>
    </row>
    <row r="143" spans="1:24" ht="31.5">
      <c r="A143" s="1213">
        <v>132</v>
      </c>
      <c r="B143" s="1556" t="s">
        <v>2437</v>
      </c>
      <c r="C143" s="1216" t="str">
        <f>VLOOKUP($B143,DATA!$B$7:$AV$679,6,0)</f>
        <v>Minh Hóa</v>
      </c>
      <c r="D143" s="1230">
        <f>VLOOKUP($B143,DATA!$B$7:$AV$679,7,0)</f>
        <v>2020</v>
      </c>
      <c r="E143" s="1230">
        <f>VLOOKUP($B143,DATA!$B$7:$AV$679,9,0)</f>
        <v>2022</v>
      </c>
      <c r="F143" s="1216" t="str">
        <f>VLOOKUP($B143,DATA!$B$7:$AV$679,12,0)</f>
        <v>4182/QĐ-UBND ngày 30/10/2019</v>
      </c>
      <c r="G143" s="1568">
        <f>VLOOKUP($B143,DATA!$B$7:$AV$679,13,0)</f>
        <v>8500</v>
      </c>
      <c r="H143" s="1568">
        <f>VLOOKUP($B143,DATA!$B$7:$AV$679,15,0)</f>
        <v>1000</v>
      </c>
      <c r="I143" s="1568">
        <f>VLOOKUP($B143,DATA!$B$7:$AV$679,29,0)</f>
        <v>1000</v>
      </c>
      <c r="J143" s="1568">
        <f>VLOOKUP($B143,DATA!$B$7:$AV$679,30,0)</f>
        <v>1000</v>
      </c>
      <c r="K143" s="1568">
        <f>VLOOKUP($B143,DATA!$B$7:$AV$679,35,0)</f>
        <v>0</v>
      </c>
      <c r="L143" s="1568">
        <f>VLOOKUP($B143,DATA!$B$7:$AV$679,36,0)</f>
        <v>0</v>
      </c>
      <c r="M143" s="1568">
        <v>1000</v>
      </c>
      <c r="N143" s="1576"/>
      <c r="O143" s="1568">
        <v>1000</v>
      </c>
      <c r="P143" s="1568">
        <v>1000</v>
      </c>
      <c r="Q143" s="1568"/>
      <c r="R143" s="1568"/>
      <c r="S143" s="1568">
        <v>1000</v>
      </c>
      <c r="T143" s="1568">
        <f t="shared" si="27"/>
        <v>1000</v>
      </c>
      <c r="U143" s="1568">
        <f t="shared" si="28"/>
        <v>1000</v>
      </c>
      <c r="V143" s="1646">
        <f t="shared" si="29"/>
        <v>2950</v>
      </c>
      <c r="W143" s="1218"/>
      <c r="X143" s="13">
        <v>2000</v>
      </c>
    </row>
    <row r="144" spans="1:24" ht="83.25" customHeight="1">
      <c r="A144" s="1213">
        <v>133</v>
      </c>
      <c r="B144" s="1556" t="s">
        <v>2439</v>
      </c>
      <c r="C144" s="1216" t="str">
        <f>VLOOKUP($B144,DATA!$B$7:$AV$679,6,0)</f>
        <v>Đồng Hới, Bố Trạch</v>
      </c>
      <c r="D144" s="1230">
        <f>VLOOKUP($B144,DATA!$B$7:$AV$679,7,0)</f>
        <v>2020</v>
      </c>
      <c r="E144" s="1230">
        <f>VLOOKUP($B144,DATA!$B$7:$AV$679,9,0)</f>
        <v>2022</v>
      </c>
      <c r="F144" s="1216" t="str">
        <f>VLOOKUP($B144,DATA!$B$7:$AV$679,12,0)</f>
        <v>4158/QĐ-UBND ngày 30/10/2019</v>
      </c>
      <c r="G144" s="1568">
        <f>VLOOKUP($B144,DATA!$B$7:$AV$679,13,0)</f>
        <v>20000</v>
      </c>
      <c r="H144" s="1568">
        <f>VLOOKUP($B144,DATA!$B$7:$AV$679,15,0)</f>
        <v>1000</v>
      </c>
      <c r="I144" s="1568">
        <f>VLOOKUP($B144,DATA!$B$7:$AV$679,29,0)</f>
        <v>1000</v>
      </c>
      <c r="J144" s="1568">
        <f>VLOOKUP($B144,DATA!$B$7:$AV$679,30,0)</f>
        <v>1000</v>
      </c>
      <c r="K144" s="1568">
        <f>VLOOKUP($B144,DATA!$B$7:$AV$679,35,0)</f>
        <v>0</v>
      </c>
      <c r="L144" s="1568">
        <f>VLOOKUP($B144,DATA!$B$7:$AV$679,36,0)</f>
        <v>0</v>
      </c>
      <c r="M144" s="1568">
        <v>1000</v>
      </c>
      <c r="N144" s="1576"/>
      <c r="O144" s="1568">
        <v>1000</v>
      </c>
      <c r="P144" s="1568">
        <v>1000</v>
      </c>
      <c r="Q144" s="1568"/>
      <c r="R144" s="1568"/>
      <c r="S144" s="1568">
        <v>1000</v>
      </c>
      <c r="T144" s="1568">
        <f t="shared" si="27"/>
        <v>1000</v>
      </c>
      <c r="U144" s="1568">
        <f t="shared" si="28"/>
        <v>1000</v>
      </c>
      <c r="V144" s="1646">
        <f t="shared" si="29"/>
        <v>10500</v>
      </c>
      <c r="W144" s="1218"/>
      <c r="X144" s="13">
        <v>2500</v>
      </c>
    </row>
    <row r="145" spans="1:24" ht="39.75" customHeight="1">
      <c r="A145" s="1213">
        <v>134</v>
      </c>
      <c r="B145" s="1481" t="s">
        <v>2466</v>
      </c>
      <c r="C145" s="1216" t="str">
        <f>VLOOKUP($B145,DATA!$B$7:$AV$679,6,0)</f>
        <v>Quảng Ninh</v>
      </c>
      <c r="D145" s="1230">
        <f>VLOOKUP($B145,DATA!$B$7:$AV$679,7,0)</f>
        <v>2020</v>
      </c>
      <c r="E145" s="1230">
        <f>VLOOKUP($B145,DATA!$B$7:$AV$679,9,0)</f>
        <v>2022</v>
      </c>
      <c r="F145" s="1216" t="str">
        <f>VLOOKUP($B145,DATA!$B$7:$AV$679,12,0)</f>
        <v>4147/QĐ-UBND ngày 30/10/2019</v>
      </c>
      <c r="G145" s="1568">
        <f>VLOOKUP($B145,DATA!$B$7:$AV$679,13,0)</f>
        <v>20000</v>
      </c>
      <c r="H145" s="1568">
        <f>VLOOKUP($B145,DATA!$B$7:$AV$679,15,0)</f>
        <v>1000</v>
      </c>
      <c r="I145" s="1568">
        <f>VLOOKUP($B145,DATA!$B$7:$AV$679,29,0)</f>
        <v>1000</v>
      </c>
      <c r="J145" s="1568">
        <f>VLOOKUP($B145,DATA!$B$7:$AV$679,30,0)</f>
        <v>1000</v>
      </c>
      <c r="K145" s="1568">
        <f>VLOOKUP($B145,DATA!$B$7:$AV$679,35,0)</f>
        <v>0</v>
      </c>
      <c r="L145" s="1568">
        <f>VLOOKUP($B145,DATA!$B$7:$AV$679,36,0)</f>
        <v>0</v>
      </c>
      <c r="M145" s="1568">
        <v>1000</v>
      </c>
      <c r="N145" s="1576"/>
      <c r="O145" s="1568">
        <v>1000</v>
      </c>
      <c r="P145" s="1568">
        <v>1000</v>
      </c>
      <c r="Q145" s="1568"/>
      <c r="R145" s="1568"/>
      <c r="S145" s="1568">
        <v>1000</v>
      </c>
      <c r="T145" s="1568">
        <f t="shared" si="27"/>
        <v>1000</v>
      </c>
      <c r="U145" s="1568">
        <f t="shared" si="28"/>
        <v>1000</v>
      </c>
      <c r="V145" s="1646">
        <f t="shared" si="29"/>
        <v>11000</v>
      </c>
      <c r="W145" s="1218"/>
      <c r="X145" s="13">
        <v>2000</v>
      </c>
    </row>
    <row r="146" spans="1:24" ht="43.5" customHeight="1">
      <c r="A146" s="1213">
        <v>135</v>
      </c>
      <c r="B146" s="1481" t="s">
        <v>2467</v>
      </c>
      <c r="C146" s="1216" t="str">
        <f>VLOOKUP($B146,DATA!$B$7:$AV$679,6,0)</f>
        <v>Tuyên Hóa</v>
      </c>
      <c r="D146" s="1230">
        <f>VLOOKUP($B146,DATA!$B$7:$AV$679,7,0)</f>
        <v>2020</v>
      </c>
      <c r="E146" s="1230">
        <f>VLOOKUP($B146,DATA!$B$7:$AV$679,9,0)</f>
        <v>2022</v>
      </c>
      <c r="F146" s="1216" t="str">
        <f>VLOOKUP($B146,DATA!$B$7:$AV$679,12,0)</f>
        <v>4166/QĐ-UBND ngày 30/10/2019</v>
      </c>
      <c r="G146" s="1568">
        <f>VLOOKUP($B146,DATA!$B$7:$AV$679,13,0)</f>
        <v>14600</v>
      </c>
      <c r="H146" s="1568">
        <f>VLOOKUP($B146,DATA!$B$7:$AV$679,15,0)</f>
        <v>1000</v>
      </c>
      <c r="I146" s="1568">
        <f>VLOOKUP($B146,DATA!$B$7:$AV$679,29,0)</f>
        <v>1000</v>
      </c>
      <c r="J146" s="1568">
        <f>VLOOKUP($B146,DATA!$B$7:$AV$679,30,0)</f>
        <v>1000</v>
      </c>
      <c r="K146" s="1568">
        <f>VLOOKUP($B146,DATA!$B$7:$AV$679,35,0)</f>
        <v>0</v>
      </c>
      <c r="L146" s="1568">
        <f>VLOOKUP($B146,DATA!$B$7:$AV$679,36,0)</f>
        <v>0</v>
      </c>
      <c r="M146" s="1568">
        <v>1000</v>
      </c>
      <c r="N146" s="1576"/>
      <c r="O146" s="1568">
        <v>1000</v>
      </c>
      <c r="P146" s="1568">
        <v>1000</v>
      </c>
      <c r="Q146" s="1568"/>
      <c r="R146" s="1568"/>
      <c r="S146" s="1568">
        <v>1000</v>
      </c>
      <c r="T146" s="1568">
        <f t="shared" si="27"/>
        <v>1000</v>
      </c>
      <c r="U146" s="1568">
        <f t="shared" si="28"/>
        <v>1000</v>
      </c>
      <c r="V146" s="1646">
        <f t="shared" si="29"/>
        <v>7220</v>
      </c>
      <c r="W146" s="1218"/>
      <c r="X146" s="13">
        <v>2000</v>
      </c>
    </row>
    <row r="147" spans="1:24" ht="49.5" customHeight="1">
      <c r="A147" s="1213">
        <v>136</v>
      </c>
      <c r="B147" s="1481" t="s">
        <v>2468</v>
      </c>
      <c r="C147" s="1216" t="str">
        <f>VLOOKUP($B147,DATA!$B$7:$AV$679,6,0)</f>
        <v>Quảng Trạch</v>
      </c>
      <c r="D147" s="1230">
        <f>VLOOKUP($B147,DATA!$B$7:$AV$679,7,0)</f>
        <v>2020</v>
      </c>
      <c r="E147" s="1230">
        <f>VLOOKUP($B147,DATA!$B$7:$AV$679,9,0)</f>
        <v>2022</v>
      </c>
      <c r="F147" s="1216" t="str">
        <f>VLOOKUP($B147,DATA!$B$7:$AV$679,12,0)</f>
        <v>4137/QĐ-UBND ngày 30/10/2019</v>
      </c>
      <c r="G147" s="1568">
        <f>VLOOKUP($B147,DATA!$B$7:$AV$679,13,0)</f>
        <v>15000</v>
      </c>
      <c r="H147" s="1568">
        <f>VLOOKUP($B147,DATA!$B$7:$AV$679,15,0)</f>
        <v>1000</v>
      </c>
      <c r="I147" s="1568">
        <f>VLOOKUP($B147,DATA!$B$7:$AV$679,29,0)</f>
        <v>1000</v>
      </c>
      <c r="J147" s="1568">
        <f>VLOOKUP($B147,DATA!$B$7:$AV$679,30,0)</f>
        <v>1000</v>
      </c>
      <c r="K147" s="1568">
        <f>VLOOKUP($B147,DATA!$B$7:$AV$679,35,0)</f>
        <v>0</v>
      </c>
      <c r="L147" s="1568">
        <f>VLOOKUP($B147,DATA!$B$7:$AV$679,36,0)</f>
        <v>0</v>
      </c>
      <c r="M147" s="1568">
        <v>1000</v>
      </c>
      <c r="N147" s="1576"/>
      <c r="O147" s="1568">
        <v>1000</v>
      </c>
      <c r="P147" s="1568">
        <v>1000</v>
      </c>
      <c r="Q147" s="1568"/>
      <c r="R147" s="1568"/>
      <c r="S147" s="1568">
        <v>1000</v>
      </c>
      <c r="T147" s="1568">
        <f t="shared" si="27"/>
        <v>1000</v>
      </c>
      <c r="U147" s="1568">
        <f t="shared" si="28"/>
        <v>1000</v>
      </c>
      <c r="V147" s="1646">
        <f t="shared" si="29"/>
        <v>7500</v>
      </c>
      <c r="W147" s="1218"/>
      <c r="X147" s="13">
        <v>2000</v>
      </c>
    </row>
    <row r="148" spans="1:24" ht="66.75" customHeight="1">
      <c r="A148" s="1213">
        <v>137</v>
      </c>
      <c r="B148" s="1481" t="s">
        <v>2469</v>
      </c>
      <c r="C148" s="1216" t="str">
        <f>VLOOKUP($B148,DATA!$B$7:$AV$679,6,0)</f>
        <v>Lệ Thủy</v>
      </c>
      <c r="D148" s="1230">
        <f>VLOOKUP($B148,DATA!$B$7:$AV$679,7,0)</f>
        <v>2020</v>
      </c>
      <c r="E148" s="1230">
        <f>VLOOKUP($B148,DATA!$B$7:$AV$679,9,0)</f>
        <v>2022</v>
      </c>
      <c r="F148" s="1216" t="str">
        <f>VLOOKUP($B148,DATA!$B$7:$AV$679,12,0)</f>
        <v>4143/QĐ-UBND ngày 30/10/2019</v>
      </c>
      <c r="G148" s="1568">
        <f>VLOOKUP($B148,DATA!$B$7:$AV$679,13,0)</f>
        <v>15000</v>
      </c>
      <c r="H148" s="1568">
        <f>VLOOKUP($B148,DATA!$B$7:$AV$679,15,0)</f>
        <v>1000</v>
      </c>
      <c r="I148" s="1568">
        <f>VLOOKUP($B148,DATA!$B$7:$AV$679,29,0)</f>
        <v>1000</v>
      </c>
      <c r="J148" s="1568">
        <f>VLOOKUP($B148,DATA!$B$7:$AV$679,30,0)</f>
        <v>1000</v>
      </c>
      <c r="K148" s="1568">
        <f>VLOOKUP($B148,DATA!$B$7:$AV$679,35,0)</f>
        <v>0</v>
      </c>
      <c r="L148" s="1568">
        <f>VLOOKUP($B148,DATA!$B$7:$AV$679,36,0)</f>
        <v>0</v>
      </c>
      <c r="M148" s="1568">
        <v>1000</v>
      </c>
      <c r="N148" s="1576"/>
      <c r="O148" s="1568">
        <v>1000</v>
      </c>
      <c r="P148" s="1568">
        <v>1000</v>
      </c>
      <c r="Q148" s="1568"/>
      <c r="R148" s="1568"/>
      <c r="S148" s="1568">
        <v>1000</v>
      </c>
      <c r="T148" s="1568">
        <f t="shared" si="27"/>
        <v>1000</v>
      </c>
      <c r="U148" s="1568">
        <f t="shared" si="28"/>
        <v>1000</v>
      </c>
      <c r="V148" s="1646">
        <f t="shared" si="29"/>
        <v>1500</v>
      </c>
      <c r="W148" s="1218"/>
      <c r="X148" s="13">
        <v>8000</v>
      </c>
    </row>
    <row r="149" spans="1:24" ht="41.25" customHeight="1">
      <c r="A149" s="1213">
        <v>138</v>
      </c>
      <c r="B149" s="1556" t="s">
        <v>2377</v>
      </c>
      <c r="C149" s="1216" t="str">
        <f>VLOOKUP($B149,DATA!$B$7:$AV$679,6,0)</f>
        <v>Đồng Hới</v>
      </c>
      <c r="D149" s="1230">
        <f>VLOOKUP($B149,DATA!$B$7:$AV$679,7,0)</f>
        <v>2020</v>
      </c>
      <c r="E149" s="1230">
        <f>VLOOKUP($B149,DATA!$B$7:$AV$679,9,0)</f>
        <v>2022</v>
      </c>
      <c r="F149" s="1216" t="str">
        <f>VLOOKUP($B149,DATA!$B$7:$AV$679,12,0)</f>
        <v>4162/QĐ-UBND ngày 30/10/2019</v>
      </c>
      <c r="G149" s="1568">
        <f>VLOOKUP($B149,DATA!$B$7:$AV$679,13,0)</f>
        <v>10000</v>
      </c>
      <c r="H149" s="1568">
        <f>VLOOKUP($B149,DATA!$B$7:$AV$679,15,0)</f>
        <v>1000</v>
      </c>
      <c r="I149" s="1568">
        <f>VLOOKUP($B149,DATA!$B$7:$AV$679,29,0)</f>
        <v>1000</v>
      </c>
      <c r="J149" s="1568">
        <f>VLOOKUP($B149,DATA!$B$7:$AV$679,30,0)</f>
        <v>1000</v>
      </c>
      <c r="K149" s="1568">
        <f>VLOOKUP($B149,DATA!$B$7:$AV$679,35,0)</f>
        <v>0</v>
      </c>
      <c r="L149" s="1568">
        <f>VLOOKUP($B149,DATA!$B$7:$AV$679,36,0)</f>
        <v>0</v>
      </c>
      <c r="M149" s="1568">
        <v>1000</v>
      </c>
      <c r="N149" s="1576"/>
      <c r="O149" s="1568">
        <v>1000</v>
      </c>
      <c r="P149" s="1568">
        <v>1000</v>
      </c>
      <c r="Q149" s="1568"/>
      <c r="R149" s="1568"/>
      <c r="S149" s="1568">
        <v>1000</v>
      </c>
      <c r="T149" s="1568">
        <f t="shared" si="27"/>
        <v>1000</v>
      </c>
      <c r="U149" s="1568">
        <f t="shared" si="28"/>
        <v>1000</v>
      </c>
      <c r="V149" s="1646">
        <f t="shared" si="29"/>
        <v>4000</v>
      </c>
      <c r="W149" s="1218"/>
      <c r="X149" s="13">
        <v>2000</v>
      </c>
    </row>
    <row r="150" spans="1:24" ht="31.5">
      <c r="A150" s="1213">
        <v>139</v>
      </c>
      <c r="B150" s="1556" t="s">
        <v>2376</v>
      </c>
      <c r="C150" s="1216" t="str">
        <f>VLOOKUP($B150,DATA!$B$7:$AV$679,6,0)</f>
        <v>Quảng Trạch</v>
      </c>
      <c r="D150" s="1230">
        <f>VLOOKUP($B150,DATA!$B$7:$AV$679,7,0)</f>
        <v>2020</v>
      </c>
      <c r="E150" s="1230">
        <f>VLOOKUP($B150,DATA!$B$7:$AV$679,9,0)</f>
        <v>2022</v>
      </c>
      <c r="F150" s="1216" t="str">
        <f>VLOOKUP($B150,DATA!$B$7:$AV$679,12,0)</f>
        <v>4106/QĐ-UBND ngày 29/10/2019</v>
      </c>
      <c r="G150" s="1568">
        <f>VLOOKUP($B150,DATA!$B$7:$AV$679,13,0)</f>
        <v>5000</v>
      </c>
      <c r="H150" s="1568">
        <f>VLOOKUP($B150,DATA!$B$7:$AV$679,15,0)</f>
        <v>1000</v>
      </c>
      <c r="I150" s="1568">
        <f>VLOOKUP($B150,DATA!$B$7:$AV$679,29,0)</f>
        <v>1000</v>
      </c>
      <c r="J150" s="1568">
        <f>VLOOKUP($B150,DATA!$B$7:$AV$679,30,0)</f>
        <v>1000</v>
      </c>
      <c r="K150" s="1568">
        <f>VLOOKUP($B150,DATA!$B$7:$AV$679,35,0)</f>
        <v>0</v>
      </c>
      <c r="L150" s="1568">
        <f>VLOOKUP($B150,DATA!$B$7:$AV$679,36,0)</f>
        <v>0</v>
      </c>
      <c r="M150" s="1568">
        <v>1000</v>
      </c>
      <c r="N150" s="1576"/>
      <c r="O150" s="1568">
        <v>1000</v>
      </c>
      <c r="P150" s="1568">
        <v>1000</v>
      </c>
      <c r="Q150" s="1568"/>
      <c r="R150" s="1568"/>
      <c r="S150" s="1568">
        <v>1000</v>
      </c>
      <c r="T150" s="1568">
        <f t="shared" si="27"/>
        <v>1000</v>
      </c>
      <c r="U150" s="1568">
        <f t="shared" si="28"/>
        <v>1000</v>
      </c>
      <c r="V150" s="1646">
        <f t="shared" si="29"/>
        <v>500</v>
      </c>
      <c r="W150" s="1218"/>
      <c r="X150" s="13">
        <v>2000</v>
      </c>
    </row>
  </sheetData>
  <autoFilter ref="C4:C105"/>
  <mergeCells count="31">
    <mergeCell ref="T4:U5"/>
    <mergeCell ref="V4:V8"/>
    <mergeCell ref="T6:T8"/>
    <mergeCell ref="U6:U8"/>
    <mergeCell ref="F4:H4"/>
    <mergeCell ref="Q4:R5"/>
    <mergeCell ref="O6:O8"/>
    <mergeCell ref="P6:P8"/>
    <mergeCell ref="Q6:Q8"/>
    <mergeCell ref="R6:R8"/>
    <mergeCell ref="K6:K8"/>
    <mergeCell ref="J6:J8"/>
    <mergeCell ref="M4:M8"/>
    <mergeCell ref="K4:L5"/>
    <mergeCell ref="I4:J5"/>
    <mergeCell ref="W4:W8"/>
    <mergeCell ref="S4:S8"/>
    <mergeCell ref="A1:V1"/>
    <mergeCell ref="F5:F8"/>
    <mergeCell ref="L6:L8"/>
    <mergeCell ref="G5:H5"/>
    <mergeCell ref="A4:A8"/>
    <mergeCell ref="B4:B8"/>
    <mergeCell ref="C4:C8"/>
    <mergeCell ref="D4:D8"/>
    <mergeCell ref="E4:E8"/>
    <mergeCell ref="G6:G8"/>
    <mergeCell ref="H6:H8"/>
    <mergeCell ref="I6:I8"/>
    <mergeCell ref="O4:P5"/>
    <mergeCell ref="A3:V3"/>
  </mergeCells>
  <pageMargins left="1.82" right="0.27559055118110237" top="0.31496062992125984" bottom="0.31496062992125984" header="0.19685039370078741" footer="0.19685039370078741"/>
  <pageSetup paperSize="9" scale="60" orientation="landscape" r:id="rId1"/>
  <headerFooter>
    <oddFoote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BV360"/>
  <sheetViews>
    <sheetView zoomScale="70" zoomScaleNormal="70" workbookViewId="0">
      <pane xSplit="2" ySplit="16" topLeftCell="C17" activePane="bottomRight" state="frozen"/>
      <selection activeCell="A2" sqref="A2:H2"/>
      <selection pane="topRight" activeCell="A2" sqref="A2:H2"/>
      <selection pane="bottomLeft" activeCell="A2" sqref="A2:H2"/>
      <selection pane="bottomRight" activeCell="N15" sqref="N15"/>
    </sheetView>
  </sheetViews>
  <sheetFormatPr defaultRowHeight="18.75"/>
  <cols>
    <col min="1" max="1" width="5.140625" style="40" customWidth="1"/>
    <col min="2" max="2" width="24" style="41" customWidth="1"/>
    <col min="3" max="3" width="7.7109375" style="44" customWidth="1"/>
    <col min="4" max="4" width="9" style="44" customWidth="1"/>
    <col min="5" max="7" width="9.140625" style="44" customWidth="1"/>
    <col min="8" max="8" width="10.140625" style="44" customWidth="1"/>
    <col min="9" max="9" width="10.7109375" style="3" customWidth="1"/>
    <col min="10" max="14" width="9.7109375" style="3" customWidth="1"/>
    <col min="15" max="15" width="8.28515625" style="3" bestFit="1" customWidth="1"/>
    <col min="16" max="16" width="10.42578125" style="3" hidden="1" customWidth="1"/>
    <col min="17" max="21" width="8.85546875" style="3" hidden="1" customWidth="1"/>
    <col min="22" max="22" width="10.140625" style="3" hidden="1" customWidth="1"/>
    <col min="23" max="23" width="10.140625" style="3" customWidth="1"/>
    <col min="24" max="28" width="8.7109375" style="3" customWidth="1"/>
    <col min="29" max="29" width="8.28515625" style="3" bestFit="1" customWidth="1"/>
    <col min="30" max="34" width="10.140625" style="3" hidden="1" customWidth="1"/>
    <col min="35" max="35" width="10.140625" style="3" customWidth="1"/>
    <col min="36" max="40" width="8.7109375" style="3" customWidth="1"/>
    <col min="41" max="41" width="8.28515625" style="3" bestFit="1" customWidth="1"/>
    <col min="42" max="42" width="10.140625" style="3" customWidth="1"/>
    <col min="43" max="44" width="8.7109375" style="3" customWidth="1"/>
    <col min="45" max="45" width="11" style="3" customWidth="1"/>
    <col min="46" max="46" width="9.85546875" style="3" customWidth="1"/>
    <col min="47" max="47" width="11" style="3" customWidth="1"/>
    <col min="48" max="49" width="8.7109375" style="3" customWidth="1"/>
    <col min="50" max="51" width="10.140625" style="3" customWidth="1"/>
    <col min="52" max="53" width="8.5703125" style="3" customWidth="1"/>
    <col min="54" max="54" width="11" style="3" customWidth="1"/>
    <col min="55" max="55" width="8.85546875" style="3" customWidth="1"/>
    <col min="56" max="56" width="11" style="3" customWidth="1"/>
    <col min="57" max="59" width="9" style="3" customWidth="1"/>
    <col min="60" max="60" width="10.140625" style="3" customWidth="1"/>
    <col min="61" max="62" width="8.5703125" style="3" customWidth="1"/>
    <col min="63" max="63" width="11" style="3" customWidth="1"/>
    <col min="64" max="64" width="8.85546875" style="3" customWidth="1"/>
    <col min="65" max="65" width="11" style="3" customWidth="1"/>
    <col min="66" max="69" width="9.140625" style="3" customWidth="1"/>
    <col min="70" max="266" width="9.140625" style="13"/>
    <col min="267" max="267" width="5.140625" style="13" customWidth="1"/>
    <col min="268" max="268" width="24" style="13" customWidth="1"/>
    <col min="269" max="269" width="7.7109375" style="13" customWidth="1"/>
    <col min="270" max="270" width="9" style="13" customWidth="1"/>
    <col min="271" max="273" width="9.140625" style="13" customWidth="1"/>
    <col min="274" max="274" width="10.140625" style="13" customWidth="1"/>
    <col min="275" max="275" width="10.7109375" style="13" customWidth="1"/>
    <col min="276" max="276" width="10" style="13" customWidth="1"/>
    <col min="277" max="277" width="9.42578125" style="13" customWidth="1"/>
    <col min="278" max="279" width="10.7109375" style="13" customWidth="1"/>
    <col min="280" max="280" width="9.28515625" style="13" customWidth="1"/>
    <col min="281" max="285" width="10.7109375" style="13" customWidth="1"/>
    <col min="286" max="286" width="10.42578125" style="13" customWidth="1"/>
    <col min="287" max="289" width="8.85546875" style="13" customWidth="1"/>
    <col min="290" max="291" width="10.140625" style="13" customWidth="1"/>
    <col min="292" max="294" width="9.5703125" style="13" customWidth="1"/>
    <col min="295" max="295" width="10.140625" style="13" customWidth="1"/>
    <col min="296" max="300" width="0" style="13" hidden="1" customWidth="1"/>
    <col min="301" max="301" width="10.140625" style="13" customWidth="1"/>
    <col min="302" max="304" width="9.5703125" style="13" customWidth="1"/>
    <col min="305" max="305" width="10.140625" style="13" customWidth="1"/>
    <col min="306" max="317" width="0" style="13" hidden="1" customWidth="1"/>
    <col min="318" max="318" width="10.140625" style="13" customWidth="1"/>
    <col min="319" max="320" width="9.85546875" style="13" customWidth="1"/>
    <col min="321" max="321" width="12.5703125" style="13" customWidth="1"/>
    <col min="322" max="322" width="9.85546875" style="13" customWidth="1"/>
    <col min="323" max="323" width="12.5703125" style="13" customWidth="1"/>
    <col min="324" max="324" width="10.140625" style="13" customWidth="1"/>
    <col min="325" max="325" width="9.42578125" style="13" customWidth="1"/>
    <col min="326" max="522" width="9.140625" style="13"/>
    <col min="523" max="523" width="5.140625" style="13" customWidth="1"/>
    <col min="524" max="524" width="24" style="13" customWidth="1"/>
    <col min="525" max="525" width="7.7109375" style="13" customWidth="1"/>
    <col min="526" max="526" width="9" style="13" customWidth="1"/>
    <col min="527" max="529" width="9.140625" style="13" customWidth="1"/>
    <col min="530" max="530" width="10.140625" style="13" customWidth="1"/>
    <col min="531" max="531" width="10.7109375" style="13" customWidth="1"/>
    <col min="532" max="532" width="10" style="13" customWidth="1"/>
    <col min="533" max="533" width="9.42578125" style="13" customWidth="1"/>
    <col min="534" max="535" width="10.7109375" style="13" customWidth="1"/>
    <col min="536" max="536" width="9.28515625" style="13" customWidth="1"/>
    <col min="537" max="541" width="10.7109375" style="13" customWidth="1"/>
    <col min="542" max="542" width="10.42578125" style="13" customWidth="1"/>
    <col min="543" max="545" width="8.85546875" style="13" customWidth="1"/>
    <col min="546" max="547" width="10.140625" style="13" customWidth="1"/>
    <col min="548" max="550" width="9.5703125" style="13" customWidth="1"/>
    <col min="551" max="551" width="10.140625" style="13" customWidth="1"/>
    <col min="552" max="556" width="0" style="13" hidden="1" customWidth="1"/>
    <col min="557" max="557" width="10.140625" style="13" customWidth="1"/>
    <col min="558" max="560" width="9.5703125" style="13" customWidth="1"/>
    <col min="561" max="561" width="10.140625" style="13" customWidth="1"/>
    <col min="562" max="573" width="0" style="13" hidden="1" customWidth="1"/>
    <col min="574" max="574" width="10.140625" style="13" customWidth="1"/>
    <col min="575" max="576" width="9.85546875" style="13" customWidth="1"/>
    <col min="577" max="577" width="12.5703125" style="13" customWidth="1"/>
    <col min="578" max="578" width="9.85546875" style="13" customWidth="1"/>
    <col min="579" max="579" width="12.5703125" style="13" customWidth="1"/>
    <col min="580" max="580" width="10.140625" style="13" customWidth="1"/>
    <col min="581" max="581" width="9.42578125" style="13" customWidth="1"/>
    <col min="582" max="778" width="9.140625" style="13"/>
    <col min="779" max="779" width="5.140625" style="13" customWidth="1"/>
    <col min="780" max="780" width="24" style="13" customWidth="1"/>
    <col min="781" max="781" width="7.7109375" style="13" customWidth="1"/>
    <col min="782" max="782" width="9" style="13" customWidth="1"/>
    <col min="783" max="785" width="9.140625" style="13" customWidth="1"/>
    <col min="786" max="786" width="10.140625" style="13" customWidth="1"/>
    <col min="787" max="787" width="10.7109375" style="13" customWidth="1"/>
    <col min="788" max="788" width="10" style="13" customWidth="1"/>
    <col min="789" max="789" width="9.42578125" style="13" customWidth="1"/>
    <col min="790" max="791" width="10.7109375" style="13" customWidth="1"/>
    <col min="792" max="792" width="9.28515625" style="13" customWidth="1"/>
    <col min="793" max="797" width="10.7109375" style="13" customWidth="1"/>
    <col min="798" max="798" width="10.42578125" style="13" customWidth="1"/>
    <col min="799" max="801" width="8.85546875" style="13" customWidth="1"/>
    <col min="802" max="803" width="10.140625" style="13" customWidth="1"/>
    <col min="804" max="806" width="9.5703125" style="13" customWidth="1"/>
    <col min="807" max="807" width="10.140625" style="13" customWidth="1"/>
    <col min="808" max="812" width="0" style="13" hidden="1" customWidth="1"/>
    <col min="813" max="813" width="10.140625" style="13" customWidth="1"/>
    <col min="814" max="816" width="9.5703125" style="13" customWidth="1"/>
    <col min="817" max="817" width="10.140625" style="13" customWidth="1"/>
    <col min="818" max="829" width="0" style="13" hidden="1" customWidth="1"/>
    <col min="830" max="830" width="10.140625" style="13" customWidth="1"/>
    <col min="831" max="832" width="9.85546875" style="13" customWidth="1"/>
    <col min="833" max="833" width="12.5703125" style="13" customWidth="1"/>
    <col min="834" max="834" width="9.85546875" style="13" customWidth="1"/>
    <col min="835" max="835" width="12.5703125" style="13" customWidth="1"/>
    <col min="836" max="836" width="10.140625" style="13" customWidth="1"/>
    <col min="837" max="837" width="9.42578125" style="13" customWidth="1"/>
    <col min="838" max="1034" width="9.140625" style="13"/>
    <col min="1035" max="1035" width="5.140625" style="13" customWidth="1"/>
    <col min="1036" max="1036" width="24" style="13" customWidth="1"/>
    <col min="1037" max="1037" width="7.7109375" style="13" customWidth="1"/>
    <col min="1038" max="1038" width="9" style="13" customWidth="1"/>
    <col min="1039" max="1041" width="9.140625" style="13" customWidth="1"/>
    <col min="1042" max="1042" width="10.140625" style="13" customWidth="1"/>
    <col min="1043" max="1043" width="10.7109375" style="13" customWidth="1"/>
    <col min="1044" max="1044" width="10" style="13" customWidth="1"/>
    <col min="1045" max="1045" width="9.42578125" style="13" customWidth="1"/>
    <col min="1046" max="1047" width="10.7109375" style="13" customWidth="1"/>
    <col min="1048" max="1048" width="9.28515625" style="13" customWidth="1"/>
    <col min="1049" max="1053" width="10.7109375" style="13" customWidth="1"/>
    <col min="1054" max="1054" width="10.42578125" style="13" customWidth="1"/>
    <col min="1055" max="1057" width="8.85546875" style="13" customWidth="1"/>
    <col min="1058" max="1059" width="10.140625" style="13" customWidth="1"/>
    <col min="1060" max="1062" width="9.5703125" style="13" customWidth="1"/>
    <col min="1063" max="1063" width="10.140625" style="13" customWidth="1"/>
    <col min="1064" max="1068" width="0" style="13" hidden="1" customWidth="1"/>
    <col min="1069" max="1069" width="10.140625" style="13" customWidth="1"/>
    <col min="1070" max="1072" width="9.5703125" style="13" customWidth="1"/>
    <col min="1073" max="1073" width="10.140625" style="13" customWidth="1"/>
    <col min="1074" max="1085" width="0" style="13" hidden="1" customWidth="1"/>
    <col min="1086" max="1086" width="10.140625" style="13" customWidth="1"/>
    <col min="1087" max="1088" width="9.85546875" style="13" customWidth="1"/>
    <col min="1089" max="1089" width="12.5703125" style="13" customWidth="1"/>
    <col min="1090" max="1090" width="9.85546875" style="13" customWidth="1"/>
    <col min="1091" max="1091" width="12.5703125" style="13" customWidth="1"/>
    <col min="1092" max="1092" width="10.140625" style="13" customWidth="1"/>
    <col min="1093" max="1093" width="9.42578125" style="13" customWidth="1"/>
    <col min="1094" max="1290" width="9.140625" style="13"/>
    <col min="1291" max="1291" width="5.140625" style="13" customWidth="1"/>
    <col min="1292" max="1292" width="24" style="13" customWidth="1"/>
    <col min="1293" max="1293" width="7.7109375" style="13" customWidth="1"/>
    <col min="1294" max="1294" width="9" style="13" customWidth="1"/>
    <col min="1295" max="1297" width="9.140625" style="13" customWidth="1"/>
    <col min="1298" max="1298" width="10.140625" style="13" customWidth="1"/>
    <col min="1299" max="1299" width="10.7109375" style="13" customWidth="1"/>
    <col min="1300" max="1300" width="10" style="13" customWidth="1"/>
    <col min="1301" max="1301" width="9.42578125" style="13" customWidth="1"/>
    <col min="1302" max="1303" width="10.7109375" style="13" customWidth="1"/>
    <col min="1304" max="1304" width="9.28515625" style="13" customWidth="1"/>
    <col min="1305" max="1309" width="10.7109375" style="13" customWidth="1"/>
    <col min="1310" max="1310" width="10.42578125" style="13" customWidth="1"/>
    <col min="1311" max="1313" width="8.85546875" style="13" customWidth="1"/>
    <col min="1314" max="1315" width="10.140625" style="13" customWidth="1"/>
    <col min="1316" max="1318" width="9.5703125" style="13" customWidth="1"/>
    <col min="1319" max="1319" width="10.140625" style="13" customWidth="1"/>
    <col min="1320" max="1324" width="0" style="13" hidden="1" customWidth="1"/>
    <col min="1325" max="1325" width="10.140625" style="13" customWidth="1"/>
    <col min="1326" max="1328" width="9.5703125" style="13" customWidth="1"/>
    <col min="1329" max="1329" width="10.140625" style="13" customWidth="1"/>
    <col min="1330" max="1341" width="0" style="13" hidden="1" customWidth="1"/>
    <col min="1342" max="1342" width="10.140625" style="13" customWidth="1"/>
    <col min="1343" max="1344" width="9.85546875" style="13" customWidth="1"/>
    <col min="1345" max="1345" width="12.5703125" style="13" customWidth="1"/>
    <col min="1346" max="1346" width="9.85546875" style="13" customWidth="1"/>
    <col min="1347" max="1347" width="12.5703125" style="13" customWidth="1"/>
    <col min="1348" max="1348" width="10.140625" style="13" customWidth="1"/>
    <col min="1349" max="1349" width="9.42578125" style="13" customWidth="1"/>
    <col min="1350" max="1546" width="9.140625" style="13"/>
    <col min="1547" max="1547" width="5.140625" style="13" customWidth="1"/>
    <col min="1548" max="1548" width="24" style="13" customWidth="1"/>
    <col min="1549" max="1549" width="7.7109375" style="13" customWidth="1"/>
    <col min="1550" max="1550" width="9" style="13" customWidth="1"/>
    <col min="1551" max="1553" width="9.140625" style="13" customWidth="1"/>
    <col min="1554" max="1554" width="10.140625" style="13" customWidth="1"/>
    <col min="1555" max="1555" width="10.7109375" style="13" customWidth="1"/>
    <col min="1556" max="1556" width="10" style="13" customWidth="1"/>
    <col min="1557" max="1557" width="9.42578125" style="13" customWidth="1"/>
    <col min="1558" max="1559" width="10.7109375" style="13" customWidth="1"/>
    <col min="1560" max="1560" width="9.28515625" style="13" customWidth="1"/>
    <col min="1561" max="1565" width="10.7109375" style="13" customWidth="1"/>
    <col min="1566" max="1566" width="10.42578125" style="13" customWidth="1"/>
    <col min="1567" max="1569" width="8.85546875" style="13" customWidth="1"/>
    <col min="1570" max="1571" width="10.140625" style="13" customWidth="1"/>
    <col min="1572" max="1574" width="9.5703125" style="13" customWidth="1"/>
    <col min="1575" max="1575" width="10.140625" style="13" customWidth="1"/>
    <col min="1576" max="1580" width="0" style="13" hidden="1" customWidth="1"/>
    <col min="1581" max="1581" width="10.140625" style="13" customWidth="1"/>
    <col min="1582" max="1584" width="9.5703125" style="13" customWidth="1"/>
    <col min="1585" max="1585" width="10.140625" style="13" customWidth="1"/>
    <col min="1586" max="1597" width="0" style="13" hidden="1" customWidth="1"/>
    <col min="1598" max="1598" width="10.140625" style="13" customWidth="1"/>
    <col min="1599" max="1600" width="9.85546875" style="13" customWidth="1"/>
    <col min="1601" max="1601" width="12.5703125" style="13" customWidth="1"/>
    <col min="1602" max="1602" width="9.85546875" style="13" customWidth="1"/>
    <col min="1603" max="1603" width="12.5703125" style="13" customWidth="1"/>
    <col min="1604" max="1604" width="10.140625" style="13" customWidth="1"/>
    <col min="1605" max="1605" width="9.42578125" style="13" customWidth="1"/>
    <col min="1606" max="1802" width="9.140625" style="13"/>
    <col min="1803" max="1803" width="5.140625" style="13" customWidth="1"/>
    <col min="1804" max="1804" width="24" style="13" customWidth="1"/>
    <col min="1805" max="1805" width="7.7109375" style="13" customWidth="1"/>
    <col min="1806" max="1806" width="9" style="13" customWidth="1"/>
    <col min="1807" max="1809" width="9.140625" style="13" customWidth="1"/>
    <col min="1810" max="1810" width="10.140625" style="13" customWidth="1"/>
    <col min="1811" max="1811" width="10.7109375" style="13" customWidth="1"/>
    <col min="1812" max="1812" width="10" style="13" customWidth="1"/>
    <col min="1813" max="1813" width="9.42578125" style="13" customWidth="1"/>
    <col min="1814" max="1815" width="10.7109375" style="13" customWidth="1"/>
    <col min="1816" max="1816" width="9.28515625" style="13" customWidth="1"/>
    <col min="1817" max="1821" width="10.7109375" style="13" customWidth="1"/>
    <col min="1822" max="1822" width="10.42578125" style="13" customWidth="1"/>
    <col min="1823" max="1825" width="8.85546875" style="13" customWidth="1"/>
    <col min="1826" max="1827" width="10.140625" style="13" customWidth="1"/>
    <col min="1828" max="1830" width="9.5703125" style="13" customWidth="1"/>
    <col min="1831" max="1831" width="10.140625" style="13" customWidth="1"/>
    <col min="1832" max="1836" width="0" style="13" hidden="1" customWidth="1"/>
    <col min="1837" max="1837" width="10.140625" style="13" customWidth="1"/>
    <col min="1838" max="1840" width="9.5703125" style="13" customWidth="1"/>
    <col min="1841" max="1841" width="10.140625" style="13" customWidth="1"/>
    <col min="1842" max="1853" width="0" style="13" hidden="1" customWidth="1"/>
    <col min="1854" max="1854" width="10.140625" style="13" customWidth="1"/>
    <col min="1855" max="1856" width="9.85546875" style="13" customWidth="1"/>
    <col min="1857" max="1857" width="12.5703125" style="13" customWidth="1"/>
    <col min="1858" max="1858" width="9.85546875" style="13" customWidth="1"/>
    <col min="1859" max="1859" width="12.5703125" style="13" customWidth="1"/>
    <col min="1860" max="1860" width="10.140625" style="13" customWidth="1"/>
    <col min="1861" max="1861" width="9.42578125" style="13" customWidth="1"/>
    <col min="1862" max="2058" width="9.140625" style="13"/>
    <col min="2059" max="2059" width="5.140625" style="13" customWidth="1"/>
    <col min="2060" max="2060" width="24" style="13" customWidth="1"/>
    <col min="2061" max="2061" width="7.7109375" style="13" customWidth="1"/>
    <col min="2062" max="2062" width="9" style="13" customWidth="1"/>
    <col min="2063" max="2065" width="9.140625" style="13" customWidth="1"/>
    <col min="2066" max="2066" width="10.140625" style="13" customWidth="1"/>
    <col min="2067" max="2067" width="10.7109375" style="13" customWidth="1"/>
    <col min="2068" max="2068" width="10" style="13" customWidth="1"/>
    <col min="2069" max="2069" width="9.42578125" style="13" customWidth="1"/>
    <col min="2070" max="2071" width="10.7109375" style="13" customWidth="1"/>
    <col min="2072" max="2072" width="9.28515625" style="13" customWidth="1"/>
    <col min="2073" max="2077" width="10.7109375" style="13" customWidth="1"/>
    <col min="2078" max="2078" width="10.42578125" style="13" customWidth="1"/>
    <col min="2079" max="2081" width="8.85546875" style="13" customWidth="1"/>
    <col min="2082" max="2083" width="10.140625" style="13" customWidth="1"/>
    <col min="2084" max="2086" width="9.5703125" style="13" customWidth="1"/>
    <col min="2087" max="2087" width="10.140625" style="13" customWidth="1"/>
    <col min="2088" max="2092" width="0" style="13" hidden="1" customWidth="1"/>
    <col min="2093" max="2093" width="10.140625" style="13" customWidth="1"/>
    <col min="2094" max="2096" width="9.5703125" style="13" customWidth="1"/>
    <col min="2097" max="2097" width="10.140625" style="13" customWidth="1"/>
    <col min="2098" max="2109" width="0" style="13" hidden="1" customWidth="1"/>
    <col min="2110" max="2110" width="10.140625" style="13" customWidth="1"/>
    <col min="2111" max="2112" width="9.85546875" style="13" customWidth="1"/>
    <col min="2113" max="2113" width="12.5703125" style="13" customWidth="1"/>
    <col min="2114" max="2114" width="9.85546875" style="13" customWidth="1"/>
    <col min="2115" max="2115" width="12.5703125" style="13" customWidth="1"/>
    <col min="2116" max="2116" width="10.140625" style="13" customWidth="1"/>
    <col min="2117" max="2117" width="9.42578125" style="13" customWidth="1"/>
    <col min="2118" max="2314" width="9.140625" style="13"/>
    <col min="2315" max="2315" width="5.140625" style="13" customWidth="1"/>
    <col min="2316" max="2316" width="24" style="13" customWidth="1"/>
    <col min="2317" max="2317" width="7.7109375" style="13" customWidth="1"/>
    <col min="2318" max="2318" width="9" style="13" customWidth="1"/>
    <col min="2319" max="2321" width="9.140625" style="13" customWidth="1"/>
    <col min="2322" max="2322" width="10.140625" style="13" customWidth="1"/>
    <col min="2323" max="2323" width="10.7109375" style="13" customWidth="1"/>
    <col min="2324" max="2324" width="10" style="13" customWidth="1"/>
    <col min="2325" max="2325" width="9.42578125" style="13" customWidth="1"/>
    <col min="2326" max="2327" width="10.7109375" style="13" customWidth="1"/>
    <col min="2328" max="2328" width="9.28515625" style="13" customWidth="1"/>
    <col min="2329" max="2333" width="10.7109375" style="13" customWidth="1"/>
    <col min="2334" max="2334" width="10.42578125" style="13" customWidth="1"/>
    <col min="2335" max="2337" width="8.85546875" style="13" customWidth="1"/>
    <col min="2338" max="2339" width="10.140625" style="13" customWidth="1"/>
    <col min="2340" max="2342" width="9.5703125" style="13" customWidth="1"/>
    <col min="2343" max="2343" width="10.140625" style="13" customWidth="1"/>
    <col min="2344" max="2348" width="0" style="13" hidden="1" customWidth="1"/>
    <col min="2349" max="2349" width="10.140625" style="13" customWidth="1"/>
    <col min="2350" max="2352" width="9.5703125" style="13" customWidth="1"/>
    <col min="2353" max="2353" width="10.140625" style="13" customWidth="1"/>
    <col min="2354" max="2365" width="0" style="13" hidden="1" customWidth="1"/>
    <col min="2366" max="2366" width="10.140625" style="13" customWidth="1"/>
    <col min="2367" max="2368" width="9.85546875" style="13" customWidth="1"/>
    <col min="2369" max="2369" width="12.5703125" style="13" customWidth="1"/>
    <col min="2370" max="2370" width="9.85546875" style="13" customWidth="1"/>
    <col min="2371" max="2371" width="12.5703125" style="13" customWidth="1"/>
    <col min="2372" max="2372" width="10.140625" style="13" customWidth="1"/>
    <col min="2373" max="2373" width="9.42578125" style="13" customWidth="1"/>
    <col min="2374" max="2570" width="9.140625" style="13"/>
    <col min="2571" max="2571" width="5.140625" style="13" customWidth="1"/>
    <col min="2572" max="2572" width="24" style="13" customWidth="1"/>
    <col min="2573" max="2573" width="7.7109375" style="13" customWidth="1"/>
    <col min="2574" max="2574" width="9" style="13" customWidth="1"/>
    <col min="2575" max="2577" width="9.140625" style="13" customWidth="1"/>
    <col min="2578" max="2578" width="10.140625" style="13" customWidth="1"/>
    <col min="2579" max="2579" width="10.7109375" style="13" customWidth="1"/>
    <col min="2580" max="2580" width="10" style="13" customWidth="1"/>
    <col min="2581" max="2581" width="9.42578125" style="13" customWidth="1"/>
    <col min="2582" max="2583" width="10.7109375" style="13" customWidth="1"/>
    <col min="2584" max="2584" width="9.28515625" style="13" customWidth="1"/>
    <col min="2585" max="2589" width="10.7109375" style="13" customWidth="1"/>
    <col min="2590" max="2590" width="10.42578125" style="13" customWidth="1"/>
    <col min="2591" max="2593" width="8.85546875" style="13" customWidth="1"/>
    <col min="2594" max="2595" width="10.140625" style="13" customWidth="1"/>
    <col min="2596" max="2598" width="9.5703125" style="13" customWidth="1"/>
    <col min="2599" max="2599" width="10.140625" style="13" customWidth="1"/>
    <col min="2600" max="2604" width="0" style="13" hidden="1" customWidth="1"/>
    <col min="2605" max="2605" width="10.140625" style="13" customWidth="1"/>
    <col min="2606" max="2608" width="9.5703125" style="13" customWidth="1"/>
    <col min="2609" max="2609" width="10.140625" style="13" customWidth="1"/>
    <col min="2610" max="2621" width="0" style="13" hidden="1" customWidth="1"/>
    <col min="2622" max="2622" width="10.140625" style="13" customWidth="1"/>
    <col min="2623" max="2624" width="9.85546875" style="13" customWidth="1"/>
    <col min="2625" max="2625" width="12.5703125" style="13" customWidth="1"/>
    <col min="2626" max="2626" width="9.85546875" style="13" customWidth="1"/>
    <col min="2627" max="2627" width="12.5703125" style="13" customWidth="1"/>
    <col min="2628" max="2628" width="10.140625" style="13" customWidth="1"/>
    <col min="2629" max="2629" width="9.42578125" style="13" customWidth="1"/>
    <col min="2630" max="2826" width="9.140625" style="13"/>
    <col min="2827" max="2827" width="5.140625" style="13" customWidth="1"/>
    <col min="2828" max="2828" width="24" style="13" customWidth="1"/>
    <col min="2829" max="2829" width="7.7109375" style="13" customWidth="1"/>
    <col min="2830" max="2830" width="9" style="13" customWidth="1"/>
    <col min="2831" max="2833" width="9.140625" style="13" customWidth="1"/>
    <col min="2834" max="2834" width="10.140625" style="13" customWidth="1"/>
    <col min="2835" max="2835" width="10.7109375" style="13" customWidth="1"/>
    <col min="2836" max="2836" width="10" style="13" customWidth="1"/>
    <col min="2837" max="2837" width="9.42578125" style="13" customWidth="1"/>
    <col min="2838" max="2839" width="10.7109375" style="13" customWidth="1"/>
    <col min="2840" max="2840" width="9.28515625" style="13" customWidth="1"/>
    <col min="2841" max="2845" width="10.7109375" style="13" customWidth="1"/>
    <col min="2846" max="2846" width="10.42578125" style="13" customWidth="1"/>
    <col min="2847" max="2849" width="8.85546875" style="13" customWidth="1"/>
    <col min="2850" max="2851" width="10.140625" style="13" customWidth="1"/>
    <col min="2852" max="2854" width="9.5703125" style="13" customWidth="1"/>
    <col min="2855" max="2855" width="10.140625" style="13" customWidth="1"/>
    <col min="2856" max="2860" width="0" style="13" hidden="1" customWidth="1"/>
    <col min="2861" max="2861" width="10.140625" style="13" customWidth="1"/>
    <col min="2862" max="2864" width="9.5703125" style="13" customWidth="1"/>
    <col min="2865" max="2865" width="10.140625" style="13" customWidth="1"/>
    <col min="2866" max="2877" width="0" style="13" hidden="1" customWidth="1"/>
    <col min="2878" max="2878" width="10.140625" style="13" customWidth="1"/>
    <col min="2879" max="2880" width="9.85546875" style="13" customWidth="1"/>
    <col min="2881" max="2881" width="12.5703125" style="13" customWidth="1"/>
    <col min="2882" max="2882" width="9.85546875" style="13" customWidth="1"/>
    <col min="2883" max="2883" width="12.5703125" style="13" customWidth="1"/>
    <col min="2884" max="2884" width="10.140625" style="13" customWidth="1"/>
    <col min="2885" max="2885" width="9.42578125" style="13" customWidth="1"/>
    <col min="2886" max="3082" width="9.140625" style="13"/>
    <col min="3083" max="3083" width="5.140625" style="13" customWidth="1"/>
    <col min="3084" max="3084" width="24" style="13" customWidth="1"/>
    <col min="3085" max="3085" width="7.7109375" style="13" customWidth="1"/>
    <col min="3086" max="3086" width="9" style="13" customWidth="1"/>
    <col min="3087" max="3089" width="9.140625" style="13" customWidth="1"/>
    <col min="3090" max="3090" width="10.140625" style="13" customWidth="1"/>
    <col min="3091" max="3091" width="10.7109375" style="13" customWidth="1"/>
    <col min="3092" max="3092" width="10" style="13" customWidth="1"/>
    <col min="3093" max="3093" width="9.42578125" style="13" customWidth="1"/>
    <col min="3094" max="3095" width="10.7109375" style="13" customWidth="1"/>
    <col min="3096" max="3096" width="9.28515625" style="13" customWidth="1"/>
    <col min="3097" max="3101" width="10.7109375" style="13" customWidth="1"/>
    <col min="3102" max="3102" width="10.42578125" style="13" customWidth="1"/>
    <col min="3103" max="3105" width="8.85546875" style="13" customWidth="1"/>
    <col min="3106" max="3107" width="10.140625" style="13" customWidth="1"/>
    <col min="3108" max="3110" width="9.5703125" style="13" customWidth="1"/>
    <col min="3111" max="3111" width="10.140625" style="13" customWidth="1"/>
    <col min="3112" max="3116" width="0" style="13" hidden="1" customWidth="1"/>
    <col min="3117" max="3117" width="10.140625" style="13" customWidth="1"/>
    <col min="3118" max="3120" width="9.5703125" style="13" customWidth="1"/>
    <col min="3121" max="3121" width="10.140625" style="13" customWidth="1"/>
    <col min="3122" max="3133" width="0" style="13" hidden="1" customWidth="1"/>
    <col min="3134" max="3134" width="10.140625" style="13" customWidth="1"/>
    <col min="3135" max="3136" width="9.85546875" style="13" customWidth="1"/>
    <col min="3137" max="3137" width="12.5703125" style="13" customWidth="1"/>
    <col min="3138" max="3138" width="9.85546875" style="13" customWidth="1"/>
    <col min="3139" max="3139" width="12.5703125" style="13" customWidth="1"/>
    <col min="3140" max="3140" width="10.140625" style="13" customWidth="1"/>
    <col min="3141" max="3141" width="9.42578125" style="13" customWidth="1"/>
    <col min="3142" max="3338" width="9.140625" style="13"/>
    <col min="3339" max="3339" width="5.140625" style="13" customWidth="1"/>
    <col min="3340" max="3340" width="24" style="13" customWidth="1"/>
    <col min="3341" max="3341" width="7.7109375" style="13" customWidth="1"/>
    <col min="3342" max="3342" width="9" style="13" customWidth="1"/>
    <col min="3343" max="3345" width="9.140625" style="13" customWidth="1"/>
    <col min="3346" max="3346" width="10.140625" style="13" customWidth="1"/>
    <col min="3347" max="3347" width="10.7109375" style="13" customWidth="1"/>
    <col min="3348" max="3348" width="10" style="13" customWidth="1"/>
    <col min="3349" max="3349" width="9.42578125" style="13" customWidth="1"/>
    <col min="3350" max="3351" width="10.7109375" style="13" customWidth="1"/>
    <col min="3352" max="3352" width="9.28515625" style="13" customWidth="1"/>
    <col min="3353" max="3357" width="10.7109375" style="13" customWidth="1"/>
    <col min="3358" max="3358" width="10.42578125" style="13" customWidth="1"/>
    <col min="3359" max="3361" width="8.85546875" style="13" customWidth="1"/>
    <col min="3362" max="3363" width="10.140625" style="13" customWidth="1"/>
    <col min="3364" max="3366" width="9.5703125" style="13" customWidth="1"/>
    <col min="3367" max="3367" width="10.140625" style="13" customWidth="1"/>
    <col min="3368" max="3372" width="0" style="13" hidden="1" customWidth="1"/>
    <col min="3373" max="3373" width="10.140625" style="13" customWidth="1"/>
    <col min="3374" max="3376" width="9.5703125" style="13" customWidth="1"/>
    <col min="3377" max="3377" width="10.140625" style="13" customWidth="1"/>
    <col min="3378" max="3389" width="0" style="13" hidden="1" customWidth="1"/>
    <col min="3390" max="3390" width="10.140625" style="13" customWidth="1"/>
    <col min="3391" max="3392" width="9.85546875" style="13" customWidth="1"/>
    <col min="3393" max="3393" width="12.5703125" style="13" customWidth="1"/>
    <col min="3394" max="3394" width="9.85546875" style="13" customWidth="1"/>
    <col min="3395" max="3395" width="12.5703125" style="13" customWidth="1"/>
    <col min="3396" max="3396" width="10.140625" style="13" customWidth="1"/>
    <col min="3397" max="3397" width="9.42578125" style="13" customWidth="1"/>
    <col min="3398" max="3594" width="9.140625" style="13"/>
    <col min="3595" max="3595" width="5.140625" style="13" customWidth="1"/>
    <col min="3596" max="3596" width="24" style="13" customWidth="1"/>
    <col min="3597" max="3597" width="7.7109375" style="13" customWidth="1"/>
    <col min="3598" max="3598" width="9" style="13" customWidth="1"/>
    <col min="3599" max="3601" width="9.140625" style="13" customWidth="1"/>
    <col min="3602" max="3602" width="10.140625" style="13" customWidth="1"/>
    <col min="3603" max="3603" width="10.7109375" style="13" customWidth="1"/>
    <col min="3604" max="3604" width="10" style="13" customWidth="1"/>
    <col min="3605" max="3605" width="9.42578125" style="13" customWidth="1"/>
    <col min="3606" max="3607" width="10.7109375" style="13" customWidth="1"/>
    <col min="3608" max="3608" width="9.28515625" style="13" customWidth="1"/>
    <col min="3609" max="3613" width="10.7109375" style="13" customWidth="1"/>
    <col min="3614" max="3614" width="10.42578125" style="13" customWidth="1"/>
    <col min="3615" max="3617" width="8.85546875" style="13" customWidth="1"/>
    <col min="3618" max="3619" width="10.140625" style="13" customWidth="1"/>
    <col min="3620" max="3622" width="9.5703125" style="13" customWidth="1"/>
    <col min="3623" max="3623" width="10.140625" style="13" customWidth="1"/>
    <col min="3624" max="3628" width="0" style="13" hidden="1" customWidth="1"/>
    <col min="3629" max="3629" width="10.140625" style="13" customWidth="1"/>
    <col min="3630" max="3632" width="9.5703125" style="13" customWidth="1"/>
    <col min="3633" max="3633" width="10.140625" style="13" customWidth="1"/>
    <col min="3634" max="3645" width="0" style="13" hidden="1" customWidth="1"/>
    <col min="3646" max="3646" width="10.140625" style="13" customWidth="1"/>
    <col min="3647" max="3648" width="9.85546875" style="13" customWidth="1"/>
    <col min="3649" max="3649" width="12.5703125" style="13" customWidth="1"/>
    <col min="3650" max="3650" width="9.85546875" style="13" customWidth="1"/>
    <col min="3651" max="3651" width="12.5703125" style="13" customWidth="1"/>
    <col min="3652" max="3652" width="10.140625" style="13" customWidth="1"/>
    <col min="3653" max="3653" width="9.42578125" style="13" customWidth="1"/>
    <col min="3654" max="3850" width="9.140625" style="13"/>
    <col min="3851" max="3851" width="5.140625" style="13" customWidth="1"/>
    <col min="3852" max="3852" width="24" style="13" customWidth="1"/>
    <col min="3853" max="3853" width="7.7109375" style="13" customWidth="1"/>
    <col min="3854" max="3854" width="9" style="13" customWidth="1"/>
    <col min="3855" max="3857" width="9.140625" style="13" customWidth="1"/>
    <col min="3858" max="3858" width="10.140625" style="13" customWidth="1"/>
    <col min="3859" max="3859" width="10.7109375" style="13" customWidth="1"/>
    <col min="3860" max="3860" width="10" style="13" customWidth="1"/>
    <col min="3861" max="3861" width="9.42578125" style="13" customWidth="1"/>
    <col min="3862" max="3863" width="10.7109375" style="13" customWidth="1"/>
    <col min="3864" max="3864" width="9.28515625" style="13" customWidth="1"/>
    <col min="3865" max="3869" width="10.7109375" style="13" customWidth="1"/>
    <col min="3870" max="3870" width="10.42578125" style="13" customWidth="1"/>
    <col min="3871" max="3873" width="8.85546875" style="13" customWidth="1"/>
    <col min="3874" max="3875" width="10.140625" style="13" customWidth="1"/>
    <col min="3876" max="3878" width="9.5703125" style="13" customWidth="1"/>
    <col min="3879" max="3879" width="10.140625" style="13" customWidth="1"/>
    <col min="3880" max="3884" width="0" style="13" hidden="1" customWidth="1"/>
    <col min="3885" max="3885" width="10.140625" style="13" customWidth="1"/>
    <col min="3886" max="3888" width="9.5703125" style="13" customWidth="1"/>
    <col min="3889" max="3889" width="10.140625" style="13" customWidth="1"/>
    <col min="3890" max="3901" width="0" style="13" hidden="1" customWidth="1"/>
    <col min="3902" max="3902" width="10.140625" style="13" customWidth="1"/>
    <col min="3903" max="3904" width="9.85546875" style="13" customWidth="1"/>
    <col min="3905" max="3905" width="12.5703125" style="13" customWidth="1"/>
    <col min="3906" max="3906" width="9.85546875" style="13" customWidth="1"/>
    <col min="3907" max="3907" width="12.5703125" style="13" customWidth="1"/>
    <col min="3908" max="3908" width="10.140625" style="13" customWidth="1"/>
    <col min="3909" max="3909" width="9.42578125" style="13" customWidth="1"/>
    <col min="3910" max="4106" width="9.140625" style="13"/>
    <col min="4107" max="4107" width="5.140625" style="13" customWidth="1"/>
    <col min="4108" max="4108" width="24" style="13" customWidth="1"/>
    <col min="4109" max="4109" width="7.7109375" style="13" customWidth="1"/>
    <col min="4110" max="4110" width="9" style="13" customWidth="1"/>
    <col min="4111" max="4113" width="9.140625" style="13" customWidth="1"/>
    <col min="4114" max="4114" width="10.140625" style="13" customWidth="1"/>
    <col min="4115" max="4115" width="10.7109375" style="13" customWidth="1"/>
    <col min="4116" max="4116" width="10" style="13" customWidth="1"/>
    <col min="4117" max="4117" width="9.42578125" style="13" customWidth="1"/>
    <col min="4118" max="4119" width="10.7109375" style="13" customWidth="1"/>
    <col min="4120" max="4120" width="9.28515625" style="13" customWidth="1"/>
    <col min="4121" max="4125" width="10.7109375" style="13" customWidth="1"/>
    <col min="4126" max="4126" width="10.42578125" style="13" customWidth="1"/>
    <col min="4127" max="4129" width="8.85546875" style="13" customWidth="1"/>
    <col min="4130" max="4131" width="10.140625" style="13" customWidth="1"/>
    <col min="4132" max="4134" width="9.5703125" style="13" customWidth="1"/>
    <col min="4135" max="4135" width="10.140625" style="13" customWidth="1"/>
    <col min="4136" max="4140" width="0" style="13" hidden="1" customWidth="1"/>
    <col min="4141" max="4141" width="10.140625" style="13" customWidth="1"/>
    <col min="4142" max="4144" width="9.5703125" style="13" customWidth="1"/>
    <col min="4145" max="4145" width="10.140625" style="13" customWidth="1"/>
    <col min="4146" max="4157" width="0" style="13" hidden="1" customWidth="1"/>
    <col min="4158" max="4158" width="10.140625" style="13" customWidth="1"/>
    <col min="4159" max="4160" width="9.85546875" style="13" customWidth="1"/>
    <col min="4161" max="4161" width="12.5703125" style="13" customWidth="1"/>
    <col min="4162" max="4162" width="9.85546875" style="13" customWidth="1"/>
    <col min="4163" max="4163" width="12.5703125" style="13" customWidth="1"/>
    <col min="4164" max="4164" width="10.140625" style="13" customWidth="1"/>
    <col min="4165" max="4165" width="9.42578125" style="13" customWidth="1"/>
    <col min="4166" max="4362" width="9.140625" style="13"/>
    <col min="4363" max="4363" width="5.140625" style="13" customWidth="1"/>
    <col min="4364" max="4364" width="24" style="13" customWidth="1"/>
    <col min="4365" max="4365" width="7.7109375" style="13" customWidth="1"/>
    <col min="4366" max="4366" width="9" style="13" customWidth="1"/>
    <col min="4367" max="4369" width="9.140625" style="13" customWidth="1"/>
    <col min="4370" max="4370" width="10.140625" style="13" customWidth="1"/>
    <col min="4371" max="4371" width="10.7109375" style="13" customWidth="1"/>
    <col min="4372" max="4372" width="10" style="13" customWidth="1"/>
    <col min="4373" max="4373" width="9.42578125" style="13" customWidth="1"/>
    <col min="4374" max="4375" width="10.7109375" style="13" customWidth="1"/>
    <col min="4376" max="4376" width="9.28515625" style="13" customWidth="1"/>
    <col min="4377" max="4381" width="10.7109375" style="13" customWidth="1"/>
    <col min="4382" max="4382" width="10.42578125" style="13" customWidth="1"/>
    <col min="4383" max="4385" width="8.85546875" style="13" customWidth="1"/>
    <col min="4386" max="4387" width="10.140625" style="13" customWidth="1"/>
    <col min="4388" max="4390" width="9.5703125" style="13" customWidth="1"/>
    <col min="4391" max="4391" width="10.140625" style="13" customWidth="1"/>
    <col min="4392" max="4396" width="0" style="13" hidden="1" customWidth="1"/>
    <col min="4397" max="4397" width="10.140625" style="13" customWidth="1"/>
    <col min="4398" max="4400" width="9.5703125" style="13" customWidth="1"/>
    <col min="4401" max="4401" width="10.140625" style="13" customWidth="1"/>
    <col min="4402" max="4413" width="0" style="13" hidden="1" customWidth="1"/>
    <col min="4414" max="4414" width="10.140625" style="13" customWidth="1"/>
    <col min="4415" max="4416" width="9.85546875" style="13" customWidth="1"/>
    <col min="4417" max="4417" width="12.5703125" style="13" customWidth="1"/>
    <col min="4418" max="4418" width="9.85546875" style="13" customWidth="1"/>
    <col min="4419" max="4419" width="12.5703125" style="13" customWidth="1"/>
    <col min="4420" max="4420" width="10.140625" style="13" customWidth="1"/>
    <col min="4421" max="4421" width="9.42578125" style="13" customWidth="1"/>
    <col min="4422" max="4618" width="9.140625" style="13"/>
    <col min="4619" max="4619" width="5.140625" style="13" customWidth="1"/>
    <col min="4620" max="4620" width="24" style="13" customWidth="1"/>
    <col min="4621" max="4621" width="7.7109375" style="13" customWidth="1"/>
    <col min="4622" max="4622" width="9" style="13" customWidth="1"/>
    <col min="4623" max="4625" width="9.140625" style="13" customWidth="1"/>
    <col min="4626" max="4626" width="10.140625" style="13" customWidth="1"/>
    <col min="4627" max="4627" width="10.7109375" style="13" customWidth="1"/>
    <col min="4628" max="4628" width="10" style="13" customWidth="1"/>
    <col min="4629" max="4629" width="9.42578125" style="13" customWidth="1"/>
    <col min="4630" max="4631" width="10.7109375" style="13" customWidth="1"/>
    <col min="4632" max="4632" width="9.28515625" style="13" customWidth="1"/>
    <col min="4633" max="4637" width="10.7109375" style="13" customWidth="1"/>
    <col min="4638" max="4638" width="10.42578125" style="13" customWidth="1"/>
    <col min="4639" max="4641" width="8.85546875" style="13" customWidth="1"/>
    <col min="4642" max="4643" width="10.140625" style="13" customWidth="1"/>
    <col min="4644" max="4646" width="9.5703125" style="13" customWidth="1"/>
    <col min="4647" max="4647" width="10.140625" style="13" customWidth="1"/>
    <col min="4648" max="4652" width="0" style="13" hidden="1" customWidth="1"/>
    <col min="4653" max="4653" width="10.140625" style="13" customWidth="1"/>
    <col min="4654" max="4656" width="9.5703125" style="13" customWidth="1"/>
    <col min="4657" max="4657" width="10.140625" style="13" customWidth="1"/>
    <col min="4658" max="4669" width="0" style="13" hidden="1" customWidth="1"/>
    <col min="4670" max="4670" width="10.140625" style="13" customWidth="1"/>
    <col min="4671" max="4672" width="9.85546875" style="13" customWidth="1"/>
    <col min="4673" max="4673" width="12.5703125" style="13" customWidth="1"/>
    <col min="4674" max="4674" width="9.85546875" style="13" customWidth="1"/>
    <col min="4675" max="4675" width="12.5703125" style="13" customWidth="1"/>
    <col min="4676" max="4676" width="10.140625" style="13" customWidth="1"/>
    <col min="4677" max="4677" width="9.42578125" style="13" customWidth="1"/>
    <col min="4678" max="4874" width="9.140625" style="13"/>
    <col min="4875" max="4875" width="5.140625" style="13" customWidth="1"/>
    <col min="4876" max="4876" width="24" style="13" customWidth="1"/>
    <col min="4877" max="4877" width="7.7109375" style="13" customWidth="1"/>
    <col min="4878" max="4878" width="9" style="13" customWidth="1"/>
    <col min="4879" max="4881" width="9.140625" style="13" customWidth="1"/>
    <col min="4882" max="4882" width="10.140625" style="13" customWidth="1"/>
    <col min="4883" max="4883" width="10.7109375" style="13" customWidth="1"/>
    <col min="4884" max="4884" width="10" style="13" customWidth="1"/>
    <col min="4885" max="4885" width="9.42578125" style="13" customWidth="1"/>
    <col min="4886" max="4887" width="10.7109375" style="13" customWidth="1"/>
    <col min="4888" max="4888" width="9.28515625" style="13" customWidth="1"/>
    <col min="4889" max="4893" width="10.7109375" style="13" customWidth="1"/>
    <col min="4894" max="4894" width="10.42578125" style="13" customWidth="1"/>
    <col min="4895" max="4897" width="8.85546875" style="13" customWidth="1"/>
    <col min="4898" max="4899" width="10.140625" style="13" customWidth="1"/>
    <col min="4900" max="4902" width="9.5703125" style="13" customWidth="1"/>
    <col min="4903" max="4903" width="10.140625" style="13" customWidth="1"/>
    <col min="4904" max="4908" width="0" style="13" hidden="1" customWidth="1"/>
    <col min="4909" max="4909" width="10.140625" style="13" customWidth="1"/>
    <col min="4910" max="4912" width="9.5703125" style="13" customWidth="1"/>
    <col min="4913" max="4913" width="10.140625" style="13" customWidth="1"/>
    <col min="4914" max="4925" width="0" style="13" hidden="1" customWidth="1"/>
    <col min="4926" max="4926" width="10.140625" style="13" customWidth="1"/>
    <col min="4927" max="4928" width="9.85546875" style="13" customWidth="1"/>
    <col min="4929" max="4929" width="12.5703125" style="13" customWidth="1"/>
    <col min="4930" max="4930" width="9.85546875" style="13" customWidth="1"/>
    <col min="4931" max="4931" width="12.5703125" style="13" customWidth="1"/>
    <col min="4932" max="4932" width="10.140625" style="13" customWidth="1"/>
    <col min="4933" max="4933" width="9.42578125" style="13" customWidth="1"/>
    <col min="4934" max="5130" width="9.140625" style="13"/>
    <col min="5131" max="5131" width="5.140625" style="13" customWidth="1"/>
    <col min="5132" max="5132" width="24" style="13" customWidth="1"/>
    <col min="5133" max="5133" width="7.7109375" style="13" customWidth="1"/>
    <col min="5134" max="5134" width="9" style="13" customWidth="1"/>
    <col min="5135" max="5137" width="9.140625" style="13" customWidth="1"/>
    <col min="5138" max="5138" width="10.140625" style="13" customWidth="1"/>
    <col min="5139" max="5139" width="10.7109375" style="13" customWidth="1"/>
    <col min="5140" max="5140" width="10" style="13" customWidth="1"/>
    <col min="5141" max="5141" width="9.42578125" style="13" customWidth="1"/>
    <col min="5142" max="5143" width="10.7109375" style="13" customWidth="1"/>
    <col min="5144" max="5144" width="9.28515625" style="13" customWidth="1"/>
    <col min="5145" max="5149" width="10.7109375" style="13" customWidth="1"/>
    <col min="5150" max="5150" width="10.42578125" style="13" customWidth="1"/>
    <col min="5151" max="5153" width="8.85546875" style="13" customWidth="1"/>
    <col min="5154" max="5155" width="10.140625" style="13" customWidth="1"/>
    <col min="5156" max="5158" width="9.5703125" style="13" customWidth="1"/>
    <col min="5159" max="5159" width="10.140625" style="13" customWidth="1"/>
    <col min="5160" max="5164" width="0" style="13" hidden="1" customWidth="1"/>
    <col min="5165" max="5165" width="10.140625" style="13" customWidth="1"/>
    <col min="5166" max="5168" width="9.5703125" style="13" customWidth="1"/>
    <col min="5169" max="5169" width="10.140625" style="13" customWidth="1"/>
    <col min="5170" max="5181" width="0" style="13" hidden="1" customWidth="1"/>
    <col min="5182" max="5182" width="10.140625" style="13" customWidth="1"/>
    <col min="5183" max="5184" width="9.85546875" style="13" customWidth="1"/>
    <col min="5185" max="5185" width="12.5703125" style="13" customWidth="1"/>
    <col min="5186" max="5186" width="9.85546875" style="13" customWidth="1"/>
    <col min="5187" max="5187" width="12.5703125" style="13" customWidth="1"/>
    <col min="5188" max="5188" width="10.140625" style="13" customWidth="1"/>
    <col min="5189" max="5189" width="9.42578125" style="13" customWidth="1"/>
    <col min="5190" max="5386" width="9.140625" style="13"/>
    <col min="5387" max="5387" width="5.140625" style="13" customWidth="1"/>
    <col min="5388" max="5388" width="24" style="13" customWidth="1"/>
    <col min="5389" max="5389" width="7.7109375" style="13" customWidth="1"/>
    <col min="5390" max="5390" width="9" style="13" customWidth="1"/>
    <col min="5391" max="5393" width="9.140625" style="13" customWidth="1"/>
    <col min="5394" max="5394" width="10.140625" style="13" customWidth="1"/>
    <col min="5395" max="5395" width="10.7109375" style="13" customWidth="1"/>
    <col min="5396" max="5396" width="10" style="13" customWidth="1"/>
    <col min="5397" max="5397" width="9.42578125" style="13" customWidth="1"/>
    <col min="5398" max="5399" width="10.7109375" style="13" customWidth="1"/>
    <col min="5400" max="5400" width="9.28515625" style="13" customWidth="1"/>
    <col min="5401" max="5405" width="10.7109375" style="13" customWidth="1"/>
    <col min="5406" max="5406" width="10.42578125" style="13" customWidth="1"/>
    <col min="5407" max="5409" width="8.85546875" style="13" customWidth="1"/>
    <col min="5410" max="5411" width="10.140625" style="13" customWidth="1"/>
    <col min="5412" max="5414" width="9.5703125" style="13" customWidth="1"/>
    <col min="5415" max="5415" width="10.140625" style="13" customWidth="1"/>
    <col min="5416" max="5420" width="0" style="13" hidden="1" customWidth="1"/>
    <col min="5421" max="5421" width="10.140625" style="13" customWidth="1"/>
    <col min="5422" max="5424" width="9.5703125" style="13" customWidth="1"/>
    <col min="5425" max="5425" width="10.140625" style="13" customWidth="1"/>
    <col min="5426" max="5437" width="0" style="13" hidden="1" customWidth="1"/>
    <col min="5438" max="5438" width="10.140625" style="13" customWidth="1"/>
    <col min="5439" max="5440" width="9.85546875" style="13" customWidth="1"/>
    <col min="5441" max="5441" width="12.5703125" style="13" customWidth="1"/>
    <col min="5442" max="5442" width="9.85546875" style="13" customWidth="1"/>
    <col min="5443" max="5443" width="12.5703125" style="13" customWidth="1"/>
    <col min="5444" max="5444" width="10.140625" style="13" customWidth="1"/>
    <col min="5445" max="5445" width="9.42578125" style="13" customWidth="1"/>
    <col min="5446" max="5642" width="9.140625" style="13"/>
    <col min="5643" max="5643" width="5.140625" style="13" customWidth="1"/>
    <col min="5644" max="5644" width="24" style="13" customWidth="1"/>
    <col min="5645" max="5645" width="7.7109375" style="13" customWidth="1"/>
    <col min="5646" max="5646" width="9" style="13" customWidth="1"/>
    <col min="5647" max="5649" width="9.140625" style="13" customWidth="1"/>
    <col min="5650" max="5650" width="10.140625" style="13" customWidth="1"/>
    <col min="5651" max="5651" width="10.7109375" style="13" customWidth="1"/>
    <col min="5652" max="5652" width="10" style="13" customWidth="1"/>
    <col min="5653" max="5653" width="9.42578125" style="13" customWidth="1"/>
    <col min="5654" max="5655" width="10.7109375" style="13" customWidth="1"/>
    <col min="5656" max="5656" width="9.28515625" style="13" customWidth="1"/>
    <col min="5657" max="5661" width="10.7109375" style="13" customWidth="1"/>
    <col min="5662" max="5662" width="10.42578125" style="13" customWidth="1"/>
    <col min="5663" max="5665" width="8.85546875" style="13" customWidth="1"/>
    <col min="5666" max="5667" width="10.140625" style="13" customWidth="1"/>
    <col min="5668" max="5670" width="9.5703125" style="13" customWidth="1"/>
    <col min="5671" max="5671" width="10.140625" style="13" customWidth="1"/>
    <col min="5672" max="5676" width="0" style="13" hidden="1" customWidth="1"/>
    <col min="5677" max="5677" width="10.140625" style="13" customWidth="1"/>
    <col min="5678" max="5680" width="9.5703125" style="13" customWidth="1"/>
    <col min="5681" max="5681" width="10.140625" style="13" customWidth="1"/>
    <col min="5682" max="5693" width="0" style="13" hidden="1" customWidth="1"/>
    <col min="5694" max="5694" width="10.140625" style="13" customWidth="1"/>
    <col min="5695" max="5696" width="9.85546875" style="13" customWidth="1"/>
    <col min="5697" max="5697" width="12.5703125" style="13" customWidth="1"/>
    <col min="5698" max="5698" width="9.85546875" style="13" customWidth="1"/>
    <col min="5699" max="5699" width="12.5703125" style="13" customWidth="1"/>
    <col min="5700" max="5700" width="10.140625" style="13" customWidth="1"/>
    <col min="5701" max="5701" width="9.42578125" style="13" customWidth="1"/>
    <col min="5702" max="5898" width="9.140625" style="13"/>
    <col min="5899" max="5899" width="5.140625" style="13" customWidth="1"/>
    <col min="5900" max="5900" width="24" style="13" customWidth="1"/>
    <col min="5901" max="5901" width="7.7109375" style="13" customWidth="1"/>
    <col min="5902" max="5902" width="9" style="13" customWidth="1"/>
    <col min="5903" max="5905" width="9.140625" style="13" customWidth="1"/>
    <col min="5906" max="5906" width="10.140625" style="13" customWidth="1"/>
    <col min="5907" max="5907" width="10.7109375" style="13" customWidth="1"/>
    <col min="5908" max="5908" width="10" style="13" customWidth="1"/>
    <col min="5909" max="5909" width="9.42578125" style="13" customWidth="1"/>
    <col min="5910" max="5911" width="10.7109375" style="13" customWidth="1"/>
    <col min="5912" max="5912" width="9.28515625" style="13" customWidth="1"/>
    <col min="5913" max="5917" width="10.7109375" style="13" customWidth="1"/>
    <col min="5918" max="5918" width="10.42578125" style="13" customWidth="1"/>
    <col min="5919" max="5921" width="8.85546875" style="13" customWidth="1"/>
    <col min="5922" max="5923" width="10.140625" style="13" customWidth="1"/>
    <col min="5924" max="5926" width="9.5703125" style="13" customWidth="1"/>
    <col min="5927" max="5927" width="10.140625" style="13" customWidth="1"/>
    <col min="5928" max="5932" width="0" style="13" hidden="1" customWidth="1"/>
    <col min="5933" max="5933" width="10.140625" style="13" customWidth="1"/>
    <col min="5934" max="5936" width="9.5703125" style="13" customWidth="1"/>
    <col min="5937" max="5937" width="10.140625" style="13" customWidth="1"/>
    <col min="5938" max="5949" width="0" style="13" hidden="1" customWidth="1"/>
    <col min="5950" max="5950" width="10.140625" style="13" customWidth="1"/>
    <col min="5951" max="5952" width="9.85546875" style="13" customWidth="1"/>
    <col min="5953" max="5953" width="12.5703125" style="13" customWidth="1"/>
    <col min="5954" max="5954" width="9.85546875" style="13" customWidth="1"/>
    <col min="5955" max="5955" width="12.5703125" style="13" customWidth="1"/>
    <col min="5956" max="5956" width="10.140625" style="13" customWidth="1"/>
    <col min="5957" max="5957" width="9.42578125" style="13" customWidth="1"/>
    <col min="5958" max="6154" width="9.140625" style="13"/>
    <col min="6155" max="6155" width="5.140625" style="13" customWidth="1"/>
    <col min="6156" max="6156" width="24" style="13" customWidth="1"/>
    <col min="6157" max="6157" width="7.7109375" style="13" customWidth="1"/>
    <col min="6158" max="6158" width="9" style="13" customWidth="1"/>
    <col min="6159" max="6161" width="9.140625" style="13" customWidth="1"/>
    <col min="6162" max="6162" width="10.140625" style="13" customWidth="1"/>
    <col min="6163" max="6163" width="10.7109375" style="13" customWidth="1"/>
    <col min="6164" max="6164" width="10" style="13" customWidth="1"/>
    <col min="6165" max="6165" width="9.42578125" style="13" customWidth="1"/>
    <col min="6166" max="6167" width="10.7109375" style="13" customWidth="1"/>
    <col min="6168" max="6168" width="9.28515625" style="13" customWidth="1"/>
    <col min="6169" max="6173" width="10.7109375" style="13" customWidth="1"/>
    <col min="6174" max="6174" width="10.42578125" style="13" customWidth="1"/>
    <col min="6175" max="6177" width="8.85546875" style="13" customWidth="1"/>
    <col min="6178" max="6179" width="10.140625" style="13" customWidth="1"/>
    <col min="6180" max="6182" width="9.5703125" style="13" customWidth="1"/>
    <col min="6183" max="6183" width="10.140625" style="13" customWidth="1"/>
    <col min="6184" max="6188" width="0" style="13" hidden="1" customWidth="1"/>
    <col min="6189" max="6189" width="10.140625" style="13" customWidth="1"/>
    <col min="6190" max="6192" width="9.5703125" style="13" customWidth="1"/>
    <col min="6193" max="6193" width="10.140625" style="13" customWidth="1"/>
    <col min="6194" max="6205" width="0" style="13" hidden="1" customWidth="1"/>
    <col min="6206" max="6206" width="10.140625" style="13" customWidth="1"/>
    <col min="6207" max="6208" width="9.85546875" style="13" customWidth="1"/>
    <col min="6209" max="6209" width="12.5703125" style="13" customWidth="1"/>
    <col min="6210" max="6210" width="9.85546875" style="13" customWidth="1"/>
    <col min="6211" max="6211" width="12.5703125" style="13" customWidth="1"/>
    <col min="6212" max="6212" width="10.140625" style="13" customWidth="1"/>
    <col min="6213" max="6213" width="9.42578125" style="13" customWidth="1"/>
    <col min="6214" max="6410" width="9.140625" style="13"/>
    <col min="6411" max="6411" width="5.140625" style="13" customWidth="1"/>
    <col min="6412" max="6412" width="24" style="13" customWidth="1"/>
    <col min="6413" max="6413" width="7.7109375" style="13" customWidth="1"/>
    <col min="6414" max="6414" width="9" style="13" customWidth="1"/>
    <col min="6415" max="6417" width="9.140625" style="13" customWidth="1"/>
    <col min="6418" max="6418" width="10.140625" style="13" customWidth="1"/>
    <col min="6419" max="6419" width="10.7109375" style="13" customWidth="1"/>
    <col min="6420" max="6420" width="10" style="13" customWidth="1"/>
    <col min="6421" max="6421" width="9.42578125" style="13" customWidth="1"/>
    <col min="6422" max="6423" width="10.7109375" style="13" customWidth="1"/>
    <col min="6424" max="6424" width="9.28515625" style="13" customWidth="1"/>
    <col min="6425" max="6429" width="10.7109375" style="13" customWidth="1"/>
    <col min="6430" max="6430" width="10.42578125" style="13" customWidth="1"/>
    <col min="6431" max="6433" width="8.85546875" style="13" customWidth="1"/>
    <col min="6434" max="6435" width="10.140625" style="13" customWidth="1"/>
    <col min="6436" max="6438" width="9.5703125" style="13" customWidth="1"/>
    <col min="6439" max="6439" width="10.140625" style="13" customWidth="1"/>
    <col min="6440" max="6444" width="0" style="13" hidden="1" customWidth="1"/>
    <col min="6445" max="6445" width="10.140625" style="13" customWidth="1"/>
    <col min="6446" max="6448" width="9.5703125" style="13" customWidth="1"/>
    <col min="6449" max="6449" width="10.140625" style="13" customWidth="1"/>
    <col min="6450" max="6461" width="0" style="13" hidden="1" customWidth="1"/>
    <col min="6462" max="6462" width="10.140625" style="13" customWidth="1"/>
    <col min="6463" max="6464" width="9.85546875" style="13" customWidth="1"/>
    <col min="6465" max="6465" width="12.5703125" style="13" customWidth="1"/>
    <col min="6466" max="6466" width="9.85546875" style="13" customWidth="1"/>
    <col min="6467" max="6467" width="12.5703125" style="13" customWidth="1"/>
    <col min="6468" max="6468" width="10.140625" style="13" customWidth="1"/>
    <col min="6469" max="6469" width="9.42578125" style="13" customWidth="1"/>
    <col min="6470" max="6666" width="9.140625" style="13"/>
    <col min="6667" max="6667" width="5.140625" style="13" customWidth="1"/>
    <col min="6668" max="6668" width="24" style="13" customWidth="1"/>
    <col min="6669" max="6669" width="7.7109375" style="13" customWidth="1"/>
    <col min="6670" max="6670" width="9" style="13" customWidth="1"/>
    <col min="6671" max="6673" width="9.140625" style="13" customWidth="1"/>
    <col min="6674" max="6674" width="10.140625" style="13" customWidth="1"/>
    <col min="6675" max="6675" width="10.7109375" style="13" customWidth="1"/>
    <col min="6676" max="6676" width="10" style="13" customWidth="1"/>
    <col min="6677" max="6677" width="9.42578125" style="13" customWidth="1"/>
    <col min="6678" max="6679" width="10.7109375" style="13" customWidth="1"/>
    <col min="6680" max="6680" width="9.28515625" style="13" customWidth="1"/>
    <col min="6681" max="6685" width="10.7109375" style="13" customWidth="1"/>
    <col min="6686" max="6686" width="10.42578125" style="13" customWidth="1"/>
    <col min="6687" max="6689" width="8.85546875" style="13" customWidth="1"/>
    <col min="6690" max="6691" width="10.140625" style="13" customWidth="1"/>
    <col min="6692" max="6694" width="9.5703125" style="13" customWidth="1"/>
    <col min="6695" max="6695" width="10.140625" style="13" customWidth="1"/>
    <col min="6696" max="6700" width="0" style="13" hidden="1" customWidth="1"/>
    <col min="6701" max="6701" width="10.140625" style="13" customWidth="1"/>
    <col min="6702" max="6704" width="9.5703125" style="13" customWidth="1"/>
    <col min="6705" max="6705" width="10.140625" style="13" customWidth="1"/>
    <col min="6706" max="6717" width="0" style="13" hidden="1" customWidth="1"/>
    <col min="6718" max="6718" width="10.140625" style="13" customWidth="1"/>
    <col min="6719" max="6720" width="9.85546875" style="13" customWidth="1"/>
    <col min="6721" max="6721" width="12.5703125" style="13" customWidth="1"/>
    <col min="6722" max="6722" width="9.85546875" style="13" customWidth="1"/>
    <col min="6723" max="6723" width="12.5703125" style="13" customWidth="1"/>
    <col min="6724" max="6724" width="10.140625" style="13" customWidth="1"/>
    <col min="6725" max="6725" width="9.42578125" style="13" customWidth="1"/>
    <col min="6726" max="6922" width="9.140625" style="13"/>
    <col min="6923" max="6923" width="5.140625" style="13" customWidth="1"/>
    <col min="6924" max="6924" width="24" style="13" customWidth="1"/>
    <col min="6925" max="6925" width="7.7109375" style="13" customWidth="1"/>
    <col min="6926" max="6926" width="9" style="13" customWidth="1"/>
    <col min="6927" max="6929" width="9.140625" style="13" customWidth="1"/>
    <col min="6930" max="6930" width="10.140625" style="13" customWidth="1"/>
    <col min="6931" max="6931" width="10.7109375" style="13" customWidth="1"/>
    <col min="6932" max="6932" width="10" style="13" customWidth="1"/>
    <col min="6933" max="6933" width="9.42578125" style="13" customWidth="1"/>
    <col min="6934" max="6935" width="10.7109375" style="13" customWidth="1"/>
    <col min="6936" max="6936" width="9.28515625" style="13" customWidth="1"/>
    <col min="6937" max="6941" width="10.7109375" style="13" customWidth="1"/>
    <col min="6942" max="6942" width="10.42578125" style="13" customWidth="1"/>
    <col min="6943" max="6945" width="8.85546875" style="13" customWidth="1"/>
    <col min="6946" max="6947" width="10.140625" style="13" customWidth="1"/>
    <col min="6948" max="6950" width="9.5703125" style="13" customWidth="1"/>
    <col min="6951" max="6951" width="10.140625" style="13" customWidth="1"/>
    <col min="6952" max="6956" width="0" style="13" hidden="1" customWidth="1"/>
    <col min="6957" max="6957" width="10.140625" style="13" customWidth="1"/>
    <col min="6958" max="6960" width="9.5703125" style="13" customWidth="1"/>
    <col min="6961" max="6961" width="10.140625" style="13" customWidth="1"/>
    <col min="6962" max="6973" width="0" style="13" hidden="1" customWidth="1"/>
    <col min="6974" max="6974" width="10.140625" style="13" customWidth="1"/>
    <col min="6975" max="6976" width="9.85546875" style="13" customWidth="1"/>
    <col min="6977" max="6977" width="12.5703125" style="13" customWidth="1"/>
    <col min="6978" max="6978" width="9.85546875" style="13" customWidth="1"/>
    <col min="6979" max="6979" width="12.5703125" style="13" customWidth="1"/>
    <col min="6980" max="6980" width="10.140625" style="13" customWidth="1"/>
    <col min="6981" max="6981" width="9.42578125" style="13" customWidth="1"/>
    <col min="6982" max="7178" width="9.140625" style="13"/>
    <col min="7179" max="7179" width="5.140625" style="13" customWidth="1"/>
    <col min="7180" max="7180" width="24" style="13" customWidth="1"/>
    <col min="7181" max="7181" width="7.7109375" style="13" customWidth="1"/>
    <col min="7182" max="7182" width="9" style="13" customWidth="1"/>
    <col min="7183" max="7185" width="9.140625" style="13" customWidth="1"/>
    <col min="7186" max="7186" width="10.140625" style="13" customWidth="1"/>
    <col min="7187" max="7187" width="10.7109375" style="13" customWidth="1"/>
    <col min="7188" max="7188" width="10" style="13" customWidth="1"/>
    <col min="7189" max="7189" width="9.42578125" style="13" customWidth="1"/>
    <col min="7190" max="7191" width="10.7109375" style="13" customWidth="1"/>
    <col min="7192" max="7192" width="9.28515625" style="13" customWidth="1"/>
    <col min="7193" max="7197" width="10.7109375" style="13" customWidth="1"/>
    <col min="7198" max="7198" width="10.42578125" style="13" customWidth="1"/>
    <col min="7199" max="7201" width="8.85546875" style="13" customWidth="1"/>
    <col min="7202" max="7203" width="10.140625" style="13" customWidth="1"/>
    <col min="7204" max="7206" width="9.5703125" style="13" customWidth="1"/>
    <col min="7207" max="7207" width="10.140625" style="13" customWidth="1"/>
    <col min="7208" max="7212" width="0" style="13" hidden="1" customWidth="1"/>
    <col min="7213" max="7213" width="10.140625" style="13" customWidth="1"/>
    <col min="7214" max="7216" width="9.5703125" style="13" customWidth="1"/>
    <col min="7217" max="7217" width="10.140625" style="13" customWidth="1"/>
    <col min="7218" max="7229" width="0" style="13" hidden="1" customWidth="1"/>
    <col min="7230" max="7230" width="10.140625" style="13" customWidth="1"/>
    <col min="7231" max="7232" width="9.85546875" style="13" customWidth="1"/>
    <col min="7233" max="7233" width="12.5703125" style="13" customWidth="1"/>
    <col min="7234" max="7234" width="9.85546875" style="13" customWidth="1"/>
    <col min="7235" max="7235" width="12.5703125" style="13" customWidth="1"/>
    <col min="7236" max="7236" width="10.140625" style="13" customWidth="1"/>
    <col min="7237" max="7237" width="9.42578125" style="13" customWidth="1"/>
    <col min="7238" max="7434" width="9.140625" style="13"/>
    <col min="7435" max="7435" width="5.140625" style="13" customWidth="1"/>
    <col min="7436" max="7436" width="24" style="13" customWidth="1"/>
    <col min="7437" max="7437" width="7.7109375" style="13" customWidth="1"/>
    <col min="7438" max="7438" width="9" style="13" customWidth="1"/>
    <col min="7439" max="7441" width="9.140625" style="13" customWidth="1"/>
    <col min="7442" max="7442" width="10.140625" style="13" customWidth="1"/>
    <col min="7443" max="7443" width="10.7109375" style="13" customWidth="1"/>
    <col min="7444" max="7444" width="10" style="13" customWidth="1"/>
    <col min="7445" max="7445" width="9.42578125" style="13" customWidth="1"/>
    <col min="7446" max="7447" width="10.7109375" style="13" customWidth="1"/>
    <col min="7448" max="7448" width="9.28515625" style="13" customWidth="1"/>
    <col min="7449" max="7453" width="10.7109375" style="13" customWidth="1"/>
    <col min="7454" max="7454" width="10.42578125" style="13" customWidth="1"/>
    <col min="7455" max="7457" width="8.85546875" style="13" customWidth="1"/>
    <col min="7458" max="7459" width="10.140625" style="13" customWidth="1"/>
    <col min="7460" max="7462" width="9.5703125" style="13" customWidth="1"/>
    <col min="7463" max="7463" width="10.140625" style="13" customWidth="1"/>
    <col min="7464" max="7468" width="0" style="13" hidden="1" customWidth="1"/>
    <col min="7469" max="7469" width="10.140625" style="13" customWidth="1"/>
    <col min="7470" max="7472" width="9.5703125" style="13" customWidth="1"/>
    <col min="7473" max="7473" width="10.140625" style="13" customWidth="1"/>
    <col min="7474" max="7485" width="0" style="13" hidden="1" customWidth="1"/>
    <col min="7486" max="7486" width="10.140625" style="13" customWidth="1"/>
    <col min="7487" max="7488" width="9.85546875" style="13" customWidth="1"/>
    <col min="7489" max="7489" width="12.5703125" style="13" customWidth="1"/>
    <col min="7490" max="7490" width="9.85546875" style="13" customWidth="1"/>
    <col min="7491" max="7491" width="12.5703125" style="13" customWidth="1"/>
    <col min="7492" max="7492" width="10.140625" style="13" customWidth="1"/>
    <col min="7493" max="7493" width="9.42578125" style="13" customWidth="1"/>
    <col min="7494" max="7690" width="9.140625" style="13"/>
    <col min="7691" max="7691" width="5.140625" style="13" customWidth="1"/>
    <col min="7692" max="7692" width="24" style="13" customWidth="1"/>
    <col min="7693" max="7693" width="7.7109375" style="13" customWidth="1"/>
    <col min="7694" max="7694" width="9" style="13" customWidth="1"/>
    <col min="7695" max="7697" width="9.140625" style="13" customWidth="1"/>
    <col min="7698" max="7698" width="10.140625" style="13" customWidth="1"/>
    <col min="7699" max="7699" width="10.7109375" style="13" customWidth="1"/>
    <col min="7700" max="7700" width="10" style="13" customWidth="1"/>
    <col min="7701" max="7701" width="9.42578125" style="13" customWidth="1"/>
    <col min="7702" max="7703" width="10.7109375" style="13" customWidth="1"/>
    <col min="7704" max="7704" width="9.28515625" style="13" customWidth="1"/>
    <col min="7705" max="7709" width="10.7109375" style="13" customWidth="1"/>
    <col min="7710" max="7710" width="10.42578125" style="13" customWidth="1"/>
    <col min="7711" max="7713" width="8.85546875" style="13" customWidth="1"/>
    <col min="7714" max="7715" width="10.140625" style="13" customWidth="1"/>
    <col min="7716" max="7718" width="9.5703125" style="13" customWidth="1"/>
    <col min="7719" max="7719" width="10.140625" style="13" customWidth="1"/>
    <col min="7720" max="7724" width="0" style="13" hidden="1" customWidth="1"/>
    <col min="7725" max="7725" width="10.140625" style="13" customWidth="1"/>
    <col min="7726" max="7728" width="9.5703125" style="13" customWidth="1"/>
    <col min="7729" max="7729" width="10.140625" style="13" customWidth="1"/>
    <col min="7730" max="7741" width="0" style="13" hidden="1" customWidth="1"/>
    <col min="7742" max="7742" width="10.140625" style="13" customWidth="1"/>
    <col min="7743" max="7744" width="9.85546875" style="13" customWidth="1"/>
    <col min="7745" max="7745" width="12.5703125" style="13" customWidth="1"/>
    <col min="7746" max="7746" width="9.85546875" style="13" customWidth="1"/>
    <col min="7747" max="7747" width="12.5703125" style="13" customWidth="1"/>
    <col min="7748" max="7748" width="10.140625" style="13" customWidth="1"/>
    <col min="7749" max="7749" width="9.42578125" style="13" customWidth="1"/>
    <col min="7750" max="7946" width="9.140625" style="13"/>
    <col min="7947" max="7947" width="5.140625" style="13" customWidth="1"/>
    <col min="7948" max="7948" width="24" style="13" customWidth="1"/>
    <col min="7949" max="7949" width="7.7109375" style="13" customWidth="1"/>
    <col min="7950" max="7950" width="9" style="13" customWidth="1"/>
    <col min="7951" max="7953" width="9.140625" style="13" customWidth="1"/>
    <col min="7954" max="7954" width="10.140625" style="13" customWidth="1"/>
    <col min="7955" max="7955" width="10.7109375" style="13" customWidth="1"/>
    <col min="7956" max="7956" width="10" style="13" customWidth="1"/>
    <col min="7957" max="7957" width="9.42578125" style="13" customWidth="1"/>
    <col min="7958" max="7959" width="10.7109375" style="13" customWidth="1"/>
    <col min="7960" max="7960" width="9.28515625" style="13" customWidth="1"/>
    <col min="7961" max="7965" width="10.7109375" style="13" customWidth="1"/>
    <col min="7966" max="7966" width="10.42578125" style="13" customWidth="1"/>
    <col min="7967" max="7969" width="8.85546875" style="13" customWidth="1"/>
    <col min="7970" max="7971" width="10.140625" style="13" customWidth="1"/>
    <col min="7972" max="7974" width="9.5703125" style="13" customWidth="1"/>
    <col min="7975" max="7975" width="10.140625" style="13" customWidth="1"/>
    <col min="7976" max="7980" width="0" style="13" hidden="1" customWidth="1"/>
    <col min="7981" max="7981" width="10.140625" style="13" customWidth="1"/>
    <col min="7982" max="7984" width="9.5703125" style="13" customWidth="1"/>
    <col min="7985" max="7985" width="10.140625" style="13" customWidth="1"/>
    <col min="7986" max="7997" width="0" style="13" hidden="1" customWidth="1"/>
    <col min="7998" max="7998" width="10.140625" style="13" customWidth="1"/>
    <col min="7999" max="8000" width="9.85546875" style="13" customWidth="1"/>
    <col min="8001" max="8001" width="12.5703125" style="13" customWidth="1"/>
    <col min="8002" max="8002" width="9.85546875" style="13" customWidth="1"/>
    <col min="8003" max="8003" width="12.5703125" style="13" customWidth="1"/>
    <col min="8004" max="8004" width="10.140625" style="13" customWidth="1"/>
    <col min="8005" max="8005" width="9.42578125" style="13" customWidth="1"/>
    <col min="8006" max="8202" width="9.140625" style="13"/>
    <col min="8203" max="8203" width="5.140625" style="13" customWidth="1"/>
    <col min="8204" max="8204" width="24" style="13" customWidth="1"/>
    <col min="8205" max="8205" width="7.7109375" style="13" customWidth="1"/>
    <col min="8206" max="8206" width="9" style="13" customWidth="1"/>
    <col min="8207" max="8209" width="9.140625" style="13" customWidth="1"/>
    <col min="8210" max="8210" width="10.140625" style="13" customWidth="1"/>
    <col min="8211" max="8211" width="10.7109375" style="13" customWidth="1"/>
    <col min="8212" max="8212" width="10" style="13" customWidth="1"/>
    <col min="8213" max="8213" width="9.42578125" style="13" customWidth="1"/>
    <col min="8214" max="8215" width="10.7109375" style="13" customWidth="1"/>
    <col min="8216" max="8216" width="9.28515625" style="13" customWidth="1"/>
    <col min="8217" max="8221" width="10.7109375" style="13" customWidth="1"/>
    <col min="8222" max="8222" width="10.42578125" style="13" customWidth="1"/>
    <col min="8223" max="8225" width="8.85546875" style="13" customWidth="1"/>
    <col min="8226" max="8227" width="10.140625" style="13" customWidth="1"/>
    <col min="8228" max="8230" width="9.5703125" style="13" customWidth="1"/>
    <col min="8231" max="8231" width="10.140625" style="13" customWidth="1"/>
    <col min="8232" max="8236" width="0" style="13" hidden="1" customWidth="1"/>
    <col min="8237" max="8237" width="10.140625" style="13" customWidth="1"/>
    <col min="8238" max="8240" width="9.5703125" style="13" customWidth="1"/>
    <col min="8241" max="8241" width="10.140625" style="13" customWidth="1"/>
    <col min="8242" max="8253" width="0" style="13" hidden="1" customWidth="1"/>
    <col min="8254" max="8254" width="10.140625" style="13" customWidth="1"/>
    <col min="8255" max="8256" width="9.85546875" style="13" customWidth="1"/>
    <col min="8257" max="8257" width="12.5703125" style="13" customWidth="1"/>
    <col min="8258" max="8258" width="9.85546875" style="13" customWidth="1"/>
    <col min="8259" max="8259" width="12.5703125" style="13" customWidth="1"/>
    <col min="8260" max="8260" width="10.140625" style="13" customWidth="1"/>
    <col min="8261" max="8261" width="9.42578125" style="13" customWidth="1"/>
    <col min="8262" max="8458" width="9.140625" style="13"/>
    <col min="8459" max="8459" width="5.140625" style="13" customWidth="1"/>
    <col min="8460" max="8460" width="24" style="13" customWidth="1"/>
    <col min="8461" max="8461" width="7.7109375" style="13" customWidth="1"/>
    <col min="8462" max="8462" width="9" style="13" customWidth="1"/>
    <col min="8463" max="8465" width="9.140625" style="13" customWidth="1"/>
    <col min="8466" max="8466" width="10.140625" style="13" customWidth="1"/>
    <col min="8467" max="8467" width="10.7109375" style="13" customWidth="1"/>
    <col min="8468" max="8468" width="10" style="13" customWidth="1"/>
    <col min="8469" max="8469" width="9.42578125" style="13" customWidth="1"/>
    <col min="8470" max="8471" width="10.7109375" style="13" customWidth="1"/>
    <col min="8472" max="8472" width="9.28515625" style="13" customWidth="1"/>
    <col min="8473" max="8477" width="10.7109375" style="13" customWidth="1"/>
    <col min="8478" max="8478" width="10.42578125" style="13" customWidth="1"/>
    <col min="8479" max="8481" width="8.85546875" style="13" customWidth="1"/>
    <col min="8482" max="8483" width="10.140625" style="13" customWidth="1"/>
    <col min="8484" max="8486" width="9.5703125" style="13" customWidth="1"/>
    <col min="8487" max="8487" width="10.140625" style="13" customWidth="1"/>
    <col min="8488" max="8492" width="0" style="13" hidden="1" customWidth="1"/>
    <col min="8493" max="8493" width="10.140625" style="13" customWidth="1"/>
    <col min="8494" max="8496" width="9.5703125" style="13" customWidth="1"/>
    <col min="8497" max="8497" width="10.140625" style="13" customWidth="1"/>
    <col min="8498" max="8509" width="0" style="13" hidden="1" customWidth="1"/>
    <col min="8510" max="8510" width="10.140625" style="13" customWidth="1"/>
    <col min="8511" max="8512" width="9.85546875" style="13" customWidth="1"/>
    <col min="8513" max="8513" width="12.5703125" style="13" customWidth="1"/>
    <col min="8514" max="8514" width="9.85546875" style="13" customWidth="1"/>
    <col min="8515" max="8515" width="12.5703125" style="13" customWidth="1"/>
    <col min="8516" max="8516" width="10.140625" style="13" customWidth="1"/>
    <col min="8517" max="8517" width="9.42578125" style="13" customWidth="1"/>
    <col min="8518" max="8714" width="9.140625" style="13"/>
    <col min="8715" max="8715" width="5.140625" style="13" customWidth="1"/>
    <col min="8716" max="8716" width="24" style="13" customWidth="1"/>
    <col min="8717" max="8717" width="7.7109375" style="13" customWidth="1"/>
    <col min="8718" max="8718" width="9" style="13" customWidth="1"/>
    <col min="8719" max="8721" width="9.140625" style="13" customWidth="1"/>
    <col min="8722" max="8722" width="10.140625" style="13" customWidth="1"/>
    <col min="8723" max="8723" width="10.7109375" style="13" customWidth="1"/>
    <col min="8724" max="8724" width="10" style="13" customWidth="1"/>
    <col min="8725" max="8725" width="9.42578125" style="13" customWidth="1"/>
    <col min="8726" max="8727" width="10.7109375" style="13" customWidth="1"/>
    <col min="8728" max="8728" width="9.28515625" style="13" customWidth="1"/>
    <col min="8729" max="8733" width="10.7109375" style="13" customWidth="1"/>
    <col min="8734" max="8734" width="10.42578125" style="13" customWidth="1"/>
    <col min="8735" max="8737" width="8.85546875" style="13" customWidth="1"/>
    <col min="8738" max="8739" width="10.140625" style="13" customWidth="1"/>
    <col min="8740" max="8742" width="9.5703125" style="13" customWidth="1"/>
    <col min="8743" max="8743" width="10.140625" style="13" customWidth="1"/>
    <col min="8744" max="8748" width="0" style="13" hidden="1" customWidth="1"/>
    <col min="8749" max="8749" width="10.140625" style="13" customWidth="1"/>
    <col min="8750" max="8752" width="9.5703125" style="13" customWidth="1"/>
    <col min="8753" max="8753" width="10.140625" style="13" customWidth="1"/>
    <col min="8754" max="8765" width="0" style="13" hidden="1" customWidth="1"/>
    <col min="8766" max="8766" width="10.140625" style="13" customWidth="1"/>
    <col min="8767" max="8768" width="9.85546875" style="13" customWidth="1"/>
    <col min="8769" max="8769" width="12.5703125" style="13" customWidth="1"/>
    <col min="8770" max="8770" width="9.85546875" style="13" customWidth="1"/>
    <col min="8771" max="8771" width="12.5703125" style="13" customWidth="1"/>
    <col min="8772" max="8772" width="10.140625" style="13" customWidth="1"/>
    <col min="8773" max="8773" width="9.42578125" style="13" customWidth="1"/>
    <col min="8774" max="8970" width="9.140625" style="13"/>
    <col min="8971" max="8971" width="5.140625" style="13" customWidth="1"/>
    <col min="8972" max="8972" width="24" style="13" customWidth="1"/>
    <col min="8973" max="8973" width="7.7109375" style="13" customWidth="1"/>
    <col min="8974" max="8974" width="9" style="13" customWidth="1"/>
    <col min="8975" max="8977" width="9.140625" style="13" customWidth="1"/>
    <col min="8978" max="8978" width="10.140625" style="13" customWidth="1"/>
    <col min="8979" max="8979" width="10.7109375" style="13" customWidth="1"/>
    <col min="8980" max="8980" width="10" style="13" customWidth="1"/>
    <col min="8981" max="8981" width="9.42578125" style="13" customWidth="1"/>
    <col min="8982" max="8983" width="10.7109375" style="13" customWidth="1"/>
    <col min="8984" max="8984" width="9.28515625" style="13" customWidth="1"/>
    <col min="8985" max="8989" width="10.7109375" style="13" customWidth="1"/>
    <col min="8990" max="8990" width="10.42578125" style="13" customWidth="1"/>
    <col min="8991" max="8993" width="8.85546875" style="13" customWidth="1"/>
    <col min="8994" max="8995" width="10.140625" style="13" customWidth="1"/>
    <col min="8996" max="8998" width="9.5703125" style="13" customWidth="1"/>
    <col min="8999" max="8999" width="10.140625" style="13" customWidth="1"/>
    <col min="9000" max="9004" width="0" style="13" hidden="1" customWidth="1"/>
    <col min="9005" max="9005" width="10.140625" style="13" customWidth="1"/>
    <col min="9006" max="9008" width="9.5703125" style="13" customWidth="1"/>
    <col min="9009" max="9009" width="10.140625" style="13" customWidth="1"/>
    <col min="9010" max="9021" width="0" style="13" hidden="1" customWidth="1"/>
    <col min="9022" max="9022" width="10.140625" style="13" customWidth="1"/>
    <col min="9023" max="9024" width="9.85546875" style="13" customWidth="1"/>
    <col min="9025" max="9025" width="12.5703125" style="13" customWidth="1"/>
    <col min="9026" max="9026" width="9.85546875" style="13" customWidth="1"/>
    <col min="9027" max="9027" width="12.5703125" style="13" customWidth="1"/>
    <col min="9028" max="9028" width="10.140625" style="13" customWidth="1"/>
    <col min="9029" max="9029" width="9.42578125" style="13" customWidth="1"/>
    <col min="9030" max="9226" width="9.140625" style="13"/>
    <col min="9227" max="9227" width="5.140625" style="13" customWidth="1"/>
    <col min="9228" max="9228" width="24" style="13" customWidth="1"/>
    <col min="9229" max="9229" width="7.7109375" style="13" customWidth="1"/>
    <col min="9230" max="9230" width="9" style="13" customWidth="1"/>
    <col min="9231" max="9233" width="9.140625" style="13" customWidth="1"/>
    <col min="9234" max="9234" width="10.140625" style="13" customWidth="1"/>
    <col min="9235" max="9235" width="10.7109375" style="13" customWidth="1"/>
    <col min="9236" max="9236" width="10" style="13" customWidth="1"/>
    <col min="9237" max="9237" width="9.42578125" style="13" customWidth="1"/>
    <col min="9238" max="9239" width="10.7109375" style="13" customWidth="1"/>
    <col min="9240" max="9240" width="9.28515625" style="13" customWidth="1"/>
    <col min="9241" max="9245" width="10.7109375" style="13" customWidth="1"/>
    <col min="9246" max="9246" width="10.42578125" style="13" customWidth="1"/>
    <col min="9247" max="9249" width="8.85546875" style="13" customWidth="1"/>
    <col min="9250" max="9251" width="10.140625" style="13" customWidth="1"/>
    <col min="9252" max="9254" width="9.5703125" style="13" customWidth="1"/>
    <col min="9255" max="9255" width="10.140625" style="13" customWidth="1"/>
    <col min="9256" max="9260" width="0" style="13" hidden="1" customWidth="1"/>
    <col min="9261" max="9261" width="10.140625" style="13" customWidth="1"/>
    <col min="9262" max="9264" width="9.5703125" style="13" customWidth="1"/>
    <col min="9265" max="9265" width="10.140625" style="13" customWidth="1"/>
    <col min="9266" max="9277" width="0" style="13" hidden="1" customWidth="1"/>
    <col min="9278" max="9278" width="10.140625" style="13" customWidth="1"/>
    <col min="9279" max="9280" width="9.85546875" style="13" customWidth="1"/>
    <col min="9281" max="9281" width="12.5703125" style="13" customWidth="1"/>
    <col min="9282" max="9282" width="9.85546875" style="13" customWidth="1"/>
    <col min="9283" max="9283" width="12.5703125" style="13" customWidth="1"/>
    <col min="9284" max="9284" width="10.140625" style="13" customWidth="1"/>
    <col min="9285" max="9285" width="9.42578125" style="13" customWidth="1"/>
    <col min="9286" max="9482" width="9.140625" style="13"/>
    <col min="9483" max="9483" width="5.140625" style="13" customWidth="1"/>
    <col min="9484" max="9484" width="24" style="13" customWidth="1"/>
    <col min="9485" max="9485" width="7.7109375" style="13" customWidth="1"/>
    <col min="9486" max="9486" width="9" style="13" customWidth="1"/>
    <col min="9487" max="9489" width="9.140625" style="13" customWidth="1"/>
    <col min="9490" max="9490" width="10.140625" style="13" customWidth="1"/>
    <col min="9491" max="9491" width="10.7109375" style="13" customWidth="1"/>
    <col min="9492" max="9492" width="10" style="13" customWidth="1"/>
    <col min="9493" max="9493" width="9.42578125" style="13" customWidth="1"/>
    <col min="9494" max="9495" width="10.7109375" style="13" customWidth="1"/>
    <col min="9496" max="9496" width="9.28515625" style="13" customWidth="1"/>
    <col min="9497" max="9501" width="10.7109375" style="13" customWidth="1"/>
    <col min="9502" max="9502" width="10.42578125" style="13" customWidth="1"/>
    <col min="9503" max="9505" width="8.85546875" style="13" customWidth="1"/>
    <col min="9506" max="9507" width="10.140625" style="13" customWidth="1"/>
    <col min="9508" max="9510" width="9.5703125" style="13" customWidth="1"/>
    <col min="9511" max="9511" width="10.140625" style="13" customWidth="1"/>
    <col min="9512" max="9516" width="0" style="13" hidden="1" customWidth="1"/>
    <col min="9517" max="9517" width="10.140625" style="13" customWidth="1"/>
    <col min="9518" max="9520" width="9.5703125" style="13" customWidth="1"/>
    <col min="9521" max="9521" width="10.140625" style="13" customWidth="1"/>
    <col min="9522" max="9533" width="0" style="13" hidden="1" customWidth="1"/>
    <col min="9534" max="9534" width="10.140625" style="13" customWidth="1"/>
    <col min="9535" max="9536" width="9.85546875" style="13" customWidth="1"/>
    <col min="9537" max="9537" width="12.5703125" style="13" customWidth="1"/>
    <col min="9538" max="9538" width="9.85546875" style="13" customWidth="1"/>
    <col min="9539" max="9539" width="12.5703125" style="13" customWidth="1"/>
    <col min="9540" max="9540" width="10.140625" style="13" customWidth="1"/>
    <col min="9541" max="9541" width="9.42578125" style="13" customWidth="1"/>
    <col min="9542" max="9738" width="9.140625" style="13"/>
    <col min="9739" max="9739" width="5.140625" style="13" customWidth="1"/>
    <col min="9740" max="9740" width="24" style="13" customWidth="1"/>
    <col min="9741" max="9741" width="7.7109375" style="13" customWidth="1"/>
    <col min="9742" max="9742" width="9" style="13" customWidth="1"/>
    <col min="9743" max="9745" width="9.140625" style="13" customWidth="1"/>
    <col min="9746" max="9746" width="10.140625" style="13" customWidth="1"/>
    <col min="9747" max="9747" width="10.7109375" style="13" customWidth="1"/>
    <col min="9748" max="9748" width="10" style="13" customWidth="1"/>
    <col min="9749" max="9749" width="9.42578125" style="13" customWidth="1"/>
    <col min="9750" max="9751" width="10.7109375" style="13" customWidth="1"/>
    <col min="9752" max="9752" width="9.28515625" style="13" customWidth="1"/>
    <col min="9753" max="9757" width="10.7109375" style="13" customWidth="1"/>
    <col min="9758" max="9758" width="10.42578125" style="13" customWidth="1"/>
    <col min="9759" max="9761" width="8.85546875" style="13" customWidth="1"/>
    <col min="9762" max="9763" width="10.140625" style="13" customWidth="1"/>
    <col min="9764" max="9766" width="9.5703125" style="13" customWidth="1"/>
    <col min="9767" max="9767" width="10.140625" style="13" customWidth="1"/>
    <col min="9768" max="9772" width="0" style="13" hidden="1" customWidth="1"/>
    <col min="9773" max="9773" width="10.140625" style="13" customWidth="1"/>
    <col min="9774" max="9776" width="9.5703125" style="13" customWidth="1"/>
    <col min="9777" max="9777" width="10.140625" style="13" customWidth="1"/>
    <col min="9778" max="9789" width="0" style="13" hidden="1" customWidth="1"/>
    <col min="9790" max="9790" width="10.140625" style="13" customWidth="1"/>
    <col min="9791" max="9792" width="9.85546875" style="13" customWidth="1"/>
    <col min="9793" max="9793" width="12.5703125" style="13" customWidth="1"/>
    <col min="9794" max="9794" width="9.85546875" style="13" customWidth="1"/>
    <col min="9795" max="9795" width="12.5703125" style="13" customWidth="1"/>
    <col min="9796" max="9796" width="10.140625" style="13" customWidth="1"/>
    <col min="9797" max="9797" width="9.42578125" style="13" customWidth="1"/>
    <col min="9798" max="9994" width="9.140625" style="13"/>
    <col min="9995" max="9995" width="5.140625" style="13" customWidth="1"/>
    <col min="9996" max="9996" width="24" style="13" customWidth="1"/>
    <col min="9997" max="9997" width="7.7109375" style="13" customWidth="1"/>
    <col min="9998" max="9998" width="9" style="13" customWidth="1"/>
    <col min="9999" max="10001" width="9.140625" style="13" customWidth="1"/>
    <col min="10002" max="10002" width="10.140625" style="13" customWidth="1"/>
    <col min="10003" max="10003" width="10.7109375" style="13" customWidth="1"/>
    <col min="10004" max="10004" width="10" style="13" customWidth="1"/>
    <col min="10005" max="10005" width="9.42578125" style="13" customWidth="1"/>
    <col min="10006" max="10007" width="10.7109375" style="13" customWidth="1"/>
    <col min="10008" max="10008" width="9.28515625" style="13" customWidth="1"/>
    <col min="10009" max="10013" width="10.7109375" style="13" customWidth="1"/>
    <col min="10014" max="10014" width="10.42578125" style="13" customWidth="1"/>
    <col min="10015" max="10017" width="8.85546875" style="13" customWidth="1"/>
    <col min="10018" max="10019" width="10.140625" style="13" customWidth="1"/>
    <col min="10020" max="10022" width="9.5703125" style="13" customWidth="1"/>
    <col min="10023" max="10023" width="10.140625" style="13" customWidth="1"/>
    <col min="10024" max="10028" width="0" style="13" hidden="1" customWidth="1"/>
    <col min="10029" max="10029" width="10.140625" style="13" customWidth="1"/>
    <col min="10030" max="10032" width="9.5703125" style="13" customWidth="1"/>
    <col min="10033" max="10033" width="10.140625" style="13" customWidth="1"/>
    <col min="10034" max="10045" width="0" style="13" hidden="1" customWidth="1"/>
    <col min="10046" max="10046" width="10.140625" style="13" customWidth="1"/>
    <col min="10047" max="10048" width="9.85546875" style="13" customWidth="1"/>
    <col min="10049" max="10049" width="12.5703125" style="13" customWidth="1"/>
    <col min="10050" max="10050" width="9.85546875" style="13" customWidth="1"/>
    <col min="10051" max="10051" width="12.5703125" style="13" customWidth="1"/>
    <col min="10052" max="10052" width="10.140625" style="13" customWidth="1"/>
    <col min="10053" max="10053" width="9.42578125" style="13" customWidth="1"/>
    <col min="10054" max="10250" width="9.140625" style="13"/>
    <col min="10251" max="10251" width="5.140625" style="13" customWidth="1"/>
    <col min="10252" max="10252" width="24" style="13" customWidth="1"/>
    <col min="10253" max="10253" width="7.7109375" style="13" customWidth="1"/>
    <col min="10254" max="10254" width="9" style="13" customWidth="1"/>
    <col min="10255" max="10257" width="9.140625" style="13" customWidth="1"/>
    <col min="10258" max="10258" width="10.140625" style="13" customWidth="1"/>
    <col min="10259" max="10259" width="10.7109375" style="13" customWidth="1"/>
    <col min="10260" max="10260" width="10" style="13" customWidth="1"/>
    <col min="10261" max="10261" width="9.42578125" style="13" customWidth="1"/>
    <col min="10262" max="10263" width="10.7109375" style="13" customWidth="1"/>
    <col min="10264" max="10264" width="9.28515625" style="13" customWidth="1"/>
    <col min="10265" max="10269" width="10.7109375" style="13" customWidth="1"/>
    <col min="10270" max="10270" width="10.42578125" style="13" customWidth="1"/>
    <col min="10271" max="10273" width="8.85546875" style="13" customWidth="1"/>
    <col min="10274" max="10275" width="10.140625" style="13" customWidth="1"/>
    <col min="10276" max="10278" width="9.5703125" style="13" customWidth="1"/>
    <col min="10279" max="10279" width="10.140625" style="13" customWidth="1"/>
    <col min="10280" max="10284" width="0" style="13" hidden="1" customWidth="1"/>
    <col min="10285" max="10285" width="10.140625" style="13" customWidth="1"/>
    <col min="10286" max="10288" width="9.5703125" style="13" customWidth="1"/>
    <col min="10289" max="10289" width="10.140625" style="13" customWidth="1"/>
    <col min="10290" max="10301" width="0" style="13" hidden="1" customWidth="1"/>
    <col min="10302" max="10302" width="10.140625" style="13" customWidth="1"/>
    <col min="10303" max="10304" width="9.85546875" style="13" customWidth="1"/>
    <col min="10305" max="10305" width="12.5703125" style="13" customWidth="1"/>
    <col min="10306" max="10306" width="9.85546875" style="13" customWidth="1"/>
    <col min="10307" max="10307" width="12.5703125" style="13" customWidth="1"/>
    <col min="10308" max="10308" width="10.140625" style="13" customWidth="1"/>
    <col min="10309" max="10309" width="9.42578125" style="13" customWidth="1"/>
    <col min="10310" max="10506" width="9.140625" style="13"/>
    <col min="10507" max="10507" width="5.140625" style="13" customWidth="1"/>
    <col min="10508" max="10508" width="24" style="13" customWidth="1"/>
    <col min="10509" max="10509" width="7.7109375" style="13" customWidth="1"/>
    <col min="10510" max="10510" width="9" style="13" customWidth="1"/>
    <col min="10511" max="10513" width="9.140625" style="13" customWidth="1"/>
    <col min="10514" max="10514" width="10.140625" style="13" customWidth="1"/>
    <col min="10515" max="10515" width="10.7109375" style="13" customWidth="1"/>
    <col min="10516" max="10516" width="10" style="13" customWidth="1"/>
    <col min="10517" max="10517" width="9.42578125" style="13" customWidth="1"/>
    <col min="10518" max="10519" width="10.7109375" style="13" customWidth="1"/>
    <col min="10520" max="10520" width="9.28515625" style="13" customWidth="1"/>
    <col min="10521" max="10525" width="10.7109375" style="13" customWidth="1"/>
    <col min="10526" max="10526" width="10.42578125" style="13" customWidth="1"/>
    <col min="10527" max="10529" width="8.85546875" style="13" customWidth="1"/>
    <col min="10530" max="10531" width="10.140625" style="13" customWidth="1"/>
    <col min="10532" max="10534" width="9.5703125" style="13" customWidth="1"/>
    <col min="10535" max="10535" width="10.140625" style="13" customWidth="1"/>
    <col min="10536" max="10540" width="0" style="13" hidden="1" customWidth="1"/>
    <col min="10541" max="10541" width="10.140625" style="13" customWidth="1"/>
    <col min="10542" max="10544" width="9.5703125" style="13" customWidth="1"/>
    <col min="10545" max="10545" width="10.140625" style="13" customWidth="1"/>
    <col min="10546" max="10557" width="0" style="13" hidden="1" customWidth="1"/>
    <col min="10558" max="10558" width="10.140625" style="13" customWidth="1"/>
    <col min="10559" max="10560" width="9.85546875" style="13" customWidth="1"/>
    <col min="10561" max="10561" width="12.5703125" style="13" customWidth="1"/>
    <col min="10562" max="10562" width="9.85546875" style="13" customWidth="1"/>
    <col min="10563" max="10563" width="12.5703125" style="13" customWidth="1"/>
    <col min="10564" max="10564" width="10.140625" style="13" customWidth="1"/>
    <col min="10565" max="10565" width="9.42578125" style="13" customWidth="1"/>
    <col min="10566" max="10762" width="9.140625" style="13"/>
    <col min="10763" max="10763" width="5.140625" style="13" customWidth="1"/>
    <col min="10764" max="10764" width="24" style="13" customWidth="1"/>
    <col min="10765" max="10765" width="7.7109375" style="13" customWidth="1"/>
    <col min="10766" max="10766" width="9" style="13" customWidth="1"/>
    <col min="10767" max="10769" width="9.140625" style="13" customWidth="1"/>
    <col min="10770" max="10770" width="10.140625" style="13" customWidth="1"/>
    <col min="10771" max="10771" width="10.7109375" style="13" customWidth="1"/>
    <col min="10772" max="10772" width="10" style="13" customWidth="1"/>
    <col min="10773" max="10773" width="9.42578125" style="13" customWidth="1"/>
    <col min="10774" max="10775" width="10.7109375" style="13" customWidth="1"/>
    <col min="10776" max="10776" width="9.28515625" style="13" customWidth="1"/>
    <col min="10777" max="10781" width="10.7109375" style="13" customWidth="1"/>
    <col min="10782" max="10782" width="10.42578125" style="13" customWidth="1"/>
    <col min="10783" max="10785" width="8.85546875" style="13" customWidth="1"/>
    <col min="10786" max="10787" width="10.140625" style="13" customWidth="1"/>
    <col min="10788" max="10790" width="9.5703125" style="13" customWidth="1"/>
    <col min="10791" max="10791" width="10.140625" style="13" customWidth="1"/>
    <col min="10792" max="10796" width="0" style="13" hidden="1" customWidth="1"/>
    <col min="10797" max="10797" width="10.140625" style="13" customWidth="1"/>
    <col min="10798" max="10800" width="9.5703125" style="13" customWidth="1"/>
    <col min="10801" max="10801" width="10.140625" style="13" customWidth="1"/>
    <col min="10802" max="10813" width="0" style="13" hidden="1" customWidth="1"/>
    <col min="10814" max="10814" width="10.140625" style="13" customWidth="1"/>
    <col min="10815" max="10816" width="9.85546875" style="13" customWidth="1"/>
    <col min="10817" max="10817" width="12.5703125" style="13" customWidth="1"/>
    <col min="10818" max="10818" width="9.85546875" style="13" customWidth="1"/>
    <col min="10819" max="10819" width="12.5703125" style="13" customWidth="1"/>
    <col min="10820" max="10820" width="10.140625" style="13" customWidth="1"/>
    <col min="10821" max="10821" width="9.42578125" style="13" customWidth="1"/>
    <col min="10822" max="11018" width="9.140625" style="13"/>
    <col min="11019" max="11019" width="5.140625" style="13" customWidth="1"/>
    <col min="11020" max="11020" width="24" style="13" customWidth="1"/>
    <col min="11021" max="11021" width="7.7109375" style="13" customWidth="1"/>
    <col min="11022" max="11022" width="9" style="13" customWidth="1"/>
    <col min="11023" max="11025" width="9.140625" style="13" customWidth="1"/>
    <col min="11026" max="11026" width="10.140625" style="13" customWidth="1"/>
    <col min="11027" max="11027" width="10.7109375" style="13" customWidth="1"/>
    <col min="11028" max="11028" width="10" style="13" customWidth="1"/>
    <col min="11029" max="11029" width="9.42578125" style="13" customWidth="1"/>
    <col min="11030" max="11031" width="10.7109375" style="13" customWidth="1"/>
    <col min="11032" max="11032" width="9.28515625" style="13" customWidth="1"/>
    <col min="11033" max="11037" width="10.7109375" style="13" customWidth="1"/>
    <col min="11038" max="11038" width="10.42578125" style="13" customWidth="1"/>
    <col min="11039" max="11041" width="8.85546875" style="13" customWidth="1"/>
    <col min="11042" max="11043" width="10.140625" style="13" customWidth="1"/>
    <col min="11044" max="11046" width="9.5703125" style="13" customWidth="1"/>
    <col min="11047" max="11047" width="10.140625" style="13" customWidth="1"/>
    <col min="11048" max="11052" width="0" style="13" hidden="1" customWidth="1"/>
    <col min="11053" max="11053" width="10.140625" style="13" customWidth="1"/>
    <col min="11054" max="11056" width="9.5703125" style="13" customWidth="1"/>
    <col min="11057" max="11057" width="10.140625" style="13" customWidth="1"/>
    <col min="11058" max="11069" width="0" style="13" hidden="1" customWidth="1"/>
    <col min="11070" max="11070" width="10.140625" style="13" customWidth="1"/>
    <col min="11071" max="11072" width="9.85546875" style="13" customWidth="1"/>
    <col min="11073" max="11073" width="12.5703125" style="13" customWidth="1"/>
    <col min="11074" max="11074" width="9.85546875" style="13" customWidth="1"/>
    <col min="11075" max="11075" width="12.5703125" style="13" customWidth="1"/>
    <col min="11076" max="11076" width="10.140625" style="13" customWidth="1"/>
    <col min="11077" max="11077" width="9.42578125" style="13" customWidth="1"/>
    <col min="11078" max="11274" width="9.140625" style="13"/>
    <col min="11275" max="11275" width="5.140625" style="13" customWidth="1"/>
    <col min="11276" max="11276" width="24" style="13" customWidth="1"/>
    <col min="11277" max="11277" width="7.7109375" style="13" customWidth="1"/>
    <col min="11278" max="11278" width="9" style="13" customWidth="1"/>
    <col min="11279" max="11281" width="9.140625" style="13" customWidth="1"/>
    <col min="11282" max="11282" width="10.140625" style="13" customWidth="1"/>
    <col min="11283" max="11283" width="10.7109375" style="13" customWidth="1"/>
    <col min="11284" max="11284" width="10" style="13" customWidth="1"/>
    <col min="11285" max="11285" width="9.42578125" style="13" customWidth="1"/>
    <col min="11286" max="11287" width="10.7109375" style="13" customWidth="1"/>
    <col min="11288" max="11288" width="9.28515625" style="13" customWidth="1"/>
    <col min="11289" max="11293" width="10.7109375" style="13" customWidth="1"/>
    <col min="11294" max="11294" width="10.42578125" style="13" customWidth="1"/>
    <col min="11295" max="11297" width="8.85546875" style="13" customWidth="1"/>
    <col min="11298" max="11299" width="10.140625" style="13" customWidth="1"/>
    <col min="11300" max="11302" width="9.5703125" style="13" customWidth="1"/>
    <col min="11303" max="11303" width="10.140625" style="13" customWidth="1"/>
    <col min="11304" max="11308" width="0" style="13" hidden="1" customWidth="1"/>
    <col min="11309" max="11309" width="10.140625" style="13" customWidth="1"/>
    <col min="11310" max="11312" width="9.5703125" style="13" customWidth="1"/>
    <col min="11313" max="11313" width="10.140625" style="13" customWidth="1"/>
    <col min="11314" max="11325" width="0" style="13" hidden="1" customWidth="1"/>
    <col min="11326" max="11326" width="10.140625" style="13" customWidth="1"/>
    <col min="11327" max="11328" width="9.85546875" style="13" customWidth="1"/>
    <col min="11329" max="11329" width="12.5703125" style="13" customWidth="1"/>
    <col min="11330" max="11330" width="9.85546875" style="13" customWidth="1"/>
    <col min="11331" max="11331" width="12.5703125" style="13" customWidth="1"/>
    <col min="11332" max="11332" width="10.140625" style="13" customWidth="1"/>
    <col min="11333" max="11333" width="9.42578125" style="13" customWidth="1"/>
    <col min="11334" max="11530" width="9.140625" style="13"/>
    <col min="11531" max="11531" width="5.140625" style="13" customWidth="1"/>
    <col min="11532" max="11532" width="24" style="13" customWidth="1"/>
    <col min="11533" max="11533" width="7.7109375" style="13" customWidth="1"/>
    <col min="11534" max="11534" width="9" style="13" customWidth="1"/>
    <col min="11535" max="11537" width="9.140625" style="13" customWidth="1"/>
    <col min="11538" max="11538" width="10.140625" style="13" customWidth="1"/>
    <col min="11539" max="11539" width="10.7109375" style="13" customWidth="1"/>
    <col min="11540" max="11540" width="10" style="13" customWidth="1"/>
    <col min="11541" max="11541" width="9.42578125" style="13" customWidth="1"/>
    <col min="11542" max="11543" width="10.7109375" style="13" customWidth="1"/>
    <col min="11544" max="11544" width="9.28515625" style="13" customWidth="1"/>
    <col min="11545" max="11549" width="10.7109375" style="13" customWidth="1"/>
    <col min="11550" max="11550" width="10.42578125" style="13" customWidth="1"/>
    <col min="11551" max="11553" width="8.85546875" style="13" customWidth="1"/>
    <col min="11554" max="11555" width="10.140625" style="13" customWidth="1"/>
    <col min="11556" max="11558" width="9.5703125" style="13" customWidth="1"/>
    <col min="11559" max="11559" width="10.140625" style="13" customWidth="1"/>
    <col min="11560" max="11564" width="0" style="13" hidden="1" customWidth="1"/>
    <col min="11565" max="11565" width="10.140625" style="13" customWidth="1"/>
    <col min="11566" max="11568" width="9.5703125" style="13" customWidth="1"/>
    <col min="11569" max="11569" width="10.140625" style="13" customWidth="1"/>
    <col min="11570" max="11581" width="0" style="13" hidden="1" customWidth="1"/>
    <col min="11582" max="11582" width="10.140625" style="13" customWidth="1"/>
    <col min="11583" max="11584" width="9.85546875" style="13" customWidth="1"/>
    <col min="11585" max="11585" width="12.5703125" style="13" customWidth="1"/>
    <col min="11586" max="11586" width="9.85546875" style="13" customWidth="1"/>
    <col min="11587" max="11587" width="12.5703125" style="13" customWidth="1"/>
    <col min="11588" max="11588" width="10.140625" style="13" customWidth="1"/>
    <col min="11589" max="11589" width="9.42578125" style="13" customWidth="1"/>
    <col min="11590" max="11786" width="9.140625" style="13"/>
    <col min="11787" max="11787" width="5.140625" style="13" customWidth="1"/>
    <col min="11788" max="11788" width="24" style="13" customWidth="1"/>
    <col min="11789" max="11789" width="7.7109375" style="13" customWidth="1"/>
    <col min="11790" max="11790" width="9" style="13" customWidth="1"/>
    <col min="11791" max="11793" width="9.140625" style="13" customWidth="1"/>
    <col min="11794" max="11794" width="10.140625" style="13" customWidth="1"/>
    <col min="11795" max="11795" width="10.7109375" style="13" customWidth="1"/>
    <col min="11796" max="11796" width="10" style="13" customWidth="1"/>
    <col min="11797" max="11797" width="9.42578125" style="13" customWidth="1"/>
    <col min="11798" max="11799" width="10.7109375" style="13" customWidth="1"/>
    <col min="11800" max="11800" width="9.28515625" style="13" customWidth="1"/>
    <col min="11801" max="11805" width="10.7109375" style="13" customWidth="1"/>
    <col min="11806" max="11806" width="10.42578125" style="13" customWidth="1"/>
    <col min="11807" max="11809" width="8.85546875" style="13" customWidth="1"/>
    <col min="11810" max="11811" width="10.140625" style="13" customWidth="1"/>
    <col min="11812" max="11814" width="9.5703125" style="13" customWidth="1"/>
    <col min="11815" max="11815" width="10.140625" style="13" customWidth="1"/>
    <col min="11816" max="11820" width="0" style="13" hidden="1" customWidth="1"/>
    <col min="11821" max="11821" width="10.140625" style="13" customWidth="1"/>
    <col min="11822" max="11824" width="9.5703125" style="13" customWidth="1"/>
    <col min="11825" max="11825" width="10.140625" style="13" customWidth="1"/>
    <col min="11826" max="11837" width="0" style="13" hidden="1" customWidth="1"/>
    <col min="11838" max="11838" width="10.140625" style="13" customWidth="1"/>
    <col min="11839" max="11840" width="9.85546875" style="13" customWidth="1"/>
    <col min="11841" max="11841" width="12.5703125" style="13" customWidth="1"/>
    <col min="11842" max="11842" width="9.85546875" style="13" customWidth="1"/>
    <col min="11843" max="11843" width="12.5703125" style="13" customWidth="1"/>
    <col min="11844" max="11844" width="10.140625" style="13" customWidth="1"/>
    <col min="11845" max="11845" width="9.42578125" style="13" customWidth="1"/>
    <col min="11846" max="12042" width="9.140625" style="13"/>
    <col min="12043" max="12043" width="5.140625" style="13" customWidth="1"/>
    <col min="12044" max="12044" width="24" style="13" customWidth="1"/>
    <col min="12045" max="12045" width="7.7109375" style="13" customWidth="1"/>
    <col min="12046" max="12046" width="9" style="13" customWidth="1"/>
    <col min="12047" max="12049" width="9.140625" style="13" customWidth="1"/>
    <col min="12050" max="12050" width="10.140625" style="13" customWidth="1"/>
    <col min="12051" max="12051" width="10.7109375" style="13" customWidth="1"/>
    <col min="12052" max="12052" width="10" style="13" customWidth="1"/>
    <col min="12053" max="12053" width="9.42578125" style="13" customWidth="1"/>
    <col min="12054" max="12055" width="10.7109375" style="13" customWidth="1"/>
    <col min="12056" max="12056" width="9.28515625" style="13" customWidth="1"/>
    <col min="12057" max="12061" width="10.7109375" style="13" customWidth="1"/>
    <col min="12062" max="12062" width="10.42578125" style="13" customWidth="1"/>
    <col min="12063" max="12065" width="8.85546875" style="13" customWidth="1"/>
    <col min="12066" max="12067" width="10.140625" style="13" customWidth="1"/>
    <col min="12068" max="12070" width="9.5703125" style="13" customWidth="1"/>
    <col min="12071" max="12071" width="10.140625" style="13" customWidth="1"/>
    <col min="12072" max="12076" width="0" style="13" hidden="1" customWidth="1"/>
    <col min="12077" max="12077" width="10.140625" style="13" customWidth="1"/>
    <col min="12078" max="12080" width="9.5703125" style="13" customWidth="1"/>
    <col min="12081" max="12081" width="10.140625" style="13" customWidth="1"/>
    <col min="12082" max="12093" width="0" style="13" hidden="1" customWidth="1"/>
    <col min="12094" max="12094" width="10.140625" style="13" customWidth="1"/>
    <col min="12095" max="12096" width="9.85546875" style="13" customWidth="1"/>
    <col min="12097" max="12097" width="12.5703125" style="13" customWidth="1"/>
    <col min="12098" max="12098" width="9.85546875" style="13" customWidth="1"/>
    <col min="12099" max="12099" width="12.5703125" style="13" customWidth="1"/>
    <col min="12100" max="12100" width="10.140625" style="13" customWidth="1"/>
    <col min="12101" max="12101" width="9.42578125" style="13" customWidth="1"/>
    <col min="12102" max="12298" width="9.140625" style="13"/>
    <col min="12299" max="12299" width="5.140625" style="13" customWidth="1"/>
    <col min="12300" max="12300" width="24" style="13" customWidth="1"/>
    <col min="12301" max="12301" width="7.7109375" style="13" customWidth="1"/>
    <col min="12302" max="12302" width="9" style="13" customWidth="1"/>
    <col min="12303" max="12305" width="9.140625" style="13" customWidth="1"/>
    <col min="12306" max="12306" width="10.140625" style="13" customWidth="1"/>
    <col min="12307" max="12307" width="10.7109375" style="13" customWidth="1"/>
    <col min="12308" max="12308" width="10" style="13" customWidth="1"/>
    <col min="12309" max="12309" width="9.42578125" style="13" customWidth="1"/>
    <col min="12310" max="12311" width="10.7109375" style="13" customWidth="1"/>
    <col min="12312" max="12312" width="9.28515625" style="13" customWidth="1"/>
    <col min="12313" max="12317" width="10.7109375" style="13" customWidth="1"/>
    <col min="12318" max="12318" width="10.42578125" style="13" customWidth="1"/>
    <col min="12319" max="12321" width="8.85546875" style="13" customWidth="1"/>
    <col min="12322" max="12323" width="10.140625" style="13" customWidth="1"/>
    <col min="12324" max="12326" width="9.5703125" style="13" customWidth="1"/>
    <col min="12327" max="12327" width="10.140625" style="13" customWidth="1"/>
    <col min="12328" max="12332" width="0" style="13" hidden="1" customWidth="1"/>
    <col min="12333" max="12333" width="10.140625" style="13" customWidth="1"/>
    <col min="12334" max="12336" width="9.5703125" style="13" customWidth="1"/>
    <col min="12337" max="12337" width="10.140625" style="13" customWidth="1"/>
    <col min="12338" max="12349" width="0" style="13" hidden="1" customWidth="1"/>
    <col min="12350" max="12350" width="10.140625" style="13" customWidth="1"/>
    <col min="12351" max="12352" width="9.85546875" style="13" customWidth="1"/>
    <col min="12353" max="12353" width="12.5703125" style="13" customWidth="1"/>
    <col min="12354" max="12354" width="9.85546875" style="13" customWidth="1"/>
    <col min="12355" max="12355" width="12.5703125" style="13" customWidth="1"/>
    <col min="12356" max="12356" width="10.140625" style="13" customWidth="1"/>
    <col min="12357" max="12357" width="9.42578125" style="13" customWidth="1"/>
    <col min="12358" max="12554" width="9.140625" style="13"/>
    <col min="12555" max="12555" width="5.140625" style="13" customWidth="1"/>
    <col min="12556" max="12556" width="24" style="13" customWidth="1"/>
    <col min="12557" max="12557" width="7.7109375" style="13" customWidth="1"/>
    <col min="12558" max="12558" width="9" style="13" customWidth="1"/>
    <col min="12559" max="12561" width="9.140625" style="13" customWidth="1"/>
    <col min="12562" max="12562" width="10.140625" style="13" customWidth="1"/>
    <col min="12563" max="12563" width="10.7109375" style="13" customWidth="1"/>
    <col min="12564" max="12564" width="10" style="13" customWidth="1"/>
    <col min="12565" max="12565" width="9.42578125" style="13" customWidth="1"/>
    <col min="12566" max="12567" width="10.7109375" style="13" customWidth="1"/>
    <col min="12568" max="12568" width="9.28515625" style="13" customWidth="1"/>
    <col min="12569" max="12573" width="10.7109375" style="13" customWidth="1"/>
    <col min="12574" max="12574" width="10.42578125" style="13" customWidth="1"/>
    <col min="12575" max="12577" width="8.85546875" style="13" customWidth="1"/>
    <col min="12578" max="12579" width="10.140625" style="13" customWidth="1"/>
    <col min="12580" max="12582" width="9.5703125" style="13" customWidth="1"/>
    <col min="12583" max="12583" width="10.140625" style="13" customWidth="1"/>
    <col min="12584" max="12588" width="0" style="13" hidden="1" customWidth="1"/>
    <col min="12589" max="12589" width="10.140625" style="13" customWidth="1"/>
    <col min="12590" max="12592" width="9.5703125" style="13" customWidth="1"/>
    <col min="12593" max="12593" width="10.140625" style="13" customWidth="1"/>
    <col min="12594" max="12605" width="0" style="13" hidden="1" customWidth="1"/>
    <col min="12606" max="12606" width="10.140625" style="13" customWidth="1"/>
    <col min="12607" max="12608" width="9.85546875" style="13" customWidth="1"/>
    <col min="12609" max="12609" width="12.5703125" style="13" customWidth="1"/>
    <col min="12610" max="12610" width="9.85546875" style="13" customWidth="1"/>
    <col min="12611" max="12611" width="12.5703125" style="13" customWidth="1"/>
    <col min="12612" max="12612" width="10.140625" style="13" customWidth="1"/>
    <col min="12613" max="12613" width="9.42578125" style="13" customWidth="1"/>
    <col min="12614" max="12810" width="9.140625" style="13"/>
    <col min="12811" max="12811" width="5.140625" style="13" customWidth="1"/>
    <col min="12812" max="12812" width="24" style="13" customWidth="1"/>
    <col min="12813" max="12813" width="7.7109375" style="13" customWidth="1"/>
    <col min="12814" max="12814" width="9" style="13" customWidth="1"/>
    <col min="12815" max="12817" width="9.140625" style="13" customWidth="1"/>
    <col min="12818" max="12818" width="10.140625" style="13" customWidth="1"/>
    <col min="12819" max="12819" width="10.7109375" style="13" customWidth="1"/>
    <col min="12820" max="12820" width="10" style="13" customWidth="1"/>
    <col min="12821" max="12821" width="9.42578125" style="13" customWidth="1"/>
    <col min="12822" max="12823" width="10.7109375" style="13" customWidth="1"/>
    <col min="12824" max="12824" width="9.28515625" style="13" customWidth="1"/>
    <col min="12825" max="12829" width="10.7109375" style="13" customWidth="1"/>
    <col min="12830" max="12830" width="10.42578125" style="13" customWidth="1"/>
    <col min="12831" max="12833" width="8.85546875" style="13" customWidth="1"/>
    <col min="12834" max="12835" width="10.140625" style="13" customWidth="1"/>
    <col min="12836" max="12838" width="9.5703125" style="13" customWidth="1"/>
    <col min="12839" max="12839" width="10.140625" style="13" customWidth="1"/>
    <col min="12840" max="12844" width="0" style="13" hidden="1" customWidth="1"/>
    <col min="12845" max="12845" width="10.140625" style="13" customWidth="1"/>
    <col min="12846" max="12848" width="9.5703125" style="13" customWidth="1"/>
    <col min="12849" max="12849" width="10.140625" style="13" customWidth="1"/>
    <col min="12850" max="12861" width="0" style="13" hidden="1" customWidth="1"/>
    <col min="12862" max="12862" width="10.140625" style="13" customWidth="1"/>
    <col min="12863" max="12864" width="9.85546875" style="13" customWidth="1"/>
    <col min="12865" max="12865" width="12.5703125" style="13" customWidth="1"/>
    <col min="12866" max="12866" width="9.85546875" style="13" customWidth="1"/>
    <col min="12867" max="12867" width="12.5703125" style="13" customWidth="1"/>
    <col min="12868" max="12868" width="10.140625" style="13" customWidth="1"/>
    <col min="12869" max="12869" width="9.42578125" style="13" customWidth="1"/>
    <col min="12870" max="13066" width="9.140625" style="13"/>
    <col min="13067" max="13067" width="5.140625" style="13" customWidth="1"/>
    <col min="13068" max="13068" width="24" style="13" customWidth="1"/>
    <col min="13069" max="13069" width="7.7109375" style="13" customWidth="1"/>
    <col min="13070" max="13070" width="9" style="13" customWidth="1"/>
    <col min="13071" max="13073" width="9.140625" style="13" customWidth="1"/>
    <col min="13074" max="13074" width="10.140625" style="13" customWidth="1"/>
    <col min="13075" max="13075" width="10.7109375" style="13" customWidth="1"/>
    <col min="13076" max="13076" width="10" style="13" customWidth="1"/>
    <col min="13077" max="13077" width="9.42578125" style="13" customWidth="1"/>
    <col min="13078" max="13079" width="10.7109375" style="13" customWidth="1"/>
    <col min="13080" max="13080" width="9.28515625" style="13" customWidth="1"/>
    <col min="13081" max="13085" width="10.7109375" style="13" customWidth="1"/>
    <col min="13086" max="13086" width="10.42578125" style="13" customWidth="1"/>
    <col min="13087" max="13089" width="8.85546875" style="13" customWidth="1"/>
    <col min="13090" max="13091" width="10.140625" style="13" customWidth="1"/>
    <col min="13092" max="13094" width="9.5703125" style="13" customWidth="1"/>
    <col min="13095" max="13095" width="10.140625" style="13" customWidth="1"/>
    <col min="13096" max="13100" width="0" style="13" hidden="1" customWidth="1"/>
    <col min="13101" max="13101" width="10.140625" style="13" customWidth="1"/>
    <col min="13102" max="13104" width="9.5703125" style="13" customWidth="1"/>
    <col min="13105" max="13105" width="10.140625" style="13" customWidth="1"/>
    <col min="13106" max="13117" width="0" style="13" hidden="1" customWidth="1"/>
    <col min="13118" max="13118" width="10.140625" style="13" customWidth="1"/>
    <col min="13119" max="13120" width="9.85546875" style="13" customWidth="1"/>
    <col min="13121" max="13121" width="12.5703125" style="13" customWidth="1"/>
    <col min="13122" max="13122" width="9.85546875" style="13" customWidth="1"/>
    <col min="13123" max="13123" width="12.5703125" style="13" customWidth="1"/>
    <col min="13124" max="13124" width="10.140625" style="13" customWidth="1"/>
    <col min="13125" max="13125" width="9.42578125" style="13" customWidth="1"/>
    <col min="13126" max="13322" width="9.140625" style="13"/>
    <col min="13323" max="13323" width="5.140625" style="13" customWidth="1"/>
    <col min="13324" max="13324" width="24" style="13" customWidth="1"/>
    <col min="13325" max="13325" width="7.7109375" style="13" customWidth="1"/>
    <col min="13326" max="13326" width="9" style="13" customWidth="1"/>
    <col min="13327" max="13329" width="9.140625" style="13" customWidth="1"/>
    <col min="13330" max="13330" width="10.140625" style="13" customWidth="1"/>
    <col min="13331" max="13331" width="10.7109375" style="13" customWidth="1"/>
    <col min="13332" max="13332" width="10" style="13" customWidth="1"/>
    <col min="13333" max="13333" width="9.42578125" style="13" customWidth="1"/>
    <col min="13334" max="13335" width="10.7109375" style="13" customWidth="1"/>
    <col min="13336" max="13336" width="9.28515625" style="13" customWidth="1"/>
    <col min="13337" max="13341" width="10.7109375" style="13" customWidth="1"/>
    <col min="13342" max="13342" width="10.42578125" style="13" customWidth="1"/>
    <col min="13343" max="13345" width="8.85546875" style="13" customWidth="1"/>
    <col min="13346" max="13347" width="10.140625" style="13" customWidth="1"/>
    <col min="13348" max="13350" width="9.5703125" style="13" customWidth="1"/>
    <col min="13351" max="13351" width="10.140625" style="13" customWidth="1"/>
    <col min="13352" max="13356" width="0" style="13" hidden="1" customWidth="1"/>
    <col min="13357" max="13357" width="10.140625" style="13" customWidth="1"/>
    <col min="13358" max="13360" width="9.5703125" style="13" customWidth="1"/>
    <col min="13361" max="13361" width="10.140625" style="13" customWidth="1"/>
    <col min="13362" max="13373" width="0" style="13" hidden="1" customWidth="1"/>
    <col min="13374" max="13374" width="10.140625" style="13" customWidth="1"/>
    <col min="13375" max="13376" width="9.85546875" style="13" customWidth="1"/>
    <col min="13377" max="13377" width="12.5703125" style="13" customWidth="1"/>
    <col min="13378" max="13378" width="9.85546875" style="13" customWidth="1"/>
    <col min="13379" max="13379" width="12.5703125" style="13" customWidth="1"/>
    <col min="13380" max="13380" width="10.140625" style="13" customWidth="1"/>
    <col min="13381" max="13381" width="9.42578125" style="13" customWidth="1"/>
    <col min="13382" max="13578" width="9.140625" style="13"/>
    <col min="13579" max="13579" width="5.140625" style="13" customWidth="1"/>
    <col min="13580" max="13580" width="24" style="13" customWidth="1"/>
    <col min="13581" max="13581" width="7.7109375" style="13" customWidth="1"/>
    <col min="13582" max="13582" width="9" style="13" customWidth="1"/>
    <col min="13583" max="13585" width="9.140625" style="13" customWidth="1"/>
    <col min="13586" max="13586" width="10.140625" style="13" customWidth="1"/>
    <col min="13587" max="13587" width="10.7109375" style="13" customWidth="1"/>
    <col min="13588" max="13588" width="10" style="13" customWidth="1"/>
    <col min="13589" max="13589" width="9.42578125" style="13" customWidth="1"/>
    <col min="13590" max="13591" width="10.7109375" style="13" customWidth="1"/>
    <col min="13592" max="13592" width="9.28515625" style="13" customWidth="1"/>
    <col min="13593" max="13597" width="10.7109375" style="13" customWidth="1"/>
    <col min="13598" max="13598" width="10.42578125" style="13" customWidth="1"/>
    <col min="13599" max="13601" width="8.85546875" style="13" customWidth="1"/>
    <col min="13602" max="13603" width="10.140625" style="13" customWidth="1"/>
    <col min="13604" max="13606" width="9.5703125" style="13" customWidth="1"/>
    <col min="13607" max="13607" width="10.140625" style="13" customWidth="1"/>
    <col min="13608" max="13612" width="0" style="13" hidden="1" customWidth="1"/>
    <col min="13613" max="13613" width="10.140625" style="13" customWidth="1"/>
    <col min="13614" max="13616" width="9.5703125" style="13" customWidth="1"/>
    <col min="13617" max="13617" width="10.140625" style="13" customWidth="1"/>
    <col min="13618" max="13629" width="0" style="13" hidden="1" customWidth="1"/>
    <col min="13630" max="13630" width="10.140625" style="13" customWidth="1"/>
    <col min="13631" max="13632" width="9.85546875" style="13" customWidth="1"/>
    <col min="13633" max="13633" width="12.5703125" style="13" customWidth="1"/>
    <col min="13634" max="13634" width="9.85546875" style="13" customWidth="1"/>
    <col min="13635" max="13635" width="12.5703125" style="13" customWidth="1"/>
    <col min="13636" max="13636" width="10.140625" style="13" customWidth="1"/>
    <col min="13637" max="13637" width="9.42578125" style="13" customWidth="1"/>
    <col min="13638" max="13834" width="9.140625" style="13"/>
    <col min="13835" max="13835" width="5.140625" style="13" customWidth="1"/>
    <col min="13836" max="13836" width="24" style="13" customWidth="1"/>
    <col min="13837" max="13837" width="7.7109375" style="13" customWidth="1"/>
    <col min="13838" max="13838" width="9" style="13" customWidth="1"/>
    <col min="13839" max="13841" width="9.140625" style="13" customWidth="1"/>
    <col min="13842" max="13842" width="10.140625" style="13" customWidth="1"/>
    <col min="13843" max="13843" width="10.7109375" style="13" customWidth="1"/>
    <col min="13844" max="13844" width="10" style="13" customWidth="1"/>
    <col min="13845" max="13845" width="9.42578125" style="13" customWidth="1"/>
    <col min="13846" max="13847" width="10.7109375" style="13" customWidth="1"/>
    <col min="13848" max="13848" width="9.28515625" style="13" customWidth="1"/>
    <col min="13849" max="13853" width="10.7109375" style="13" customWidth="1"/>
    <col min="13854" max="13854" width="10.42578125" style="13" customWidth="1"/>
    <col min="13855" max="13857" width="8.85546875" style="13" customWidth="1"/>
    <col min="13858" max="13859" width="10.140625" style="13" customWidth="1"/>
    <col min="13860" max="13862" width="9.5703125" style="13" customWidth="1"/>
    <col min="13863" max="13863" width="10.140625" style="13" customWidth="1"/>
    <col min="13864" max="13868" width="0" style="13" hidden="1" customWidth="1"/>
    <col min="13869" max="13869" width="10.140625" style="13" customWidth="1"/>
    <col min="13870" max="13872" width="9.5703125" style="13" customWidth="1"/>
    <col min="13873" max="13873" width="10.140625" style="13" customWidth="1"/>
    <col min="13874" max="13885" width="0" style="13" hidden="1" customWidth="1"/>
    <col min="13886" max="13886" width="10.140625" style="13" customWidth="1"/>
    <col min="13887" max="13888" width="9.85546875" style="13" customWidth="1"/>
    <col min="13889" max="13889" width="12.5703125" style="13" customWidth="1"/>
    <col min="13890" max="13890" width="9.85546875" style="13" customWidth="1"/>
    <col min="13891" max="13891" width="12.5703125" style="13" customWidth="1"/>
    <col min="13892" max="13892" width="10.140625" style="13" customWidth="1"/>
    <col min="13893" max="13893" width="9.42578125" style="13" customWidth="1"/>
    <col min="13894" max="14090" width="9.140625" style="13"/>
    <col min="14091" max="14091" width="5.140625" style="13" customWidth="1"/>
    <col min="14092" max="14092" width="24" style="13" customWidth="1"/>
    <col min="14093" max="14093" width="7.7109375" style="13" customWidth="1"/>
    <col min="14094" max="14094" width="9" style="13" customWidth="1"/>
    <col min="14095" max="14097" width="9.140625" style="13" customWidth="1"/>
    <col min="14098" max="14098" width="10.140625" style="13" customWidth="1"/>
    <col min="14099" max="14099" width="10.7109375" style="13" customWidth="1"/>
    <col min="14100" max="14100" width="10" style="13" customWidth="1"/>
    <col min="14101" max="14101" width="9.42578125" style="13" customWidth="1"/>
    <col min="14102" max="14103" width="10.7109375" style="13" customWidth="1"/>
    <col min="14104" max="14104" width="9.28515625" style="13" customWidth="1"/>
    <col min="14105" max="14109" width="10.7109375" style="13" customWidth="1"/>
    <col min="14110" max="14110" width="10.42578125" style="13" customWidth="1"/>
    <col min="14111" max="14113" width="8.85546875" style="13" customWidth="1"/>
    <col min="14114" max="14115" width="10.140625" style="13" customWidth="1"/>
    <col min="14116" max="14118" width="9.5703125" style="13" customWidth="1"/>
    <col min="14119" max="14119" width="10.140625" style="13" customWidth="1"/>
    <col min="14120" max="14124" width="0" style="13" hidden="1" customWidth="1"/>
    <col min="14125" max="14125" width="10.140625" style="13" customWidth="1"/>
    <col min="14126" max="14128" width="9.5703125" style="13" customWidth="1"/>
    <col min="14129" max="14129" width="10.140625" style="13" customWidth="1"/>
    <col min="14130" max="14141" width="0" style="13" hidden="1" customWidth="1"/>
    <col min="14142" max="14142" width="10.140625" style="13" customWidth="1"/>
    <col min="14143" max="14144" width="9.85546875" style="13" customWidth="1"/>
    <col min="14145" max="14145" width="12.5703125" style="13" customWidth="1"/>
    <col min="14146" max="14146" width="9.85546875" style="13" customWidth="1"/>
    <col min="14147" max="14147" width="12.5703125" style="13" customWidth="1"/>
    <col min="14148" max="14148" width="10.140625" style="13" customWidth="1"/>
    <col min="14149" max="14149" width="9.42578125" style="13" customWidth="1"/>
    <col min="14150" max="14346" width="9.140625" style="13"/>
    <col min="14347" max="14347" width="5.140625" style="13" customWidth="1"/>
    <col min="14348" max="14348" width="24" style="13" customWidth="1"/>
    <col min="14349" max="14349" width="7.7109375" style="13" customWidth="1"/>
    <col min="14350" max="14350" width="9" style="13" customWidth="1"/>
    <col min="14351" max="14353" width="9.140625" style="13" customWidth="1"/>
    <col min="14354" max="14354" width="10.140625" style="13" customWidth="1"/>
    <col min="14355" max="14355" width="10.7109375" style="13" customWidth="1"/>
    <col min="14356" max="14356" width="10" style="13" customWidth="1"/>
    <col min="14357" max="14357" width="9.42578125" style="13" customWidth="1"/>
    <col min="14358" max="14359" width="10.7109375" style="13" customWidth="1"/>
    <col min="14360" max="14360" width="9.28515625" style="13" customWidth="1"/>
    <col min="14361" max="14365" width="10.7109375" style="13" customWidth="1"/>
    <col min="14366" max="14366" width="10.42578125" style="13" customWidth="1"/>
    <col min="14367" max="14369" width="8.85546875" style="13" customWidth="1"/>
    <col min="14370" max="14371" width="10.140625" style="13" customWidth="1"/>
    <col min="14372" max="14374" width="9.5703125" style="13" customWidth="1"/>
    <col min="14375" max="14375" width="10.140625" style="13" customWidth="1"/>
    <col min="14376" max="14380" width="0" style="13" hidden="1" customWidth="1"/>
    <col min="14381" max="14381" width="10.140625" style="13" customWidth="1"/>
    <col min="14382" max="14384" width="9.5703125" style="13" customWidth="1"/>
    <col min="14385" max="14385" width="10.140625" style="13" customWidth="1"/>
    <col min="14386" max="14397" width="0" style="13" hidden="1" customWidth="1"/>
    <col min="14398" max="14398" width="10.140625" style="13" customWidth="1"/>
    <col min="14399" max="14400" width="9.85546875" style="13" customWidth="1"/>
    <col min="14401" max="14401" width="12.5703125" style="13" customWidth="1"/>
    <col min="14402" max="14402" width="9.85546875" style="13" customWidth="1"/>
    <col min="14403" max="14403" width="12.5703125" style="13" customWidth="1"/>
    <col min="14404" max="14404" width="10.140625" style="13" customWidth="1"/>
    <col min="14405" max="14405" width="9.42578125" style="13" customWidth="1"/>
    <col min="14406" max="14602" width="9.140625" style="13"/>
    <col min="14603" max="14603" width="5.140625" style="13" customWidth="1"/>
    <col min="14604" max="14604" width="24" style="13" customWidth="1"/>
    <col min="14605" max="14605" width="7.7109375" style="13" customWidth="1"/>
    <col min="14606" max="14606" width="9" style="13" customWidth="1"/>
    <col min="14607" max="14609" width="9.140625" style="13" customWidth="1"/>
    <col min="14610" max="14610" width="10.140625" style="13" customWidth="1"/>
    <col min="14611" max="14611" width="10.7109375" style="13" customWidth="1"/>
    <col min="14612" max="14612" width="10" style="13" customWidth="1"/>
    <col min="14613" max="14613" width="9.42578125" style="13" customWidth="1"/>
    <col min="14614" max="14615" width="10.7109375" style="13" customWidth="1"/>
    <col min="14616" max="14616" width="9.28515625" style="13" customWidth="1"/>
    <col min="14617" max="14621" width="10.7109375" style="13" customWidth="1"/>
    <col min="14622" max="14622" width="10.42578125" style="13" customWidth="1"/>
    <col min="14623" max="14625" width="8.85546875" style="13" customWidth="1"/>
    <col min="14626" max="14627" width="10.140625" style="13" customWidth="1"/>
    <col min="14628" max="14630" width="9.5703125" style="13" customWidth="1"/>
    <col min="14631" max="14631" width="10.140625" style="13" customWidth="1"/>
    <col min="14632" max="14636" width="0" style="13" hidden="1" customWidth="1"/>
    <col min="14637" max="14637" width="10.140625" style="13" customWidth="1"/>
    <col min="14638" max="14640" width="9.5703125" style="13" customWidth="1"/>
    <col min="14641" max="14641" width="10.140625" style="13" customWidth="1"/>
    <col min="14642" max="14653" width="0" style="13" hidden="1" customWidth="1"/>
    <col min="14654" max="14654" width="10.140625" style="13" customWidth="1"/>
    <col min="14655" max="14656" width="9.85546875" style="13" customWidth="1"/>
    <col min="14657" max="14657" width="12.5703125" style="13" customWidth="1"/>
    <col min="14658" max="14658" width="9.85546875" style="13" customWidth="1"/>
    <col min="14659" max="14659" width="12.5703125" style="13" customWidth="1"/>
    <col min="14660" max="14660" width="10.140625" style="13" customWidth="1"/>
    <col min="14661" max="14661" width="9.42578125" style="13" customWidth="1"/>
    <col min="14662" max="14858" width="9.140625" style="13"/>
    <col min="14859" max="14859" width="5.140625" style="13" customWidth="1"/>
    <col min="14860" max="14860" width="24" style="13" customWidth="1"/>
    <col min="14861" max="14861" width="7.7109375" style="13" customWidth="1"/>
    <col min="14862" max="14862" width="9" style="13" customWidth="1"/>
    <col min="14863" max="14865" width="9.140625" style="13" customWidth="1"/>
    <col min="14866" max="14866" width="10.140625" style="13" customWidth="1"/>
    <col min="14867" max="14867" width="10.7109375" style="13" customWidth="1"/>
    <col min="14868" max="14868" width="10" style="13" customWidth="1"/>
    <col min="14869" max="14869" width="9.42578125" style="13" customWidth="1"/>
    <col min="14870" max="14871" width="10.7109375" style="13" customWidth="1"/>
    <col min="14872" max="14872" width="9.28515625" style="13" customWidth="1"/>
    <col min="14873" max="14877" width="10.7109375" style="13" customWidth="1"/>
    <col min="14878" max="14878" width="10.42578125" style="13" customWidth="1"/>
    <col min="14879" max="14881" width="8.85546875" style="13" customWidth="1"/>
    <col min="14882" max="14883" width="10.140625" style="13" customWidth="1"/>
    <col min="14884" max="14886" width="9.5703125" style="13" customWidth="1"/>
    <col min="14887" max="14887" width="10.140625" style="13" customWidth="1"/>
    <col min="14888" max="14892" width="0" style="13" hidden="1" customWidth="1"/>
    <col min="14893" max="14893" width="10.140625" style="13" customWidth="1"/>
    <col min="14894" max="14896" width="9.5703125" style="13" customWidth="1"/>
    <col min="14897" max="14897" width="10.140625" style="13" customWidth="1"/>
    <col min="14898" max="14909" width="0" style="13" hidden="1" customWidth="1"/>
    <col min="14910" max="14910" width="10.140625" style="13" customWidth="1"/>
    <col min="14911" max="14912" width="9.85546875" style="13" customWidth="1"/>
    <col min="14913" max="14913" width="12.5703125" style="13" customWidth="1"/>
    <col min="14914" max="14914" width="9.85546875" style="13" customWidth="1"/>
    <col min="14915" max="14915" width="12.5703125" style="13" customWidth="1"/>
    <col min="14916" max="14916" width="10.140625" style="13" customWidth="1"/>
    <col min="14917" max="14917" width="9.42578125" style="13" customWidth="1"/>
    <col min="14918" max="15114" width="9.140625" style="13"/>
    <col min="15115" max="15115" width="5.140625" style="13" customWidth="1"/>
    <col min="15116" max="15116" width="24" style="13" customWidth="1"/>
    <col min="15117" max="15117" width="7.7109375" style="13" customWidth="1"/>
    <col min="15118" max="15118" width="9" style="13" customWidth="1"/>
    <col min="15119" max="15121" width="9.140625" style="13" customWidth="1"/>
    <col min="15122" max="15122" width="10.140625" style="13" customWidth="1"/>
    <col min="15123" max="15123" width="10.7109375" style="13" customWidth="1"/>
    <col min="15124" max="15124" width="10" style="13" customWidth="1"/>
    <col min="15125" max="15125" width="9.42578125" style="13" customWidth="1"/>
    <col min="15126" max="15127" width="10.7109375" style="13" customWidth="1"/>
    <col min="15128" max="15128" width="9.28515625" style="13" customWidth="1"/>
    <col min="15129" max="15133" width="10.7109375" style="13" customWidth="1"/>
    <col min="15134" max="15134" width="10.42578125" style="13" customWidth="1"/>
    <col min="15135" max="15137" width="8.85546875" style="13" customWidth="1"/>
    <col min="15138" max="15139" width="10.140625" style="13" customWidth="1"/>
    <col min="15140" max="15142" width="9.5703125" style="13" customWidth="1"/>
    <col min="15143" max="15143" width="10.140625" style="13" customWidth="1"/>
    <col min="15144" max="15148" width="0" style="13" hidden="1" customWidth="1"/>
    <col min="15149" max="15149" width="10.140625" style="13" customWidth="1"/>
    <col min="15150" max="15152" width="9.5703125" style="13" customWidth="1"/>
    <col min="15153" max="15153" width="10.140625" style="13" customWidth="1"/>
    <col min="15154" max="15165" width="0" style="13" hidden="1" customWidth="1"/>
    <col min="15166" max="15166" width="10.140625" style="13" customWidth="1"/>
    <col min="15167" max="15168" width="9.85546875" style="13" customWidth="1"/>
    <col min="15169" max="15169" width="12.5703125" style="13" customWidth="1"/>
    <col min="15170" max="15170" width="9.85546875" style="13" customWidth="1"/>
    <col min="15171" max="15171" width="12.5703125" style="13" customWidth="1"/>
    <col min="15172" max="15172" width="10.140625" style="13" customWidth="1"/>
    <col min="15173" max="15173" width="9.42578125" style="13" customWidth="1"/>
    <col min="15174" max="15370" width="9.140625" style="13"/>
    <col min="15371" max="15371" width="5.140625" style="13" customWidth="1"/>
    <col min="15372" max="15372" width="24" style="13" customWidth="1"/>
    <col min="15373" max="15373" width="7.7109375" style="13" customWidth="1"/>
    <col min="15374" max="15374" width="9" style="13" customWidth="1"/>
    <col min="15375" max="15377" width="9.140625" style="13" customWidth="1"/>
    <col min="15378" max="15378" width="10.140625" style="13" customWidth="1"/>
    <col min="15379" max="15379" width="10.7109375" style="13" customWidth="1"/>
    <col min="15380" max="15380" width="10" style="13" customWidth="1"/>
    <col min="15381" max="15381" width="9.42578125" style="13" customWidth="1"/>
    <col min="15382" max="15383" width="10.7109375" style="13" customWidth="1"/>
    <col min="15384" max="15384" width="9.28515625" style="13" customWidth="1"/>
    <col min="15385" max="15389" width="10.7109375" style="13" customWidth="1"/>
    <col min="15390" max="15390" width="10.42578125" style="13" customWidth="1"/>
    <col min="15391" max="15393" width="8.85546875" style="13" customWidth="1"/>
    <col min="15394" max="15395" width="10.140625" style="13" customWidth="1"/>
    <col min="15396" max="15398" width="9.5703125" style="13" customWidth="1"/>
    <col min="15399" max="15399" width="10.140625" style="13" customWidth="1"/>
    <col min="15400" max="15404" width="0" style="13" hidden="1" customWidth="1"/>
    <col min="15405" max="15405" width="10.140625" style="13" customWidth="1"/>
    <col min="15406" max="15408" width="9.5703125" style="13" customWidth="1"/>
    <col min="15409" max="15409" width="10.140625" style="13" customWidth="1"/>
    <col min="15410" max="15421" width="0" style="13" hidden="1" customWidth="1"/>
    <col min="15422" max="15422" width="10.140625" style="13" customWidth="1"/>
    <col min="15423" max="15424" width="9.85546875" style="13" customWidth="1"/>
    <col min="15425" max="15425" width="12.5703125" style="13" customWidth="1"/>
    <col min="15426" max="15426" width="9.85546875" style="13" customWidth="1"/>
    <col min="15427" max="15427" width="12.5703125" style="13" customWidth="1"/>
    <col min="15428" max="15428" width="10.140625" style="13" customWidth="1"/>
    <col min="15429" max="15429" width="9.42578125" style="13" customWidth="1"/>
    <col min="15430" max="15626" width="9.140625" style="13"/>
    <col min="15627" max="15627" width="5.140625" style="13" customWidth="1"/>
    <col min="15628" max="15628" width="24" style="13" customWidth="1"/>
    <col min="15629" max="15629" width="7.7109375" style="13" customWidth="1"/>
    <col min="15630" max="15630" width="9" style="13" customWidth="1"/>
    <col min="15631" max="15633" width="9.140625" style="13" customWidth="1"/>
    <col min="15634" max="15634" width="10.140625" style="13" customWidth="1"/>
    <col min="15635" max="15635" width="10.7109375" style="13" customWidth="1"/>
    <col min="15636" max="15636" width="10" style="13" customWidth="1"/>
    <col min="15637" max="15637" width="9.42578125" style="13" customWidth="1"/>
    <col min="15638" max="15639" width="10.7109375" style="13" customWidth="1"/>
    <col min="15640" max="15640" width="9.28515625" style="13" customWidth="1"/>
    <col min="15641" max="15645" width="10.7109375" style="13" customWidth="1"/>
    <col min="15646" max="15646" width="10.42578125" style="13" customWidth="1"/>
    <col min="15647" max="15649" width="8.85546875" style="13" customWidth="1"/>
    <col min="15650" max="15651" width="10.140625" style="13" customWidth="1"/>
    <col min="15652" max="15654" width="9.5703125" style="13" customWidth="1"/>
    <col min="15655" max="15655" width="10.140625" style="13" customWidth="1"/>
    <col min="15656" max="15660" width="0" style="13" hidden="1" customWidth="1"/>
    <col min="15661" max="15661" width="10.140625" style="13" customWidth="1"/>
    <col min="15662" max="15664" width="9.5703125" style="13" customWidth="1"/>
    <col min="15665" max="15665" width="10.140625" style="13" customWidth="1"/>
    <col min="15666" max="15677" width="0" style="13" hidden="1" customWidth="1"/>
    <col min="15678" max="15678" width="10.140625" style="13" customWidth="1"/>
    <col min="15679" max="15680" width="9.85546875" style="13" customWidth="1"/>
    <col min="15681" max="15681" width="12.5703125" style="13" customWidth="1"/>
    <col min="15682" max="15682" width="9.85546875" style="13" customWidth="1"/>
    <col min="15683" max="15683" width="12.5703125" style="13" customWidth="1"/>
    <col min="15684" max="15684" width="10.140625" style="13" customWidth="1"/>
    <col min="15685" max="15685" width="9.42578125" style="13" customWidth="1"/>
    <col min="15686" max="15882" width="9.140625" style="13"/>
    <col min="15883" max="15883" width="5.140625" style="13" customWidth="1"/>
    <col min="15884" max="15884" width="24" style="13" customWidth="1"/>
    <col min="15885" max="15885" width="7.7109375" style="13" customWidth="1"/>
    <col min="15886" max="15886" width="9" style="13" customWidth="1"/>
    <col min="15887" max="15889" width="9.140625" style="13" customWidth="1"/>
    <col min="15890" max="15890" width="10.140625" style="13" customWidth="1"/>
    <col min="15891" max="15891" width="10.7109375" style="13" customWidth="1"/>
    <col min="15892" max="15892" width="10" style="13" customWidth="1"/>
    <col min="15893" max="15893" width="9.42578125" style="13" customWidth="1"/>
    <col min="15894" max="15895" width="10.7109375" style="13" customWidth="1"/>
    <col min="15896" max="15896" width="9.28515625" style="13" customWidth="1"/>
    <col min="15897" max="15901" width="10.7109375" style="13" customWidth="1"/>
    <col min="15902" max="15902" width="10.42578125" style="13" customWidth="1"/>
    <col min="15903" max="15905" width="8.85546875" style="13" customWidth="1"/>
    <col min="15906" max="15907" width="10.140625" style="13" customWidth="1"/>
    <col min="15908" max="15910" width="9.5703125" style="13" customWidth="1"/>
    <col min="15911" max="15911" width="10.140625" style="13" customWidth="1"/>
    <col min="15912" max="15916" width="0" style="13" hidden="1" customWidth="1"/>
    <col min="15917" max="15917" width="10.140625" style="13" customWidth="1"/>
    <col min="15918" max="15920" width="9.5703125" style="13" customWidth="1"/>
    <col min="15921" max="15921" width="10.140625" style="13" customWidth="1"/>
    <col min="15922" max="15933" width="0" style="13" hidden="1" customWidth="1"/>
    <col min="15934" max="15934" width="10.140625" style="13" customWidth="1"/>
    <col min="15935" max="15936" width="9.85546875" style="13" customWidth="1"/>
    <col min="15937" max="15937" width="12.5703125" style="13" customWidth="1"/>
    <col min="15938" max="15938" width="9.85546875" style="13" customWidth="1"/>
    <col min="15939" max="15939" width="12.5703125" style="13" customWidth="1"/>
    <col min="15940" max="15940" width="10.140625" style="13" customWidth="1"/>
    <col min="15941" max="15941" width="9.42578125" style="13" customWidth="1"/>
    <col min="15942" max="16138" width="9.140625" style="13"/>
    <col min="16139" max="16139" width="5.140625" style="13" customWidth="1"/>
    <col min="16140" max="16140" width="24" style="13" customWidth="1"/>
    <col min="16141" max="16141" width="7.7109375" style="13" customWidth="1"/>
    <col min="16142" max="16142" width="9" style="13" customWidth="1"/>
    <col min="16143" max="16145" width="9.140625" style="13" customWidth="1"/>
    <col min="16146" max="16146" width="10.140625" style="13" customWidth="1"/>
    <col min="16147" max="16147" width="10.7109375" style="13" customWidth="1"/>
    <col min="16148" max="16148" width="10" style="13" customWidth="1"/>
    <col min="16149" max="16149" width="9.42578125" style="13" customWidth="1"/>
    <col min="16150" max="16151" width="10.7109375" style="13" customWidth="1"/>
    <col min="16152" max="16152" width="9.28515625" style="13" customWidth="1"/>
    <col min="16153" max="16157" width="10.7109375" style="13" customWidth="1"/>
    <col min="16158" max="16158" width="10.42578125" style="13" customWidth="1"/>
    <col min="16159" max="16161" width="8.85546875" style="13" customWidth="1"/>
    <col min="16162" max="16163" width="10.140625" style="13" customWidth="1"/>
    <col min="16164" max="16166" width="9.5703125" style="13" customWidth="1"/>
    <col min="16167" max="16167" width="10.140625" style="13" customWidth="1"/>
    <col min="16168" max="16172" width="0" style="13" hidden="1" customWidth="1"/>
    <col min="16173" max="16173" width="10.140625" style="13" customWidth="1"/>
    <col min="16174" max="16176" width="9.5703125" style="13" customWidth="1"/>
    <col min="16177" max="16177" width="10.140625" style="13" customWidth="1"/>
    <col min="16178" max="16189" width="0" style="13" hidden="1" customWidth="1"/>
    <col min="16190" max="16190" width="10.140625" style="13" customWidth="1"/>
    <col min="16191" max="16192" width="9.85546875" style="13" customWidth="1"/>
    <col min="16193" max="16193" width="12.5703125" style="13" customWidth="1"/>
    <col min="16194" max="16194" width="9.85546875" style="13" customWidth="1"/>
    <col min="16195" max="16195" width="12.5703125" style="13" customWidth="1"/>
    <col min="16196" max="16196" width="10.140625" style="13" customWidth="1"/>
    <col min="16197" max="16197" width="9.42578125" style="13" customWidth="1"/>
    <col min="16198" max="16384" width="9.140625" style="13"/>
  </cols>
  <sheetData>
    <row r="1" spans="1:72" s="14" customFormat="1" ht="34.5" customHeight="1">
      <c r="A1" s="1728" t="s">
        <v>92</v>
      </c>
      <c r="B1" s="1728"/>
      <c r="C1" s="1728"/>
      <c r="D1" s="1728"/>
      <c r="E1" s="1728"/>
      <c r="F1" s="1728"/>
      <c r="G1" s="1728"/>
      <c r="H1" s="1728"/>
      <c r="I1" s="1728"/>
      <c r="J1" s="1728"/>
      <c r="K1" s="1728"/>
      <c r="L1" s="1728"/>
      <c r="M1" s="1728"/>
      <c r="N1" s="1728"/>
      <c r="O1" s="1728"/>
      <c r="P1" s="1728"/>
      <c r="Q1" s="1728"/>
      <c r="R1" s="1728"/>
      <c r="S1" s="1728"/>
      <c r="T1" s="1728"/>
      <c r="U1" s="1728"/>
      <c r="V1" s="1728"/>
      <c r="W1" s="1728"/>
      <c r="X1" s="1728"/>
      <c r="Y1" s="1728"/>
      <c r="Z1" s="1728"/>
      <c r="AA1" s="1728"/>
      <c r="AB1" s="1728"/>
      <c r="AC1" s="1728"/>
      <c r="AD1" s="1728"/>
      <c r="AE1" s="1728"/>
      <c r="AF1" s="1728"/>
      <c r="AG1" s="55"/>
      <c r="AH1" s="55"/>
      <c r="AI1" s="55"/>
      <c r="AJ1" s="55"/>
      <c r="AK1" s="55"/>
      <c r="AL1" s="55"/>
      <c r="AM1" s="55"/>
      <c r="AN1" s="55"/>
      <c r="AO1" s="55"/>
      <c r="AP1" s="55"/>
      <c r="AQ1" s="55"/>
      <c r="AR1" s="55"/>
      <c r="AS1" s="55"/>
      <c r="AT1" s="55"/>
      <c r="AU1" s="55"/>
      <c r="AV1" s="55"/>
      <c r="AW1" s="55"/>
      <c r="AX1" s="55"/>
      <c r="AY1" s="56"/>
      <c r="AZ1" s="56"/>
      <c r="BA1" s="56"/>
      <c r="BB1" s="56"/>
      <c r="BC1" s="56"/>
      <c r="BD1" s="56"/>
      <c r="BE1" s="56"/>
      <c r="BF1" s="56"/>
      <c r="BG1" s="56"/>
      <c r="BH1" s="56" t="s">
        <v>0</v>
      </c>
      <c r="BI1" s="56"/>
      <c r="BJ1" s="56"/>
      <c r="BK1" s="56"/>
      <c r="BL1" s="56"/>
      <c r="BM1" s="56"/>
      <c r="BN1" s="56"/>
      <c r="BO1" s="56"/>
      <c r="BP1" s="56"/>
      <c r="BQ1" s="56"/>
      <c r="BR1" s="56"/>
      <c r="BS1" s="56"/>
      <c r="BT1" s="56"/>
    </row>
    <row r="2" spans="1:72" s="14" customFormat="1" ht="32.25" customHeight="1">
      <c r="A2" s="1729" t="s">
        <v>1</v>
      </c>
      <c r="B2" s="1729"/>
      <c r="C2" s="1729"/>
      <c r="D2" s="1729"/>
      <c r="E2" s="1729"/>
      <c r="F2" s="1729"/>
      <c r="G2" s="1729"/>
      <c r="H2" s="1729"/>
      <c r="I2" s="1729"/>
      <c r="J2" s="1729"/>
      <c r="K2" s="1729"/>
      <c r="L2" s="1729"/>
      <c r="M2" s="1729"/>
      <c r="N2" s="1729"/>
      <c r="O2" s="1729"/>
      <c r="P2" s="1729"/>
      <c r="Q2" s="1729"/>
      <c r="R2" s="1729"/>
      <c r="S2" s="1729"/>
      <c r="T2" s="1729"/>
      <c r="U2" s="1729"/>
      <c r="V2" s="1729"/>
      <c r="W2" s="1729"/>
      <c r="X2" s="1729"/>
      <c r="Y2" s="1729"/>
      <c r="Z2" s="1729"/>
      <c r="AA2" s="1729"/>
      <c r="AB2" s="1729"/>
      <c r="AC2" s="1729"/>
      <c r="AD2" s="1729"/>
      <c r="AE2" s="1729"/>
      <c r="AF2" s="1729"/>
      <c r="AG2" s="57"/>
      <c r="AH2" s="57"/>
      <c r="AI2" s="57"/>
      <c r="AJ2" s="57"/>
      <c r="AK2" s="57"/>
      <c r="AL2" s="57"/>
      <c r="AM2" s="57"/>
      <c r="AN2" s="57"/>
      <c r="AO2" s="57"/>
      <c r="AP2" s="57"/>
      <c r="AQ2" s="57"/>
      <c r="AR2" s="57"/>
      <c r="AS2" s="57"/>
      <c r="AT2" s="57"/>
      <c r="AU2" s="57"/>
      <c r="AV2" s="57"/>
      <c r="AW2" s="57"/>
      <c r="AX2" s="57"/>
      <c r="AY2" s="58"/>
      <c r="AZ2" s="58"/>
      <c r="BA2" s="58"/>
      <c r="BB2" s="58"/>
      <c r="BC2" s="58"/>
      <c r="BD2" s="58"/>
      <c r="BE2" s="58"/>
      <c r="BF2" s="58"/>
      <c r="BG2" s="58"/>
      <c r="BH2" s="58" t="s">
        <v>50</v>
      </c>
      <c r="BI2" s="58"/>
      <c r="BJ2" s="58"/>
      <c r="BK2" s="58"/>
      <c r="BL2" s="58"/>
      <c r="BM2" s="58"/>
      <c r="BN2" s="58"/>
      <c r="BO2" s="58"/>
      <c r="BP2" s="58"/>
      <c r="BQ2" s="58"/>
      <c r="BR2" s="58"/>
      <c r="BS2" s="58"/>
      <c r="BT2" s="58"/>
    </row>
    <row r="3" spans="1:72" s="14" customFormat="1" ht="26.25" customHeight="1">
      <c r="A3" s="1730" t="s">
        <v>93</v>
      </c>
      <c r="B3" s="1730"/>
      <c r="C3" s="1730"/>
      <c r="D3" s="1730"/>
      <c r="E3" s="1730"/>
      <c r="F3" s="1730"/>
      <c r="G3" s="1730"/>
      <c r="H3" s="1730"/>
      <c r="I3" s="1730"/>
      <c r="J3" s="1730"/>
      <c r="K3" s="1730"/>
      <c r="L3" s="1730"/>
      <c r="M3" s="1730"/>
      <c r="N3" s="1730"/>
      <c r="O3" s="1730"/>
      <c r="P3" s="1730"/>
      <c r="Q3" s="1730"/>
      <c r="R3" s="1730"/>
      <c r="S3" s="1730"/>
      <c r="T3" s="1730"/>
      <c r="U3" s="1730"/>
      <c r="V3" s="1730"/>
      <c r="W3" s="1730"/>
      <c r="X3" s="1730"/>
      <c r="Y3" s="1730"/>
      <c r="Z3" s="1730"/>
      <c r="AA3" s="1730"/>
      <c r="AB3" s="1730"/>
      <c r="AC3" s="1730"/>
      <c r="AD3" s="1730"/>
      <c r="AE3" s="1730"/>
      <c r="AF3" s="1730"/>
      <c r="AG3" s="1730"/>
      <c r="AH3" s="1730"/>
      <c r="AI3" s="1730"/>
      <c r="AJ3" s="1730"/>
      <c r="AK3" s="1730"/>
      <c r="AL3" s="1730"/>
      <c r="AM3" s="1730"/>
      <c r="AN3" s="1730"/>
      <c r="AO3" s="1730"/>
      <c r="AP3" s="1730"/>
      <c r="AQ3" s="1730"/>
      <c r="AR3" s="1730"/>
      <c r="AS3" s="1730"/>
      <c r="AT3" s="1730"/>
      <c r="AU3" s="1730"/>
      <c r="AV3" s="1730"/>
      <c r="AW3" s="1730"/>
      <c r="AX3" s="1730"/>
      <c r="AY3" s="1730"/>
      <c r="AZ3" s="1730"/>
      <c r="BA3" s="1730"/>
      <c r="BB3" s="1730"/>
      <c r="BC3" s="1730"/>
      <c r="BD3" s="1730"/>
      <c r="BE3" s="1730"/>
      <c r="BF3" s="1730"/>
      <c r="BG3" s="1730"/>
      <c r="BH3" s="1730"/>
      <c r="BI3" s="1730"/>
      <c r="BJ3" s="1730"/>
      <c r="BK3" s="1730"/>
      <c r="BL3" s="1730"/>
      <c r="BM3" s="1730"/>
      <c r="BN3" s="1730"/>
      <c r="BO3" s="1730"/>
      <c r="BP3" s="1730"/>
      <c r="BQ3" s="1730"/>
    </row>
    <row r="4" spans="1:72" s="14" customFormat="1" ht="33" customHeight="1">
      <c r="A4" s="1731" t="s">
        <v>94</v>
      </c>
      <c r="B4" s="1731"/>
      <c r="C4" s="1731"/>
      <c r="D4" s="1731"/>
      <c r="E4" s="1731"/>
      <c r="F4" s="1731"/>
      <c r="G4" s="1731"/>
      <c r="H4" s="1731"/>
      <c r="I4" s="1731"/>
      <c r="J4" s="1731"/>
      <c r="K4" s="1731"/>
      <c r="L4" s="1731"/>
      <c r="M4" s="1731"/>
      <c r="N4" s="1731"/>
      <c r="O4" s="1731"/>
      <c r="P4" s="1731"/>
      <c r="Q4" s="1731"/>
      <c r="R4" s="1731"/>
      <c r="S4" s="1731"/>
      <c r="T4" s="1731"/>
      <c r="U4" s="1731"/>
      <c r="V4" s="1731"/>
      <c r="W4" s="1731"/>
      <c r="X4" s="1731"/>
      <c r="Y4" s="1731"/>
      <c r="Z4" s="1731"/>
      <c r="AA4" s="1731"/>
      <c r="AB4" s="1731"/>
      <c r="AC4" s="1731"/>
      <c r="AD4" s="1731"/>
      <c r="AE4" s="1731"/>
      <c r="AF4" s="1731"/>
      <c r="AG4" s="1731"/>
      <c r="AH4" s="1731"/>
      <c r="AI4" s="1731"/>
      <c r="AJ4" s="1731"/>
      <c r="AK4" s="1731"/>
      <c r="AL4" s="1731"/>
      <c r="AM4" s="1731"/>
      <c r="AN4" s="1731"/>
      <c r="AO4" s="1731"/>
      <c r="AP4" s="1731"/>
      <c r="AQ4" s="1731"/>
      <c r="AR4" s="1731"/>
      <c r="AS4" s="1731"/>
      <c r="AT4" s="1731"/>
      <c r="AU4" s="1731"/>
      <c r="AV4" s="1731"/>
      <c r="AW4" s="1731"/>
      <c r="AX4" s="1731"/>
      <c r="AY4" s="1731"/>
      <c r="AZ4" s="1731"/>
      <c r="BA4" s="1731"/>
      <c r="BB4" s="1731"/>
      <c r="BC4" s="1731"/>
      <c r="BD4" s="1731"/>
      <c r="BE4" s="1731"/>
      <c r="BF4" s="1731"/>
      <c r="BG4" s="1731"/>
      <c r="BH4" s="1731"/>
      <c r="BI4" s="1731"/>
      <c r="BJ4" s="1731"/>
      <c r="BK4" s="1731"/>
      <c r="BL4" s="1731"/>
      <c r="BM4" s="1731"/>
      <c r="BN4" s="1731"/>
      <c r="BO4" s="1731"/>
      <c r="BP4" s="1731"/>
      <c r="BQ4" s="1731"/>
    </row>
    <row r="5" spans="1:72" ht="33.75" customHeight="1">
      <c r="A5" s="1732" t="s">
        <v>95</v>
      </c>
      <c r="B5" s="1732"/>
      <c r="C5" s="1732"/>
      <c r="D5" s="1732"/>
      <c r="E5" s="1732"/>
      <c r="F5" s="1732"/>
      <c r="G5" s="1732"/>
      <c r="H5" s="1732"/>
      <c r="I5" s="1732"/>
      <c r="J5" s="1732"/>
      <c r="K5" s="1732"/>
      <c r="L5" s="1732"/>
      <c r="M5" s="1732"/>
      <c r="N5" s="1732"/>
      <c r="O5" s="1732"/>
      <c r="P5" s="1732"/>
      <c r="Q5" s="1732"/>
      <c r="R5" s="1732"/>
      <c r="S5" s="1732"/>
      <c r="T5" s="1732"/>
      <c r="U5" s="1732"/>
      <c r="V5" s="1732"/>
      <c r="W5" s="1732"/>
      <c r="X5" s="1732"/>
      <c r="Y5" s="1732"/>
      <c r="Z5" s="1732"/>
      <c r="AA5" s="1732"/>
      <c r="AB5" s="1732"/>
      <c r="AC5" s="1732"/>
      <c r="AD5" s="1732"/>
      <c r="AE5" s="1732"/>
      <c r="AF5" s="1732"/>
      <c r="AG5" s="1732"/>
      <c r="AH5" s="1732"/>
      <c r="AI5" s="1732"/>
      <c r="AJ5" s="1732"/>
      <c r="AK5" s="1732"/>
      <c r="AL5" s="1732"/>
      <c r="AM5" s="1732"/>
      <c r="AN5" s="1732"/>
      <c r="AO5" s="1732"/>
      <c r="AP5" s="1732"/>
      <c r="AQ5" s="1732"/>
      <c r="AR5" s="1732"/>
      <c r="AS5" s="1732"/>
      <c r="AT5" s="1732"/>
      <c r="AU5" s="1732"/>
      <c r="AV5" s="1732"/>
      <c r="AW5" s="1732"/>
      <c r="AX5" s="1732"/>
      <c r="AY5" s="1732"/>
      <c r="AZ5" s="1732"/>
      <c r="BA5" s="1732"/>
      <c r="BB5" s="1732"/>
      <c r="BC5" s="1732"/>
      <c r="BD5" s="1732"/>
      <c r="BE5" s="1732"/>
      <c r="BF5" s="1732"/>
      <c r="BG5" s="1732"/>
      <c r="BH5" s="1732"/>
      <c r="BI5" s="1732"/>
      <c r="BJ5" s="1732"/>
      <c r="BK5" s="1732"/>
      <c r="BL5" s="1732"/>
      <c r="BM5" s="1732"/>
      <c r="BN5" s="1732"/>
      <c r="BO5" s="1732"/>
      <c r="BP5" s="1732"/>
      <c r="BQ5" s="1732"/>
    </row>
    <row r="6" spans="1:72" ht="35.25" customHeight="1">
      <c r="A6" s="1733" t="s">
        <v>96</v>
      </c>
      <c r="B6" s="1733"/>
      <c r="C6" s="1733"/>
      <c r="D6" s="1733"/>
      <c r="E6" s="1733"/>
      <c r="F6" s="1733"/>
      <c r="G6" s="1733"/>
      <c r="H6" s="1733"/>
      <c r="I6" s="1733"/>
      <c r="J6" s="1733"/>
      <c r="K6" s="1733"/>
      <c r="L6" s="1733"/>
      <c r="M6" s="1733"/>
      <c r="N6" s="1733"/>
      <c r="O6" s="1733"/>
      <c r="P6" s="1733"/>
      <c r="Q6" s="1733"/>
      <c r="R6" s="1733"/>
      <c r="S6" s="1733"/>
      <c r="T6" s="1733"/>
      <c r="U6" s="1733"/>
      <c r="V6" s="1733"/>
      <c r="W6" s="1733"/>
      <c r="X6" s="1733"/>
      <c r="Y6" s="1733"/>
      <c r="Z6" s="1733"/>
      <c r="AA6" s="1733"/>
      <c r="AB6" s="1733"/>
      <c r="AC6" s="1733"/>
      <c r="AD6" s="1733"/>
      <c r="AE6" s="1733"/>
      <c r="AF6" s="1733"/>
      <c r="AG6" s="1733"/>
      <c r="AH6" s="1733"/>
      <c r="AI6" s="1733"/>
      <c r="AJ6" s="1733"/>
      <c r="AK6" s="1733"/>
      <c r="AL6" s="1733"/>
      <c r="AM6" s="1733"/>
      <c r="AN6" s="1733"/>
      <c r="AO6" s="1733"/>
      <c r="AP6" s="1733"/>
      <c r="AQ6" s="1733"/>
      <c r="AR6" s="1733"/>
      <c r="AS6" s="1733"/>
      <c r="AT6" s="1733"/>
      <c r="AU6" s="1733"/>
      <c r="AV6" s="1733"/>
      <c r="AW6" s="1733"/>
      <c r="AX6" s="1733"/>
      <c r="AY6" s="1733"/>
      <c r="AZ6" s="1733"/>
      <c r="BA6" s="1733"/>
      <c r="BB6" s="1733"/>
      <c r="BC6" s="1733"/>
      <c r="BD6" s="1733"/>
      <c r="BE6" s="1733"/>
      <c r="BF6" s="1733"/>
      <c r="BG6" s="1733"/>
      <c r="BH6" s="1733"/>
      <c r="BI6" s="1733"/>
      <c r="BJ6" s="1733"/>
      <c r="BK6" s="1733"/>
      <c r="BL6" s="1733"/>
      <c r="BM6" s="1733"/>
      <c r="BN6" s="1733"/>
      <c r="BO6" s="1733"/>
      <c r="BP6" s="1733"/>
      <c r="BQ6" s="1733"/>
    </row>
    <row r="7" spans="1:72" s="15" customFormat="1" ht="35.25" customHeight="1">
      <c r="A7" s="1734" t="s">
        <v>3</v>
      </c>
      <c r="B7" s="1734"/>
      <c r="C7" s="1734"/>
      <c r="D7" s="1734"/>
      <c r="E7" s="1734"/>
      <c r="F7" s="1734"/>
      <c r="G7" s="1734"/>
      <c r="H7" s="1734"/>
      <c r="I7" s="1734"/>
      <c r="J7" s="1734"/>
      <c r="K7" s="1734"/>
      <c r="L7" s="1734"/>
      <c r="M7" s="1734"/>
      <c r="N7" s="1734"/>
      <c r="O7" s="1734"/>
      <c r="P7" s="1734"/>
      <c r="Q7" s="1734"/>
      <c r="R7" s="1734"/>
      <c r="S7" s="1734"/>
      <c r="T7" s="1734"/>
      <c r="U7" s="1734"/>
      <c r="V7" s="1734"/>
      <c r="W7" s="1734"/>
      <c r="X7" s="1734"/>
      <c r="Y7" s="1734"/>
      <c r="Z7" s="1734"/>
      <c r="AA7" s="1734"/>
      <c r="AB7" s="1734"/>
      <c r="AC7" s="1734"/>
      <c r="AD7" s="1734"/>
      <c r="AE7" s="1734"/>
      <c r="AF7" s="1734"/>
      <c r="AG7" s="1734"/>
      <c r="AH7" s="1734"/>
      <c r="AI7" s="1734"/>
      <c r="AJ7" s="1734"/>
      <c r="AK7" s="1734"/>
      <c r="AL7" s="1734"/>
      <c r="AM7" s="1734"/>
      <c r="AN7" s="1734"/>
      <c r="AO7" s="1734"/>
      <c r="AP7" s="1734"/>
      <c r="AQ7" s="1734"/>
      <c r="AR7" s="1734"/>
      <c r="AS7" s="1734"/>
      <c r="AT7" s="1734"/>
      <c r="AU7" s="1734"/>
      <c r="AV7" s="1734"/>
      <c r="AW7" s="1734"/>
      <c r="AX7" s="1734"/>
      <c r="AY7" s="1734"/>
      <c r="AZ7" s="1734"/>
      <c r="BA7" s="1734"/>
      <c r="BB7" s="1734"/>
      <c r="BC7" s="1734"/>
      <c r="BD7" s="1734"/>
      <c r="BE7" s="1734"/>
      <c r="BF7" s="1734"/>
      <c r="BG7" s="1734"/>
      <c r="BH7" s="1734"/>
      <c r="BI7" s="1734"/>
      <c r="BJ7" s="1734"/>
      <c r="BK7" s="1734"/>
      <c r="BL7" s="1734"/>
      <c r="BM7" s="1734"/>
      <c r="BN7" s="1734"/>
      <c r="BO7" s="1734"/>
      <c r="BP7" s="1734"/>
      <c r="BQ7" s="1734"/>
    </row>
    <row r="8" spans="1:72" s="17" customFormat="1" ht="48.75" customHeight="1">
      <c r="A8" s="1735" t="s">
        <v>22</v>
      </c>
      <c r="B8" s="1735" t="s">
        <v>52</v>
      </c>
      <c r="C8" s="1735" t="s">
        <v>24</v>
      </c>
      <c r="D8" s="1735" t="s">
        <v>25</v>
      </c>
      <c r="E8" s="1735" t="s">
        <v>26</v>
      </c>
      <c r="F8" s="1735" t="s">
        <v>53</v>
      </c>
      <c r="G8" s="1735" t="s">
        <v>54</v>
      </c>
      <c r="H8" s="1738" t="s">
        <v>55</v>
      </c>
      <c r="I8" s="1739"/>
      <c r="J8" s="1739"/>
      <c r="K8" s="1739"/>
      <c r="L8" s="1739"/>
      <c r="M8" s="1739"/>
      <c r="N8" s="1739"/>
      <c r="O8" s="1740"/>
      <c r="P8" s="1741" t="s">
        <v>97</v>
      </c>
      <c r="Q8" s="1742"/>
      <c r="R8" s="1742"/>
      <c r="S8" s="1742"/>
      <c r="T8" s="1742"/>
      <c r="U8" s="1742"/>
      <c r="V8" s="1742"/>
      <c r="W8" s="1741" t="s">
        <v>98</v>
      </c>
      <c r="X8" s="1742"/>
      <c r="Y8" s="1742"/>
      <c r="Z8" s="1742"/>
      <c r="AA8" s="1742"/>
      <c r="AB8" s="1742"/>
      <c r="AC8" s="1742"/>
      <c r="AD8" s="1745" t="s">
        <v>59</v>
      </c>
      <c r="AE8" s="1746"/>
      <c r="AF8" s="1746"/>
      <c r="AG8" s="1746"/>
      <c r="AH8" s="1747"/>
      <c r="AI8" s="1745" t="s">
        <v>99</v>
      </c>
      <c r="AJ8" s="1746"/>
      <c r="AK8" s="1746"/>
      <c r="AL8" s="1746"/>
      <c r="AM8" s="1746"/>
      <c r="AN8" s="1746"/>
      <c r="AO8" s="1747"/>
      <c r="AP8" s="1745" t="s">
        <v>60</v>
      </c>
      <c r="AQ8" s="1746"/>
      <c r="AR8" s="1746"/>
      <c r="AS8" s="1746"/>
      <c r="AT8" s="1746"/>
      <c r="AU8" s="1746"/>
      <c r="AV8" s="1746"/>
      <c r="AW8" s="1746"/>
      <c r="AX8" s="1747"/>
      <c r="AY8" s="1745" t="s">
        <v>28</v>
      </c>
      <c r="AZ8" s="1746"/>
      <c r="BA8" s="1746"/>
      <c r="BB8" s="1746"/>
      <c r="BC8" s="1746"/>
      <c r="BD8" s="1746"/>
      <c r="BE8" s="1746"/>
      <c r="BF8" s="1746"/>
      <c r="BG8" s="1747"/>
      <c r="BH8" s="1745" t="s">
        <v>29</v>
      </c>
      <c r="BI8" s="1746"/>
      <c r="BJ8" s="1746"/>
      <c r="BK8" s="1746"/>
      <c r="BL8" s="1746"/>
      <c r="BM8" s="1746"/>
      <c r="BN8" s="1746"/>
      <c r="BO8" s="1746"/>
      <c r="BP8" s="1747"/>
      <c r="BQ8" s="1741" t="s">
        <v>7</v>
      </c>
    </row>
    <row r="9" spans="1:72" s="17" customFormat="1" ht="29.25" customHeight="1">
      <c r="A9" s="1736"/>
      <c r="B9" s="1736"/>
      <c r="C9" s="1736"/>
      <c r="D9" s="1736"/>
      <c r="E9" s="1736"/>
      <c r="F9" s="1736"/>
      <c r="G9" s="1736"/>
      <c r="H9" s="1743" t="s">
        <v>61</v>
      </c>
      <c r="I9" s="1743" t="s">
        <v>31</v>
      </c>
      <c r="J9" s="1743"/>
      <c r="K9" s="1743"/>
      <c r="L9" s="1743"/>
      <c r="M9" s="1743"/>
      <c r="N9" s="1743"/>
      <c r="O9" s="1743"/>
      <c r="P9" s="1742"/>
      <c r="Q9" s="1742"/>
      <c r="R9" s="1742"/>
      <c r="S9" s="1742"/>
      <c r="T9" s="1742"/>
      <c r="U9" s="1742"/>
      <c r="V9" s="1742"/>
      <c r="W9" s="1742"/>
      <c r="X9" s="1742"/>
      <c r="Y9" s="1742"/>
      <c r="Z9" s="1742"/>
      <c r="AA9" s="1742"/>
      <c r="AB9" s="1742"/>
      <c r="AC9" s="1742"/>
      <c r="AD9" s="1748"/>
      <c r="AE9" s="1749"/>
      <c r="AF9" s="1749"/>
      <c r="AG9" s="1749"/>
      <c r="AH9" s="1750"/>
      <c r="AI9" s="1748"/>
      <c r="AJ9" s="1749"/>
      <c r="AK9" s="1749"/>
      <c r="AL9" s="1749"/>
      <c r="AM9" s="1749"/>
      <c r="AN9" s="1749"/>
      <c r="AO9" s="1750"/>
      <c r="AP9" s="1748"/>
      <c r="AQ9" s="1749"/>
      <c r="AR9" s="1749"/>
      <c r="AS9" s="1749"/>
      <c r="AT9" s="1749"/>
      <c r="AU9" s="1749"/>
      <c r="AV9" s="1749"/>
      <c r="AW9" s="1749"/>
      <c r="AX9" s="1750"/>
      <c r="AY9" s="1748"/>
      <c r="AZ9" s="1749"/>
      <c r="BA9" s="1749"/>
      <c r="BB9" s="1749"/>
      <c r="BC9" s="1749"/>
      <c r="BD9" s="1749"/>
      <c r="BE9" s="1749"/>
      <c r="BF9" s="1749"/>
      <c r="BG9" s="1750"/>
      <c r="BH9" s="1748"/>
      <c r="BI9" s="1749"/>
      <c r="BJ9" s="1749"/>
      <c r="BK9" s="1749"/>
      <c r="BL9" s="1749"/>
      <c r="BM9" s="1749"/>
      <c r="BN9" s="1749"/>
      <c r="BO9" s="1749"/>
      <c r="BP9" s="1750"/>
      <c r="BQ9" s="1741"/>
    </row>
    <row r="10" spans="1:72" s="17" customFormat="1" ht="30.75" customHeight="1">
      <c r="A10" s="1736"/>
      <c r="B10" s="1736"/>
      <c r="C10" s="1736"/>
      <c r="D10" s="1736"/>
      <c r="E10" s="1736"/>
      <c r="F10" s="1736"/>
      <c r="G10" s="1736"/>
      <c r="H10" s="1743"/>
      <c r="I10" s="1743" t="s">
        <v>32</v>
      </c>
      <c r="J10" s="1744" t="s">
        <v>15</v>
      </c>
      <c r="K10" s="1744"/>
      <c r="L10" s="1744"/>
      <c r="M10" s="1744"/>
      <c r="N10" s="1744"/>
      <c r="O10" s="1744"/>
      <c r="P10" s="1743" t="s">
        <v>32</v>
      </c>
      <c r="Q10" s="1744" t="s">
        <v>15</v>
      </c>
      <c r="R10" s="1744"/>
      <c r="S10" s="1744"/>
      <c r="T10" s="1744"/>
      <c r="U10" s="1744"/>
      <c r="V10" s="1744"/>
      <c r="W10" s="1743" t="s">
        <v>32</v>
      </c>
      <c r="X10" s="1744" t="s">
        <v>15</v>
      </c>
      <c r="Y10" s="1744"/>
      <c r="Z10" s="1744"/>
      <c r="AA10" s="1744"/>
      <c r="AB10" s="1744"/>
      <c r="AC10" s="1744"/>
      <c r="AD10" s="1743" t="s">
        <v>32</v>
      </c>
      <c r="AE10" s="1744" t="s">
        <v>15</v>
      </c>
      <c r="AF10" s="1744"/>
      <c r="AG10" s="1744"/>
      <c r="AH10" s="1744"/>
      <c r="AI10" s="1743" t="s">
        <v>32</v>
      </c>
      <c r="AJ10" s="1744" t="s">
        <v>15</v>
      </c>
      <c r="AK10" s="1744"/>
      <c r="AL10" s="1744"/>
      <c r="AM10" s="1744"/>
      <c r="AN10" s="1744"/>
      <c r="AO10" s="1744"/>
      <c r="AP10" s="1743" t="s">
        <v>32</v>
      </c>
      <c r="AQ10" s="1744" t="s">
        <v>15</v>
      </c>
      <c r="AR10" s="1744"/>
      <c r="AS10" s="1744"/>
      <c r="AT10" s="1744"/>
      <c r="AU10" s="1744"/>
      <c r="AV10" s="1744"/>
      <c r="AW10" s="1744"/>
      <c r="AX10" s="1744"/>
      <c r="AY10" s="1743" t="s">
        <v>32</v>
      </c>
      <c r="AZ10" s="1744" t="s">
        <v>15</v>
      </c>
      <c r="BA10" s="1744"/>
      <c r="BB10" s="1744"/>
      <c r="BC10" s="1744"/>
      <c r="BD10" s="1744"/>
      <c r="BE10" s="1744"/>
      <c r="BF10" s="1744"/>
      <c r="BG10" s="1744"/>
      <c r="BH10" s="1743" t="s">
        <v>32</v>
      </c>
      <c r="BI10" s="1744" t="s">
        <v>15</v>
      </c>
      <c r="BJ10" s="1744"/>
      <c r="BK10" s="1744"/>
      <c r="BL10" s="1744"/>
      <c r="BM10" s="1744"/>
      <c r="BN10" s="1744"/>
      <c r="BO10" s="1744"/>
      <c r="BP10" s="1744"/>
      <c r="BQ10" s="1741"/>
    </row>
    <row r="11" spans="1:72" s="17" customFormat="1" ht="40.15" customHeight="1">
      <c r="A11" s="1736"/>
      <c r="B11" s="1736"/>
      <c r="C11" s="1736"/>
      <c r="D11" s="1736"/>
      <c r="E11" s="1736"/>
      <c r="F11" s="1736"/>
      <c r="G11" s="1736"/>
      <c r="H11" s="1743"/>
      <c r="I11" s="1743"/>
      <c r="J11" s="1741" t="s">
        <v>62</v>
      </c>
      <c r="K11" s="1741"/>
      <c r="L11" s="1743" t="s">
        <v>63</v>
      </c>
      <c r="M11" s="1743"/>
      <c r="N11" s="1743"/>
      <c r="O11" s="1743"/>
      <c r="P11" s="1743"/>
      <c r="Q11" s="1741" t="s">
        <v>64</v>
      </c>
      <c r="R11" s="1741"/>
      <c r="S11" s="1741"/>
      <c r="T11" s="1738" t="s">
        <v>65</v>
      </c>
      <c r="U11" s="1739"/>
      <c r="V11" s="1740"/>
      <c r="W11" s="1743"/>
      <c r="X11" s="1741" t="s">
        <v>64</v>
      </c>
      <c r="Y11" s="1741"/>
      <c r="Z11" s="1741"/>
      <c r="AA11" s="1738" t="s">
        <v>65</v>
      </c>
      <c r="AB11" s="1739"/>
      <c r="AC11" s="1740"/>
      <c r="AD11" s="1743"/>
      <c r="AE11" s="1741" t="s">
        <v>64</v>
      </c>
      <c r="AF11" s="1741"/>
      <c r="AG11" s="1741"/>
      <c r="AH11" s="1743" t="s">
        <v>65</v>
      </c>
      <c r="AI11" s="1743"/>
      <c r="AJ11" s="1741" t="s">
        <v>64</v>
      </c>
      <c r="AK11" s="1741"/>
      <c r="AL11" s="1741"/>
      <c r="AM11" s="1738" t="s">
        <v>65</v>
      </c>
      <c r="AN11" s="1739"/>
      <c r="AO11" s="1740"/>
      <c r="AP11" s="1743"/>
      <c r="AQ11" s="1751" t="s">
        <v>64</v>
      </c>
      <c r="AR11" s="1752"/>
      <c r="AS11" s="1752"/>
      <c r="AT11" s="1752"/>
      <c r="AU11" s="1753"/>
      <c r="AV11" s="1738" t="s">
        <v>65</v>
      </c>
      <c r="AW11" s="1739"/>
      <c r="AX11" s="1740"/>
      <c r="AY11" s="1743"/>
      <c r="AZ11" s="1751" t="s">
        <v>64</v>
      </c>
      <c r="BA11" s="1752"/>
      <c r="BB11" s="1752"/>
      <c r="BC11" s="1752"/>
      <c r="BD11" s="1753"/>
      <c r="BE11" s="1738" t="s">
        <v>65</v>
      </c>
      <c r="BF11" s="1739"/>
      <c r="BG11" s="1740"/>
      <c r="BH11" s="1743"/>
      <c r="BI11" s="1751" t="s">
        <v>64</v>
      </c>
      <c r="BJ11" s="1752"/>
      <c r="BK11" s="1752"/>
      <c r="BL11" s="1752"/>
      <c r="BM11" s="1753"/>
      <c r="BN11" s="1738" t="s">
        <v>65</v>
      </c>
      <c r="BO11" s="1739"/>
      <c r="BP11" s="1740"/>
      <c r="BQ11" s="1741"/>
    </row>
    <row r="12" spans="1:72" s="17" customFormat="1" ht="32.25" customHeight="1">
      <c r="A12" s="1736"/>
      <c r="B12" s="1736"/>
      <c r="C12" s="1736"/>
      <c r="D12" s="1736"/>
      <c r="E12" s="1736"/>
      <c r="F12" s="1736"/>
      <c r="G12" s="1736"/>
      <c r="H12" s="1743"/>
      <c r="I12" s="1743"/>
      <c r="J12" s="1741"/>
      <c r="K12" s="1741"/>
      <c r="L12" s="1743"/>
      <c r="M12" s="1743"/>
      <c r="N12" s="1743"/>
      <c r="O12" s="1743"/>
      <c r="P12" s="1743"/>
      <c r="Q12" s="1743" t="s">
        <v>9</v>
      </c>
      <c r="R12" s="1743" t="s">
        <v>66</v>
      </c>
      <c r="S12" s="1743"/>
      <c r="T12" s="1735" t="s">
        <v>9</v>
      </c>
      <c r="U12" s="1751" t="s">
        <v>66</v>
      </c>
      <c r="V12" s="1753"/>
      <c r="W12" s="1743"/>
      <c r="X12" s="1743" t="s">
        <v>9</v>
      </c>
      <c r="Y12" s="1743" t="s">
        <v>66</v>
      </c>
      <c r="Z12" s="1743"/>
      <c r="AA12" s="1735" t="s">
        <v>9</v>
      </c>
      <c r="AB12" s="1751" t="s">
        <v>66</v>
      </c>
      <c r="AC12" s="1753"/>
      <c r="AD12" s="1743"/>
      <c r="AE12" s="1743" t="s">
        <v>9</v>
      </c>
      <c r="AF12" s="1743" t="s">
        <v>66</v>
      </c>
      <c r="AG12" s="1743"/>
      <c r="AH12" s="1743"/>
      <c r="AI12" s="1743"/>
      <c r="AJ12" s="1743" t="s">
        <v>9</v>
      </c>
      <c r="AK12" s="1743" t="s">
        <v>66</v>
      </c>
      <c r="AL12" s="1743"/>
      <c r="AM12" s="1735" t="s">
        <v>9</v>
      </c>
      <c r="AN12" s="1751" t="s">
        <v>66</v>
      </c>
      <c r="AO12" s="1753"/>
      <c r="AP12" s="1743"/>
      <c r="AQ12" s="1743" t="s">
        <v>9</v>
      </c>
      <c r="AR12" s="1743" t="s">
        <v>66</v>
      </c>
      <c r="AS12" s="1743"/>
      <c r="AT12" s="1743"/>
      <c r="AU12" s="1743"/>
      <c r="AV12" s="1735" t="s">
        <v>9</v>
      </c>
      <c r="AW12" s="1751" t="s">
        <v>66</v>
      </c>
      <c r="AX12" s="1753"/>
      <c r="AY12" s="1743"/>
      <c r="AZ12" s="1743" t="s">
        <v>9</v>
      </c>
      <c r="BA12" s="1743" t="s">
        <v>66</v>
      </c>
      <c r="BB12" s="1743"/>
      <c r="BC12" s="1743"/>
      <c r="BD12" s="1743"/>
      <c r="BE12" s="1735" t="s">
        <v>9</v>
      </c>
      <c r="BF12" s="1751" t="s">
        <v>66</v>
      </c>
      <c r="BG12" s="1753"/>
      <c r="BH12" s="1743"/>
      <c r="BI12" s="1743" t="s">
        <v>9</v>
      </c>
      <c r="BJ12" s="1743" t="s">
        <v>66</v>
      </c>
      <c r="BK12" s="1743"/>
      <c r="BL12" s="1743"/>
      <c r="BM12" s="1743"/>
      <c r="BN12" s="1735" t="s">
        <v>9</v>
      </c>
      <c r="BO12" s="1751" t="s">
        <v>66</v>
      </c>
      <c r="BP12" s="1753"/>
      <c r="BQ12" s="1741"/>
    </row>
    <row r="13" spans="1:72" s="17" customFormat="1" ht="30" customHeight="1">
      <c r="A13" s="1736"/>
      <c r="B13" s="1736"/>
      <c r="C13" s="1736"/>
      <c r="D13" s="1736"/>
      <c r="E13" s="1736"/>
      <c r="F13" s="1736"/>
      <c r="G13" s="1736"/>
      <c r="H13" s="1743"/>
      <c r="I13" s="1743"/>
      <c r="J13" s="1743" t="s">
        <v>9</v>
      </c>
      <c r="K13" s="1743" t="s">
        <v>100</v>
      </c>
      <c r="L13" s="1754" t="s">
        <v>67</v>
      </c>
      <c r="M13" s="1738" t="s">
        <v>68</v>
      </c>
      <c r="N13" s="1739"/>
      <c r="O13" s="1740"/>
      <c r="P13" s="1743"/>
      <c r="Q13" s="1743"/>
      <c r="R13" s="1743" t="s">
        <v>69</v>
      </c>
      <c r="S13" s="1743" t="s">
        <v>70</v>
      </c>
      <c r="T13" s="1736"/>
      <c r="U13" s="1754" t="s">
        <v>71</v>
      </c>
      <c r="V13" s="1754" t="s">
        <v>72</v>
      </c>
      <c r="W13" s="1743"/>
      <c r="X13" s="1743"/>
      <c r="Y13" s="1743" t="s">
        <v>69</v>
      </c>
      <c r="Z13" s="1743" t="s">
        <v>70</v>
      </c>
      <c r="AA13" s="1736"/>
      <c r="AB13" s="1754" t="s">
        <v>71</v>
      </c>
      <c r="AC13" s="1754" t="s">
        <v>72</v>
      </c>
      <c r="AD13" s="1743"/>
      <c r="AE13" s="1743"/>
      <c r="AF13" s="1743" t="s">
        <v>69</v>
      </c>
      <c r="AG13" s="1743" t="s">
        <v>70</v>
      </c>
      <c r="AH13" s="1743"/>
      <c r="AI13" s="1743"/>
      <c r="AJ13" s="1743"/>
      <c r="AK13" s="1743" t="s">
        <v>100</v>
      </c>
      <c r="AL13" s="1743" t="s">
        <v>70</v>
      </c>
      <c r="AM13" s="1736"/>
      <c r="AN13" s="1754" t="s">
        <v>71</v>
      </c>
      <c r="AO13" s="1754" t="s">
        <v>72</v>
      </c>
      <c r="AP13" s="1743"/>
      <c r="AQ13" s="1743"/>
      <c r="AR13" s="1743" t="s">
        <v>69</v>
      </c>
      <c r="AS13" s="1743"/>
      <c r="AT13" s="1743" t="s">
        <v>70</v>
      </c>
      <c r="AU13" s="1743"/>
      <c r="AV13" s="1736"/>
      <c r="AW13" s="1754" t="s">
        <v>71</v>
      </c>
      <c r="AX13" s="1754" t="s">
        <v>72</v>
      </c>
      <c r="AY13" s="1743"/>
      <c r="AZ13" s="1743"/>
      <c r="BA13" s="1743" t="s">
        <v>69</v>
      </c>
      <c r="BB13" s="1743"/>
      <c r="BC13" s="1743" t="s">
        <v>70</v>
      </c>
      <c r="BD13" s="1743"/>
      <c r="BE13" s="1736"/>
      <c r="BF13" s="1754" t="s">
        <v>71</v>
      </c>
      <c r="BG13" s="1754" t="s">
        <v>72</v>
      </c>
      <c r="BH13" s="1743"/>
      <c r="BI13" s="1743"/>
      <c r="BJ13" s="1743" t="s">
        <v>69</v>
      </c>
      <c r="BK13" s="1743"/>
      <c r="BL13" s="1743" t="s">
        <v>70</v>
      </c>
      <c r="BM13" s="1743"/>
      <c r="BN13" s="1736"/>
      <c r="BO13" s="1754" t="s">
        <v>71</v>
      </c>
      <c r="BP13" s="1754" t="s">
        <v>72</v>
      </c>
      <c r="BQ13" s="1741"/>
    </row>
    <row r="14" spans="1:72" s="17" customFormat="1" ht="30" customHeight="1">
      <c r="A14" s="1736"/>
      <c r="B14" s="1736"/>
      <c r="C14" s="1736"/>
      <c r="D14" s="1736"/>
      <c r="E14" s="1736"/>
      <c r="F14" s="1736"/>
      <c r="G14" s="1736"/>
      <c r="H14" s="1743"/>
      <c r="I14" s="1743"/>
      <c r="J14" s="1743"/>
      <c r="K14" s="1743"/>
      <c r="L14" s="1755"/>
      <c r="M14" s="1754" t="s">
        <v>9</v>
      </c>
      <c r="N14" s="1738" t="s">
        <v>14</v>
      </c>
      <c r="O14" s="1740"/>
      <c r="P14" s="1743"/>
      <c r="Q14" s="1743"/>
      <c r="R14" s="1743"/>
      <c r="S14" s="1743"/>
      <c r="T14" s="1736"/>
      <c r="U14" s="1755"/>
      <c r="V14" s="1755"/>
      <c r="W14" s="1743"/>
      <c r="X14" s="1743"/>
      <c r="Y14" s="1743"/>
      <c r="Z14" s="1743"/>
      <c r="AA14" s="1736"/>
      <c r="AB14" s="1755"/>
      <c r="AC14" s="1755"/>
      <c r="AD14" s="1743"/>
      <c r="AE14" s="1743"/>
      <c r="AF14" s="1743"/>
      <c r="AG14" s="1743"/>
      <c r="AH14" s="1743"/>
      <c r="AI14" s="1743"/>
      <c r="AJ14" s="1743"/>
      <c r="AK14" s="1743"/>
      <c r="AL14" s="1743"/>
      <c r="AM14" s="1736"/>
      <c r="AN14" s="1755"/>
      <c r="AO14" s="1755"/>
      <c r="AP14" s="1743"/>
      <c r="AQ14" s="1743"/>
      <c r="AR14" s="1754" t="s">
        <v>9</v>
      </c>
      <c r="AS14" s="1757" t="s">
        <v>73</v>
      </c>
      <c r="AT14" s="1754" t="s">
        <v>9</v>
      </c>
      <c r="AU14" s="1757" t="s">
        <v>73</v>
      </c>
      <c r="AV14" s="1736"/>
      <c r="AW14" s="1755"/>
      <c r="AX14" s="1755"/>
      <c r="AY14" s="1743"/>
      <c r="AZ14" s="1743"/>
      <c r="BA14" s="1754" t="s">
        <v>9</v>
      </c>
      <c r="BB14" s="1757" t="s">
        <v>73</v>
      </c>
      <c r="BC14" s="1754" t="s">
        <v>9</v>
      </c>
      <c r="BD14" s="1757" t="s">
        <v>73</v>
      </c>
      <c r="BE14" s="1736"/>
      <c r="BF14" s="1755"/>
      <c r="BG14" s="1755"/>
      <c r="BH14" s="1743"/>
      <c r="BI14" s="1743"/>
      <c r="BJ14" s="1754" t="s">
        <v>9</v>
      </c>
      <c r="BK14" s="1757" t="s">
        <v>73</v>
      </c>
      <c r="BL14" s="1754" t="s">
        <v>9</v>
      </c>
      <c r="BM14" s="1757" t="s">
        <v>73</v>
      </c>
      <c r="BN14" s="1736"/>
      <c r="BO14" s="1755"/>
      <c r="BP14" s="1755"/>
      <c r="BQ14" s="1741"/>
    </row>
    <row r="15" spans="1:72" s="17" customFormat="1" ht="70.5" customHeight="1">
      <c r="A15" s="1737"/>
      <c r="B15" s="1737"/>
      <c r="C15" s="1737"/>
      <c r="D15" s="1737"/>
      <c r="E15" s="1737"/>
      <c r="F15" s="1737"/>
      <c r="G15" s="1737"/>
      <c r="H15" s="1743"/>
      <c r="I15" s="1743"/>
      <c r="J15" s="1743"/>
      <c r="K15" s="1743"/>
      <c r="L15" s="1756"/>
      <c r="M15" s="1756"/>
      <c r="N15" s="45" t="s">
        <v>71</v>
      </c>
      <c r="O15" s="45" t="s">
        <v>72</v>
      </c>
      <c r="P15" s="1743"/>
      <c r="Q15" s="1743"/>
      <c r="R15" s="1743"/>
      <c r="S15" s="1743"/>
      <c r="T15" s="1737"/>
      <c r="U15" s="1756"/>
      <c r="V15" s="1756"/>
      <c r="W15" s="1743"/>
      <c r="X15" s="1743"/>
      <c r="Y15" s="1743"/>
      <c r="Z15" s="1743"/>
      <c r="AA15" s="1737"/>
      <c r="AB15" s="1756"/>
      <c r="AC15" s="1756"/>
      <c r="AD15" s="1743"/>
      <c r="AE15" s="1743"/>
      <c r="AF15" s="1743"/>
      <c r="AG15" s="1743"/>
      <c r="AH15" s="1743"/>
      <c r="AI15" s="1743"/>
      <c r="AJ15" s="1743"/>
      <c r="AK15" s="1743"/>
      <c r="AL15" s="1743"/>
      <c r="AM15" s="1737"/>
      <c r="AN15" s="1756"/>
      <c r="AO15" s="1756"/>
      <c r="AP15" s="1743"/>
      <c r="AQ15" s="1743"/>
      <c r="AR15" s="1756"/>
      <c r="AS15" s="1758"/>
      <c r="AT15" s="1756"/>
      <c r="AU15" s="1758"/>
      <c r="AV15" s="1737"/>
      <c r="AW15" s="1756"/>
      <c r="AX15" s="1756"/>
      <c r="AY15" s="1743"/>
      <c r="AZ15" s="1743"/>
      <c r="BA15" s="1756"/>
      <c r="BB15" s="1758"/>
      <c r="BC15" s="1756"/>
      <c r="BD15" s="1758"/>
      <c r="BE15" s="1737"/>
      <c r="BF15" s="1756"/>
      <c r="BG15" s="1756"/>
      <c r="BH15" s="1743"/>
      <c r="BI15" s="1743"/>
      <c r="BJ15" s="1756"/>
      <c r="BK15" s="1758"/>
      <c r="BL15" s="1756"/>
      <c r="BM15" s="1758"/>
      <c r="BN15" s="1737"/>
      <c r="BO15" s="1756"/>
      <c r="BP15" s="1756"/>
      <c r="BQ15" s="1741"/>
    </row>
    <row r="16" spans="1:72" s="20" customFormat="1" ht="30.75" customHeight="1">
      <c r="A16" s="19">
        <v>1</v>
      </c>
      <c r="B16" s="19">
        <f>A16+1</f>
        <v>2</v>
      </c>
      <c r="C16" s="19">
        <f t="shared" ref="C16:BN16" si="0">B16+1</f>
        <v>3</v>
      </c>
      <c r="D16" s="19">
        <f t="shared" si="0"/>
        <v>4</v>
      </c>
      <c r="E16" s="19">
        <f t="shared" si="0"/>
        <v>5</v>
      </c>
      <c r="F16" s="19">
        <f t="shared" si="0"/>
        <v>6</v>
      </c>
      <c r="G16" s="19">
        <f t="shared" si="0"/>
        <v>7</v>
      </c>
      <c r="H16" s="19">
        <f t="shared" si="0"/>
        <v>8</v>
      </c>
      <c r="I16" s="19">
        <f t="shared" si="0"/>
        <v>9</v>
      </c>
      <c r="J16" s="19">
        <f t="shared" si="0"/>
        <v>10</v>
      </c>
      <c r="K16" s="19">
        <f t="shared" si="0"/>
        <v>11</v>
      </c>
      <c r="L16" s="19">
        <f t="shared" si="0"/>
        <v>12</v>
      </c>
      <c r="M16" s="19">
        <f t="shared" si="0"/>
        <v>13</v>
      </c>
      <c r="N16" s="19">
        <f t="shared" si="0"/>
        <v>14</v>
      </c>
      <c r="O16" s="19">
        <f t="shared" si="0"/>
        <v>15</v>
      </c>
      <c r="P16" s="19">
        <f t="shared" si="0"/>
        <v>16</v>
      </c>
      <c r="Q16" s="19">
        <f t="shared" si="0"/>
        <v>17</v>
      </c>
      <c r="R16" s="19">
        <f t="shared" si="0"/>
        <v>18</v>
      </c>
      <c r="S16" s="19">
        <f t="shared" si="0"/>
        <v>19</v>
      </c>
      <c r="T16" s="19">
        <f t="shared" si="0"/>
        <v>20</v>
      </c>
      <c r="U16" s="19">
        <f t="shared" si="0"/>
        <v>21</v>
      </c>
      <c r="V16" s="19">
        <f t="shared" si="0"/>
        <v>22</v>
      </c>
      <c r="W16" s="19">
        <v>16</v>
      </c>
      <c r="X16" s="19">
        <f t="shared" si="0"/>
        <v>17</v>
      </c>
      <c r="Y16" s="19">
        <f t="shared" si="0"/>
        <v>18</v>
      </c>
      <c r="Z16" s="19">
        <f t="shared" si="0"/>
        <v>19</v>
      </c>
      <c r="AA16" s="19">
        <f t="shared" si="0"/>
        <v>20</v>
      </c>
      <c r="AB16" s="19">
        <f t="shared" si="0"/>
        <v>21</v>
      </c>
      <c r="AC16" s="19">
        <f t="shared" si="0"/>
        <v>22</v>
      </c>
      <c r="AD16" s="19">
        <f t="shared" si="0"/>
        <v>23</v>
      </c>
      <c r="AE16" s="19">
        <f t="shared" si="0"/>
        <v>24</v>
      </c>
      <c r="AF16" s="19">
        <f t="shared" si="0"/>
        <v>25</v>
      </c>
      <c r="AG16" s="19">
        <f t="shared" si="0"/>
        <v>26</v>
      </c>
      <c r="AH16" s="19">
        <f t="shared" si="0"/>
        <v>27</v>
      </c>
      <c r="AI16" s="19">
        <v>23</v>
      </c>
      <c r="AJ16" s="19">
        <f t="shared" si="0"/>
        <v>24</v>
      </c>
      <c r="AK16" s="19">
        <f t="shared" si="0"/>
        <v>25</v>
      </c>
      <c r="AL16" s="19">
        <f t="shared" si="0"/>
        <v>26</v>
      </c>
      <c r="AM16" s="19">
        <f t="shared" si="0"/>
        <v>27</v>
      </c>
      <c r="AN16" s="19">
        <f t="shared" si="0"/>
        <v>28</v>
      </c>
      <c r="AO16" s="19">
        <f t="shared" si="0"/>
        <v>29</v>
      </c>
      <c r="AP16" s="19">
        <f t="shared" si="0"/>
        <v>30</v>
      </c>
      <c r="AQ16" s="19">
        <f t="shared" si="0"/>
        <v>31</v>
      </c>
      <c r="AR16" s="19">
        <f t="shared" si="0"/>
        <v>32</v>
      </c>
      <c r="AS16" s="19">
        <f t="shared" si="0"/>
        <v>33</v>
      </c>
      <c r="AT16" s="19">
        <f t="shared" si="0"/>
        <v>34</v>
      </c>
      <c r="AU16" s="19">
        <f t="shared" si="0"/>
        <v>35</v>
      </c>
      <c r="AV16" s="19">
        <f t="shared" si="0"/>
        <v>36</v>
      </c>
      <c r="AW16" s="19">
        <f t="shared" si="0"/>
        <v>37</v>
      </c>
      <c r="AX16" s="19">
        <f t="shared" si="0"/>
        <v>38</v>
      </c>
      <c r="AY16" s="19">
        <f t="shared" si="0"/>
        <v>39</v>
      </c>
      <c r="AZ16" s="19">
        <f t="shared" si="0"/>
        <v>40</v>
      </c>
      <c r="BA16" s="19">
        <f t="shared" si="0"/>
        <v>41</v>
      </c>
      <c r="BB16" s="19">
        <f t="shared" si="0"/>
        <v>42</v>
      </c>
      <c r="BC16" s="19">
        <f t="shared" si="0"/>
        <v>43</v>
      </c>
      <c r="BD16" s="19">
        <f t="shared" si="0"/>
        <v>44</v>
      </c>
      <c r="BE16" s="19">
        <f t="shared" si="0"/>
        <v>45</v>
      </c>
      <c r="BF16" s="19">
        <f t="shared" si="0"/>
        <v>46</v>
      </c>
      <c r="BG16" s="19">
        <f t="shared" si="0"/>
        <v>47</v>
      </c>
      <c r="BH16" s="19">
        <f t="shared" si="0"/>
        <v>48</v>
      </c>
      <c r="BI16" s="19">
        <f t="shared" si="0"/>
        <v>49</v>
      </c>
      <c r="BJ16" s="19">
        <f t="shared" si="0"/>
        <v>50</v>
      </c>
      <c r="BK16" s="19">
        <f t="shared" si="0"/>
        <v>51</v>
      </c>
      <c r="BL16" s="19">
        <f t="shared" si="0"/>
        <v>52</v>
      </c>
      <c r="BM16" s="19">
        <f t="shared" si="0"/>
        <v>53</v>
      </c>
      <c r="BN16" s="19">
        <f t="shared" si="0"/>
        <v>54</v>
      </c>
      <c r="BO16" s="19">
        <f t="shared" ref="BO16:BQ16" si="1">BN16+1</f>
        <v>55</v>
      </c>
      <c r="BP16" s="19">
        <f t="shared" si="1"/>
        <v>56</v>
      </c>
      <c r="BQ16" s="19">
        <f t="shared" si="1"/>
        <v>57</v>
      </c>
    </row>
    <row r="17" spans="1:74" s="20" customFormat="1" ht="36.75" customHeight="1">
      <c r="A17" s="19"/>
      <c r="B17" s="21" t="s">
        <v>13</v>
      </c>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row>
    <row r="18" spans="1:74" s="47" customFormat="1" ht="106.5" hidden="1" customHeight="1">
      <c r="A18" s="46" t="s">
        <v>74</v>
      </c>
      <c r="B18" s="21" t="s">
        <v>75</v>
      </c>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row>
    <row r="19" spans="1:74" ht="54.75" customHeight="1">
      <c r="A19" s="22" t="s">
        <v>33</v>
      </c>
      <c r="B19" s="23" t="s">
        <v>76</v>
      </c>
      <c r="C19" s="34"/>
      <c r="D19" s="34"/>
      <c r="E19" s="34"/>
      <c r="F19" s="34"/>
      <c r="G19" s="34"/>
      <c r="H19" s="34"/>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59"/>
      <c r="BS19" s="59"/>
      <c r="BT19" s="59"/>
      <c r="BU19" s="59"/>
      <c r="BV19" s="59"/>
    </row>
    <row r="20" spans="1:74" s="26" customFormat="1" ht="90.75" hidden="1" customHeight="1">
      <c r="A20" s="22">
        <v>1</v>
      </c>
      <c r="B20" s="27" t="s">
        <v>77</v>
      </c>
      <c r="C20" s="24"/>
      <c r="D20" s="24"/>
      <c r="E20" s="24"/>
      <c r="F20" s="24"/>
      <c r="G20" s="24"/>
      <c r="H20" s="24"/>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60"/>
      <c r="BS20" s="60"/>
      <c r="BT20" s="60"/>
      <c r="BU20" s="60"/>
      <c r="BV20" s="61"/>
    </row>
    <row r="21" spans="1:74" s="26" customFormat="1" ht="77.650000000000006" customHeight="1">
      <c r="A21" s="28" t="s">
        <v>38</v>
      </c>
      <c r="B21" s="29" t="s">
        <v>35</v>
      </c>
      <c r="C21" s="24"/>
      <c r="D21" s="24"/>
      <c r="E21" s="24"/>
      <c r="F21" s="24"/>
      <c r="G21" s="24"/>
      <c r="H21" s="24"/>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60"/>
      <c r="BS21" s="60"/>
      <c r="BT21" s="60"/>
      <c r="BU21" s="60"/>
      <c r="BV21" s="61"/>
    </row>
    <row r="22" spans="1:74" s="51" customFormat="1" ht="31.5" customHeight="1">
      <c r="A22" s="28" t="s">
        <v>36</v>
      </c>
      <c r="B22" s="29" t="s">
        <v>37</v>
      </c>
      <c r="C22" s="49"/>
      <c r="D22" s="49"/>
      <c r="E22" s="49"/>
      <c r="F22" s="49"/>
      <c r="G22" s="49"/>
      <c r="H22" s="49"/>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62"/>
      <c r="BS22" s="62"/>
      <c r="BT22" s="62"/>
      <c r="BU22" s="62"/>
      <c r="BV22" s="63"/>
    </row>
    <row r="23" spans="1:74" ht="34.15" customHeight="1">
      <c r="A23" s="30" t="s">
        <v>34</v>
      </c>
      <c r="B23" s="31" t="s">
        <v>39</v>
      </c>
      <c r="C23" s="34"/>
      <c r="D23" s="34"/>
      <c r="E23" s="34"/>
      <c r="F23" s="34"/>
      <c r="G23" s="34"/>
      <c r="H23" s="34"/>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9"/>
      <c r="BS23" s="39"/>
      <c r="BT23" s="39"/>
      <c r="BU23" s="39"/>
      <c r="BV23" s="59"/>
    </row>
    <row r="24" spans="1:74" ht="36.75" customHeight="1">
      <c r="A24" s="30" t="s">
        <v>47</v>
      </c>
      <c r="B24" s="31" t="s">
        <v>39</v>
      </c>
      <c r="C24" s="34"/>
      <c r="D24" s="34"/>
      <c r="E24" s="34"/>
      <c r="F24" s="34"/>
      <c r="G24" s="34"/>
      <c r="H24" s="34"/>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9"/>
      <c r="BS24" s="39"/>
      <c r="BT24" s="39"/>
      <c r="BU24" s="39"/>
      <c r="BV24" s="59"/>
    </row>
    <row r="25" spans="1:74" ht="30" customHeight="1">
      <c r="A25" s="30" t="s">
        <v>41</v>
      </c>
      <c r="B25" s="32" t="s">
        <v>42</v>
      </c>
      <c r="C25" s="34"/>
      <c r="D25" s="34"/>
      <c r="E25" s="34"/>
      <c r="F25" s="34"/>
      <c r="G25" s="34"/>
      <c r="H25" s="34"/>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9"/>
      <c r="BS25" s="39"/>
      <c r="BT25" s="39"/>
      <c r="BU25" s="39"/>
      <c r="BV25" s="59"/>
    </row>
    <row r="26" spans="1:74" s="51" customFormat="1" ht="35.25" customHeight="1">
      <c r="A26" s="28" t="s">
        <v>43</v>
      </c>
      <c r="B26" s="29" t="s">
        <v>44</v>
      </c>
      <c r="C26" s="49"/>
      <c r="D26" s="49"/>
      <c r="E26" s="49"/>
      <c r="F26" s="49"/>
      <c r="G26" s="49"/>
      <c r="H26" s="49"/>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62"/>
      <c r="BS26" s="62"/>
      <c r="BT26" s="62"/>
      <c r="BU26" s="62"/>
      <c r="BV26" s="63"/>
    </row>
    <row r="27" spans="1:74" ht="38.65" customHeight="1">
      <c r="A27" s="30" t="s">
        <v>34</v>
      </c>
      <c r="B27" s="31" t="s">
        <v>39</v>
      </c>
      <c r="C27" s="34"/>
      <c r="D27" s="34"/>
      <c r="E27" s="34"/>
      <c r="F27" s="34"/>
      <c r="G27" s="34"/>
      <c r="H27" s="34"/>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9"/>
      <c r="BS27" s="39"/>
      <c r="BT27" s="39"/>
      <c r="BU27" s="39"/>
      <c r="BV27" s="59"/>
    </row>
    <row r="28" spans="1:74" ht="29.25" customHeight="1">
      <c r="A28" s="30" t="s">
        <v>41</v>
      </c>
      <c r="B28" s="32" t="s">
        <v>42</v>
      </c>
      <c r="C28" s="34"/>
      <c r="D28" s="34"/>
      <c r="E28" s="34"/>
      <c r="F28" s="34"/>
      <c r="G28" s="34"/>
      <c r="H28" s="34"/>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9"/>
      <c r="BS28" s="39"/>
      <c r="BT28" s="39"/>
      <c r="BU28" s="39"/>
      <c r="BV28" s="59"/>
    </row>
    <row r="29" spans="1:74" s="51" customFormat="1" ht="39.75" customHeight="1">
      <c r="A29" s="28" t="s">
        <v>45</v>
      </c>
      <c r="B29" s="29" t="s">
        <v>46</v>
      </c>
      <c r="C29" s="49"/>
      <c r="D29" s="49"/>
      <c r="E29" s="49"/>
      <c r="F29" s="49"/>
      <c r="G29" s="49"/>
      <c r="H29" s="49"/>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62"/>
      <c r="BS29" s="62"/>
      <c r="BT29" s="62"/>
      <c r="BU29" s="62"/>
      <c r="BV29" s="63"/>
    </row>
    <row r="30" spans="1:74" ht="36.75" customHeight="1">
      <c r="A30" s="30" t="s">
        <v>34</v>
      </c>
      <c r="B30" s="31" t="s">
        <v>39</v>
      </c>
      <c r="C30" s="34"/>
      <c r="D30" s="34"/>
      <c r="E30" s="34"/>
      <c r="F30" s="34"/>
      <c r="G30" s="34"/>
      <c r="H30" s="34"/>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9"/>
      <c r="BS30" s="39"/>
      <c r="BT30" s="39"/>
      <c r="BU30" s="39"/>
      <c r="BV30" s="59"/>
    </row>
    <row r="31" spans="1:74" ht="31.5" customHeight="1">
      <c r="A31" s="30" t="s">
        <v>41</v>
      </c>
      <c r="B31" s="32" t="s">
        <v>42</v>
      </c>
      <c r="C31" s="34"/>
      <c r="D31" s="34"/>
      <c r="E31" s="34"/>
      <c r="F31" s="34"/>
      <c r="G31" s="34"/>
      <c r="H31" s="34"/>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9"/>
      <c r="BS31" s="39"/>
      <c r="BT31" s="39"/>
      <c r="BU31" s="39"/>
      <c r="BV31" s="59"/>
    </row>
    <row r="32" spans="1:74" s="14" customFormat="1" ht="44.65" customHeight="1">
      <c r="A32" s="28" t="s">
        <v>40</v>
      </c>
      <c r="B32" s="29" t="s">
        <v>48</v>
      </c>
      <c r="C32" s="52"/>
      <c r="D32" s="52"/>
      <c r="E32" s="52"/>
      <c r="F32" s="52"/>
      <c r="G32" s="52"/>
      <c r="H32" s="52"/>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64"/>
      <c r="BS32" s="64"/>
      <c r="BT32" s="64"/>
      <c r="BU32" s="64"/>
      <c r="BV32" s="65"/>
    </row>
    <row r="33" spans="1:74" s="51" customFormat="1" ht="30" customHeight="1">
      <c r="A33" s="28" t="s">
        <v>36</v>
      </c>
      <c r="B33" s="29" t="s">
        <v>37</v>
      </c>
      <c r="C33" s="49"/>
      <c r="D33" s="49"/>
      <c r="E33" s="49"/>
      <c r="F33" s="49"/>
      <c r="G33" s="49"/>
      <c r="H33" s="49"/>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62"/>
      <c r="BS33" s="62"/>
      <c r="BT33" s="62"/>
      <c r="BU33" s="62"/>
      <c r="BV33" s="63"/>
    </row>
    <row r="34" spans="1:74" ht="30" customHeight="1">
      <c r="A34" s="30" t="s">
        <v>34</v>
      </c>
      <c r="B34" s="31" t="s">
        <v>39</v>
      </c>
      <c r="C34" s="34"/>
      <c r="D34" s="34"/>
      <c r="E34" s="34"/>
      <c r="F34" s="34"/>
      <c r="G34" s="34"/>
      <c r="H34" s="34"/>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9"/>
      <c r="BS34" s="39"/>
      <c r="BT34" s="39"/>
      <c r="BU34" s="39"/>
      <c r="BV34" s="59"/>
    </row>
    <row r="35" spans="1:74" ht="30" customHeight="1">
      <c r="A35" s="30" t="s">
        <v>41</v>
      </c>
      <c r="B35" s="32" t="s">
        <v>42</v>
      </c>
      <c r="C35" s="34"/>
      <c r="D35" s="34"/>
      <c r="E35" s="34"/>
      <c r="F35" s="34"/>
      <c r="G35" s="34"/>
      <c r="H35" s="34"/>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9"/>
      <c r="BS35" s="39"/>
      <c r="BT35" s="39"/>
      <c r="BU35" s="39"/>
      <c r="BV35" s="59"/>
    </row>
    <row r="36" spans="1:74" s="51" customFormat="1" ht="30" customHeight="1">
      <c r="A36" s="28" t="s">
        <v>43</v>
      </c>
      <c r="B36" s="29" t="s">
        <v>44</v>
      </c>
      <c r="C36" s="49"/>
      <c r="D36" s="49"/>
      <c r="E36" s="49"/>
      <c r="F36" s="49"/>
      <c r="G36" s="49"/>
      <c r="H36" s="49"/>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62"/>
      <c r="BS36" s="62"/>
      <c r="BT36" s="62"/>
      <c r="BU36" s="62"/>
      <c r="BV36" s="63"/>
    </row>
    <row r="37" spans="1:74" ht="30" customHeight="1">
      <c r="A37" s="30" t="s">
        <v>34</v>
      </c>
      <c r="B37" s="31" t="s">
        <v>39</v>
      </c>
      <c r="C37" s="34"/>
      <c r="D37" s="34"/>
      <c r="E37" s="34"/>
      <c r="F37" s="34"/>
      <c r="G37" s="34"/>
      <c r="H37" s="34"/>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9"/>
      <c r="BS37" s="39"/>
      <c r="BT37" s="39"/>
      <c r="BU37" s="39"/>
      <c r="BV37" s="59"/>
    </row>
    <row r="38" spans="1:74" ht="30" customHeight="1">
      <c r="A38" s="30" t="s">
        <v>41</v>
      </c>
      <c r="B38" s="32" t="s">
        <v>42</v>
      </c>
      <c r="C38" s="34"/>
      <c r="D38" s="34"/>
      <c r="E38" s="34"/>
      <c r="F38" s="34"/>
      <c r="G38" s="34"/>
      <c r="H38" s="34"/>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9"/>
      <c r="BS38" s="39"/>
      <c r="BT38" s="39"/>
      <c r="BU38" s="39"/>
      <c r="BV38" s="59"/>
    </row>
    <row r="39" spans="1:74" s="51" customFormat="1" ht="30" customHeight="1">
      <c r="A39" s="28" t="s">
        <v>45</v>
      </c>
      <c r="B39" s="29" t="s">
        <v>46</v>
      </c>
      <c r="C39" s="49"/>
      <c r="D39" s="49"/>
      <c r="E39" s="49"/>
      <c r="F39" s="49"/>
      <c r="G39" s="49"/>
      <c r="H39" s="49"/>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62"/>
      <c r="BS39" s="62"/>
      <c r="BT39" s="62"/>
      <c r="BU39" s="62"/>
      <c r="BV39" s="63"/>
    </row>
    <row r="40" spans="1:74" ht="30" customHeight="1">
      <c r="A40" s="30" t="s">
        <v>34</v>
      </c>
      <c r="B40" s="31" t="s">
        <v>39</v>
      </c>
      <c r="C40" s="34"/>
      <c r="D40" s="34"/>
      <c r="E40" s="34"/>
      <c r="F40" s="34"/>
      <c r="G40" s="34"/>
      <c r="H40" s="34"/>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9"/>
      <c r="BS40" s="39"/>
      <c r="BT40" s="39"/>
      <c r="BU40" s="39"/>
      <c r="BV40" s="59"/>
    </row>
    <row r="41" spans="1:74" ht="30" customHeight="1">
      <c r="A41" s="30" t="s">
        <v>41</v>
      </c>
      <c r="B41" s="32" t="s">
        <v>42</v>
      </c>
      <c r="C41" s="34"/>
      <c r="D41" s="34"/>
      <c r="E41" s="34"/>
      <c r="F41" s="34"/>
      <c r="G41" s="34"/>
      <c r="H41" s="34"/>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9"/>
      <c r="BS41" s="39"/>
      <c r="BT41" s="39"/>
      <c r="BU41" s="39"/>
      <c r="BV41" s="59"/>
    </row>
    <row r="42" spans="1:74" s="14" customFormat="1" ht="71.25" customHeight="1">
      <c r="A42" s="28" t="s">
        <v>78</v>
      </c>
      <c r="B42" s="29" t="s">
        <v>79</v>
      </c>
      <c r="C42" s="29"/>
      <c r="D42" s="52"/>
      <c r="E42" s="52"/>
      <c r="F42" s="52"/>
      <c r="G42" s="52"/>
      <c r="H42" s="52"/>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64"/>
      <c r="BS42" s="64"/>
      <c r="BT42" s="64"/>
      <c r="BU42" s="64"/>
      <c r="BV42" s="65"/>
    </row>
    <row r="43" spans="1:74" s="51" customFormat="1" ht="30" customHeight="1">
      <c r="A43" s="28" t="s">
        <v>36</v>
      </c>
      <c r="B43" s="29" t="s">
        <v>37</v>
      </c>
      <c r="C43" s="49"/>
      <c r="D43" s="49"/>
      <c r="E43" s="49"/>
      <c r="F43" s="49"/>
      <c r="G43" s="49"/>
      <c r="H43" s="49"/>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62"/>
      <c r="BS43" s="62"/>
      <c r="BT43" s="62"/>
      <c r="BU43" s="62"/>
      <c r="BV43" s="63"/>
    </row>
    <row r="44" spans="1:74" ht="30" customHeight="1">
      <c r="A44" s="30" t="s">
        <v>34</v>
      </c>
      <c r="B44" s="31" t="s">
        <v>39</v>
      </c>
      <c r="C44" s="34"/>
      <c r="D44" s="34"/>
      <c r="E44" s="34"/>
      <c r="F44" s="34"/>
      <c r="G44" s="34"/>
      <c r="H44" s="34"/>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9"/>
      <c r="BS44" s="39"/>
      <c r="BT44" s="39"/>
      <c r="BU44" s="39"/>
      <c r="BV44" s="59"/>
    </row>
    <row r="45" spans="1:74" ht="27.75" customHeight="1">
      <c r="A45" s="30" t="s">
        <v>41</v>
      </c>
      <c r="B45" s="32" t="s">
        <v>42</v>
      </c>
      <c r="C45" s="34"/>
      <c r="D45" s="34"/>
      <c r="E45" s="34"/>
      <c r="F45" s="34"/>
      <c r="G45" s="34"/>
      <c r="H45" s="34"/>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9"/>
      <c r="BS45" s="39"/>
      <c r="BT45" s="39"/>
      <c r="BU45" s="39"/>
      <c r="BV45" s="59"/>
    </row>
    <row r="46" spans="1:74" s="51" customFormat="1" ht="30" customHeight="1">
      <c r="A46" s="28" t="s">
        <v>43</v>
      </c>
      <c r="B46" s="29" t="s">
        <v>44</v>
      </c>
      <c r="C46" s="49"/>
      <c r="D46" s="49"/>
      <c r="E46" s="49"/>
      <c r="F46" s="49"/>
      <c r="G46" s="49"/>
      <c r="H46" s="49"/>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62"/>
      <c r="BS46" s="62"/>
      <c r="BT46" s="62"/>
      <c r="BU46" s="62"/>
      <c r="BV46" s="63"/>
    </row>
    <row r="47" spans="1:74" ht="30" customHeight="1">
      <c r="A47" s="30" t="s">
        <v>34</v>
      </c>
      <c r="B47" s="31" t="s">
        <v>39</v>
      </c>
      <c r="C47" s="34"/>
      <c r="D47" s="34"/>
      <c r="E47" s="34"/>
      <c r="F47" s="34"/>
      <c r="G47" s="34"/>
      <c r="H47" s="34"/>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9"/>
      <c r="BS47" s="39"/>
      <c r="BT47" s="39"/>
      <c r="BU47" s="39"/>
      <c r="BV47" s="59"/>
    </row>
    <row r="48" spans="1:74" ht="27" customHeight="1">
      <c r="A48" s="30" t="s">
        <v>41</v>
      </c>
      <c r="B48" s="32" t="s">
        <v>42</v>
      </c>
      <c r="C48" s="34"/>
      <c r="D48" s="34"/>
      <c r="E48" s="34"/>
      <c r="F48" s="34"/>
      <c r="G48" s="34"/>
      <c r="H48" s="34"/>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9"/>
      <c r="BS48" s="39"/>
      <c r="BT48" s="39"/>
      <c r="BU48" s="39"/>
      <c r="BV48" s="59"/>
    </row>
    <row r="49" spans="1:74" s="51" customFormat="1" ht="30" customHeight="1">
      <c r="A49" s="28" t="s">
        <v>45</v>
      </c>
      <c r="B49" s="29" t="s">
        <v>46</v>
      </c>
      <c r="C49" s="49"/>
      <c r="D49" s="49"/>
      <c r="E49" s="49"/>
      <c r="F49" s="49"/>
      <c r="G49" s="49"/>
      <c r="H49" s="49"/>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62"/>
      <c r="BS49" s="62"/>
      <c r="BT49" s="62"/>
      <c r="BU49" s="62"/>
      <c r="BV49" s="63"/>
    </row>
    <row r="50" spans="1:74" ht="30" customHeight="1">
      <c r="A50" s="30" t="s">
        <v>34</v>
      </c>
      <c r="B50" s="31" t="s">
        <v>39</v>
      </c>
      <c r="C50" s="34"/>
      <c r="D50" s="34"/>
      <c r="E50" s="34"/>
      <c r="F50" s="34"/>
      <c r="G50" s="34"/>
      <c r="H50" s="34"/>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9"/>
      <c r="BS50" s="39"/>
      <c r="BT50" s="39"/>
      <c r="BU50" s="39"/>
      <c r="BV50" s="59"/>
    </row>
    <row r="51" spans="1:74" ht="30" customHeight="1">
      <c r="A51" s="30" t="s">
        <v>41</v>
      </c>
      <c r="B51" s="32" t="s">
        <v>42</v>
      </c>
      <c r="C51" s="34"/>
      <c r="D51" s="34"/>
      <c r="E51" s="34"/>
      <c r="F51" s="34"/>
      <c r="G51" s="34"/>
      <c r="H51" s="34"/>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9"/>
      <c r="BS51" s="39"/>
      <c r="BT51" s="39"/>
      <c r="BU51" s="39"/>
      <c r="BV51" s="59"/>
    </row>
    <row r="52" spans="1:74" s="51" customFormat="1" ht="57" customHeight="1">
      <c r="A52" s="28" t="s">
        <v>80</v>
      </c>
      <c r="B52" s="29" t="s">
        <v>81</v>
      </c>
      <c r="C52" s="49"/>
      <c r="D52" s="49"/>
      <c r="E52" s="49"/>
      <c r="F52" s="49"/>
      <c r="G52" s="49"/>
      <c r="H52" s="49"/>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62"/>
      <c r="BS52" s="62"/>
      <c r="BT52" s="62"/>
      <c r="BU52" s="62"/>
      <c r="BV52" s="63"/>
    </row>
    <row r="53" spans="1:74" s="51" customFormat="1" ht="36" customHeight="1">
      <c r="A53" s="28" t="s">
        <v>36</v>
      </c>
      <c r="B53" s="29" t="s">
        <v>37</v>
      </c>
      <c r="C53" s="49"/>
      <c r="D53" s="49"/>
      <c r="E53" s="49"/>
      <c r="F53" s="49"/>
      <c r="G53" s="49"/>
      <c r="H53" s="49"/>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62"/>
      <c r="BS53" s="62"/>
      <c r="BT53" s="62"/>
      <c r="BU53" s="62"/>
      <c r="BV53" s="63"/>
    </row>
    <row r="54" spans="1:74" s="51" customFormat="1" ht="33.75" customHeight="1">
      <c r="A54" s="30" t="s">
        <v>34</v>
      </c>
      <c r="B54" s="31" t="s">
        <v>39</v>
      </c>
      <c r="C54" s="49"/>
      <c r="D54" s="49"/>
      <c r="E54" s="49"/>
      <c r="F54" s="49"/>
      <c r="G54" s="49"/>
      <c r="H54" s="49"/>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62"/>
      <c r="BS54" s="62"/>
      <c r="BT54" s="62"/>
      <c r="BU54" s="62"/>
      <c r="BV54" s="63"/>
    </row>
    <row r="55" spans="1:74" s="51" customFormat="1" ht="34.5" customHeight="1">
      <c r="A55" s="30" t="s">
        <v>41</v>
      </c>
      <c r="B55" s="32" t="s">
        <v>42</v>
      </c>
      <c r="C55" s="49"/>
      <c r="D55" s="49"/>
      <c r="E55" s="49"/>
      <c r="F55" s="49"/>
      <c r="G55" s="49"/>
      <c r="H55" s="49"/>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62"/>
      <c r="BS55" s="62"/>
      <c r="BT55" s="62"/>
      <c r="BU55" s="62"/>
      <c r="BV55" s="63"/>
    </row>
    <row r="56" spans="1:74" s="51" customFormat="1" ht="30.75" customHeight="1">
      <c r="A56" s="28" t="s">
        <v>43</v>
      </c>
      <c r="B56" s="29" t="s">
        <v>44</v>
      </c>
      <c r="C56" s="49"/>
      <c r="D56" s="49"/>
      <c r="E56" s="49"/>
      <c r="F56" s="49"/>
      <c r="G56" s="49"/>
      <c r="H56" s="49"/>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62"/>
      <c r="BS56" s="62"/>
      <c r="BT56" s="62"/>
      <c r="BU56" s="62"/>
      <c r="BV56" s="63"/>
    </row>
    <row r="57" spans="1:74" s="51" customFormat="1" ht="36" customHeight="1">
      <c r="A57" s="30" t="s">
        <v>34</v>
      </c>
      <c r="B57" s="31" t="s">
        <v>39</v>
      </c>
      <c r="C57" s="49"/>
      <c r="D57" s="49"/>
      <c r="E57" s="49"/>
      <c r="F57" s="49"/>
      <c r="G57" s="49"/>
      <c r="H57" s="49"/>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62"/>
      <c r="BS57" s="62"/>
      <c r="BT57" s="62"/>
      <c r="BU57" s="62"/>
      <c r="BV57" s="63"/>
    </row>
    <row r="58" spans="1:74" s="51" customFormat="1" ht="29.25" customHeight="1">
      <c r="A58" s="30" t="s">
        <v>41</v>
      </c>
      <c r="B58" s="32" t="s">
        <v>42</v>
      </c>
      <c r="C58" s="49"/>
      <c r="D58" s="49"/>
      <c r="E58" s="49"/>
      <c r="F58" s="49"/>
      <c r="G58" s="49"/>
      <c r="H58" s="49"/>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62"/>
      <c r="BS58" s="62"/>
      <c r="BT58" s="62"/>
      <c r="BU58" s="62"/>
      <c r="BV58" s="63"/>
    </row>
    <row r="59" spans="1:74" ht="30" customHeight="1">
      <c r="A59" s="28" t="s">
        <v>45</v>
      </c>
      <c r="B59" s="29" t="s">
        <v>46</v>
      </c>
      <c r="C59" s="34"/>
      <c r="D59" s="34"/>
      <c r="E59" s="34"/>
      <c r="F59" s="34"/>
      <c r="G59" s="34"/>
      <c r="H59" s="34"/>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9"/>
      <c r="BS59" s="39"/>
      <c r="BT59" s="39"/>
      <c r="BU59" s="39"/>
      <c r="BV59" s="59"/>
    </row>
    <row r="60" spans="1:74" ht="30" customHeight="1">
      <c r="A60" s="30" t="s">
        <v>34</v>
      </c>
      <c r="B60" s="31" t="s">
        <v>39</v>
      </c>
      <c r="C60" s="34"/>
      <c r="D60" s="34"/>
      <c r="E60" s="34"/>
      <c r="F60" s="34"/>
      <c r="G60" s="34"/>
      <c r="H60" s="34"/>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9"/>
      <c r="BS60" s="39"/>
      <c r="BT60" s="39"/>
      <c r="BU60" s="39"/>
      <c r="BV60" s="59"/>
    </row>
    <row r="61" spans="1:74" ht="30" customHeight="1">
      <c r="A61" s="30" t="s">
        <v>41</v>
      </c>
      <c r="B61" s="32" t="s">
        <v>42</v>
      </c>
      <c r="C61" s="34"/>
      <c r="D61" s="34"/>
      <c r="E61" s="34"/>
      <c r="F61" s="34"/>
      <c r="G61" s="34"/>
      <c r="H61" s="34"/>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9"/>
      <c r="BS61" s="39"/>
      <c r="BT61" s="39"/>
      <c r="BU61" s="39"/>
      <c r="BV61" s="59"/>
    </row>
    <row r="62" spans="1:74" ht="55.9" customHeight="1">
      <c r="A62" s="22" t="s">
        <v>49</v>
      </c>
      <c r="B62" s="23" t="s">
        <v>76</v>
      </c>
      <c r="C62" s="34"/>
      <c r="D62" s="34"/>
      <c r="E62" s="34"/>
      <c r="F62" s="34"/>
      <c r="G62" s="34"/>
      <c r="H62" s="34"/>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59"/>
      <c r="BS62" s="59"/>
      <c r="BT62" s="59"/>
      <c r="BU62" s="59"/>
      <c r="BV62" s="59"/>
    </row>
    <row r="63" spans="1:74" ht="50.25" customHeight="1">
      <c r="A63" s="30" t="s">
        <v>41</v>
      </c>
      <c r="B63" s="27" t="s">
        <v>82</v>
      </c>
      <c r="C63" s="34"/>
      <c r="D63" s="34"/>
      <c r="E63" s="34"/>
      <c r="F63" s="34"/>
      <c r="G63" s="34"/>
      <c r="H63" s="34"/>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row>
    <row r="64" spans="1:74" ht="107.25" hidden="1" customHeight="1">
      <c r="A64" s="22" t="s">
        <v>83</v>
      </c>
      <c r="B64" s="21" t="s">
        <v>84</v>
      </c>
      <c r="C64" s="34"/>
      <c r="D64" s="34"/>
      <c r="E64" s="34"/>
      <c r="F64" s="34"/>
      <c r="G64" s="34"/>
      <c r="H64" s="34"/>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row>
    <row r="65" spans="1:69" s="51" customFormat="1" ht="50.25" hidden="1" customHeight="1">
      <c r="A65" s="28" t="s">
        <v>41</v>
      </c>
      <c r="B65" s="29" t="s">
        <v>85</v>
      </c>
      <c r="C65" s="49"/>
      <c r="D65" s="49"/>
      <c r="E65" s="49"/>
      <c r="F65" s="49"/>
      <c r="G65" s="49"/>
      <c r="H65" s="49"/>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row>
    <row r="66" spans="1:69" s="47" customFormat="1" ht="106.5" hidden="1" customHeight="1">
      <c r="A66" s="46" t="s">
        <v>86</v>
      </c>
      <c r="B66" s="21" t="s">
        <v>87</v>
      </c>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row>
    <row r="67" spans="1:69" s="51" customFormat="1" ht="50.25" hidden="1" customHeight="1">
      <c r="A67" s="28" t="s">
        <v>41</v>
      </c>
      <c r="B67" s="29" t="s">
        <v>85</v>
      </c>
      <c r="C67" s="49"/>
      <c r="D67" s="49"/>
      <c r="E67" s="49"/>
      <c r="F67" s="49"/>
      <c r="G67" s="49"/>
      <c r="H67" s="49"/>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row>
    <row r="68" spans="1:69" s="47" customFormat="1" ht="106.5" hidden="1" customHeight="1">
      <c r="A68" s="46" t="s">
        <v>88</v>
      </c>
      <c r="B68" s="21" t="s">
        <v>75</v>
      </c>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row>
    <row r="69" spans="1:69" s="47" customFormat="1" ht="29.25" customHeight="1">
      <c r="A69" s="46"/>
      <c r="B69" s="21"/>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row>
    <row r="70" spans="1:69" s="14" customFormat="1" ht="30.75" customHeight="1">
      <c r="A70" s="66"/>
      <c r="B70" s="67" t="s">
        <v>89</v>
      </c>
      <c r="C70" s="68"/>
      <c r="D70" s="68"/>
      <c r="E70" s="68"/>
      <c r="F70" s="68"/>
      <c r="G70" s="68"/>
      <c r="H70" s="68"/>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c r="BO70" s="64"/>
      <c r="BP70" s="64"/>
      <c r="BQ70" s="64"/>
    </row>
    <row r="71" spans="1:69" s="14" customFormat="1" ht="30.6" customHeight="1">
      <c r="A71" s="69"/>
      <c r="B71" s="1760" t="s">
        <v>101</v>
      </c>
      <c r="C71" s="1760"/>
      <c r="D71" s="1760"/>
      <c r="E71" s="1760"/>
      <c r="F71" s="1760"/>
      <c r="G71" s="1760"/>
      <c r="H71" s="1760"/>
      <c r="I71" s="1760"/>
      <c r="J71" s="1760"/>
      <c r="K71" s="1760"/>
      <c r="L71" s="1760"/>
      <c r="M71" s="1760"/>
      <c r="N71" s="1760"/>
      <c r="O71" s="1760"/>
      <c r="P71" s="1760"/>
      <c r="Q71" s="1760"/>
      <c r="R71" s="1760"/>
      <c r="S71" s="1760"/>
      <c r="T71" s="1760"/>
      <c r="U71" s="1760"/>
      <c r="V71" s="1760"/>
      <c r="W71" s="1760"/>
      <c r="X71" s="1760"/>
      <c r="Y71" s="1760"/>
      <c r="Z71" s="1760"/>
      <c r="AA71" s="1760"/>
      <c r="AB71" s="1760"/>
      <c r="AC71" s="1760"/>
      <c r="AD71" s="1760"/>
      <c r="AE71" s="1760"/>
      <c r="AF71" s="1760"/>
      <c r="AG71" s="1760"/>
      <c r="AH71" s="1760"/>
      <c r="AI71" s="1760"/>
      <c r="AJ71" s="1760"/>
      <c r="AK71" s="1760"/>
      <c r="AL71" s="1760"/>
      <c r="AM71" s="1760"/>
      <c r="AN71" s="1760"/>
      <c r="AO71" s="1760"/>
      <c r="AP71" s="1760"/>
      <c r="AQ71" s="1760"/>
      <c r="AR71" s="1760"/>
      <c r="AS71" s="1760"/>
      <c r="AT71" s="1760"/>
      <c r="AU71" s="1760"/>
      <c r="AV71" s="1760"/>
      <c r="AW71" s="1760"/>
      <c r="AX71" s="1760"/>
      <c r="AY71" s="1760"/>
      <c r="AZ71" s="1760"/>
      <c r="BA71" s="1760"/>
      <c r="BB71" s="1760"/>
      <c r="BC71" s="1760"/>
      <c r="BD71" s="1760"/>
      <c r="BE71" s="1760"/>
      <c r="BF71" s="1760"/>
      <c r="BG71" s="1760"/>
      <c r="BH71" s="1760"/>
      <c r="BI71" s="1760"/>
      <c r="BJ71" s="1760"/>
      <c r="BK71" s="1760"/>
      <c r="BL71" s="1760"/>
      <c r="BM71" s="1760"/>
      <c r="BN71" s="1760"/>
      <c r="BO71" s="1760"/>
      <c r="BP71" s="1760"/>
      <c r="BQ71" s="1760"/>
    </row>
    <row r="72" spans="1:69" s="14" customFormat="1" ht="44.45" customHeight="1">
      <c r="A72" s="69"/>
      <c r="B72" s="1761" t="s">
        <v>102</v>
      </c>
      <c r="C72" s="1762"/>
      <c r="D72" s="1762"/>
      <c r="E72" s="1762"/>
      <c r="F72" s="1762"/>
      <c r="G72" s="1762"/>
      <c r="H72" s="1762"/>
      <c r="I72" s="1762"/>
      <c r="J72" s="1762"/>
      <c r="K72" s="1762"/>
      <c r="L72" s="1762"/>
      <c r="M72" s="1762"/>
      <c r="N72" s="1762"/>
      <c r="O72" s="1762"/>
      <c r="P72" s="1762"/>
      <c r="Q72" s="1762"/>
      <c r="R72" s="1762"/>
      <c r="S72" s="1762"/>
      <c r="T72" s="1762"/>
      <c r="U72" s="1762"/>
      <c r="V72" s="1762"/>
      <c r="W72" s="1762"/>
      <c r="X72" s="1762"/>
      <c r="Y72" s="1762"/>
      <c r="Z72" s="1762"/>
      <c r="AA72" s="1762"/>
      <c r="AB72" s="1762"/>
      <c r="AC72" s="1762"/>
      <c r="AD72" s="1762"/>
      <c r="AE72" s="1762"/>
      <c r="AF72" s="1762"/>
      <c r="AG72" s="1762"/>
      <c r="AH72" s="1762"/>
      <c r="AI72" s="1762"/>
      <c r="AJ72" s="1762"/>
      <c r="AK72" s="1762"/>
      <c r="AL72" s="1762"/>
      <c r="AM72" s="1762"/>
      <c r="AN72" s="1762"/>
      <c r="AO72" s="1762"/>
      <c r="AP72" s="1762"/>
      <c r="AQ72" s="1762"/>
      <c r="AR72" s="1762"/>
      <c r="AS72" s="1762"/>
      <c r="AT72" s="1762"/>
      <c r="AU72" s="1762"/>
      <c r="AV72" s="1762"/>
      <c r="AW72" s="1762"/>
      <c r="AX72" s="1762"/>
      <c r="AY72" s="1762"/>
      <c r="AZ72" s="1762"/>
      <c r="BA72" s="1762"/>
      <c r="BB72" s="1762"/>
      <c r="BC72" s="1762"/>
      <c r="BD72" s="1762"/>
      <c r="BE72" s="1762"/>
      <c r="BF72" s="1762"/>
      <c r="BG72" s="1762"/>
      <c r="BH72" s="1762"/>
      <c r="BI72" s="1762"/>
      <c r="BJ72" s="1762"/>
      <c r="BK72" s="1762"/>
      <c r="BL72" s="1762"/>
      <c r="BM72" s="1762"/>
      <c r="BN72" s="1762"/>
      <c r="BO72" s="1762"/>
      <c r="BP72" s="1762"/>
      <c r="BQ72" s="1762"/>
    </row>
    <row r="73" spans="1:69">
      <c r="A73" s="13"/>
      <c r="B73" s="43" t="s">
        <v>90</v>
      </c>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13"/>
      <c r="BB73" s="13"/>
      <c r="BC73" s="13"/>
      <c r="BD73" s="13"/>
      <c r="BE73" s="13"/>
      <c r="BF73" s="13"/>
      <c r="BG73" s="13"/>
      <c r="BH73" s="54"/>
      <c r="BI73" s="54"/>
      <c r="BJ73" s="13"/>
      <c r="BK73" s="13"/>
      <c r="BL73" s="13"/>
      <c r="BM73" s="13"/>
      <c r="BN73" s="13"/>
      <c r="BO73" s="13"/>
      <c r="BP73" s="13"/>
      <c r="BQ73" s="13"/>
    </row>
    <row r="74" spans="1:69">
      <c r="A74" s="13"/>
      <c r="B74" s="1759" t="s">
        <v>91</v>
      </c>
      <c r="C74" s="1759"/>
      <c r="D74" s="1759"/>
      <c r="E74" s="1759"/>
      <c r="F74" s="1759"/>
      <c r="G74" s="1759"/>
      <c r="H74" s="1759"/>
      <c r="I74" s="1759"/>
      <c r="J74" s="1759"/>
      <c r="K74" s="1759"/>
      <c r="L74" s="1759"/>
      <c r="M74" s="1759"/>
      <c r="N74" s="1759"/>
      <c r="O74" s="1759"/>
      <c r="P74" s="1759"/>
      <c r="Q74" s="1759"/>
      <c r="R74" s="1759"/>
      <c r="S74" s="1759"/>
      <c r="T74" s="1759"/>
      <c r="U74" s="1759"/>
      <c r="V74" s="1759"/>
      <c r="W74" s="1759"/>
      <c r="X74" s="1759"/>
      <c r="Y74" s="1759"/>
      <c r="Z74" s="1759"/>
      <c r="AA74" s="1759"/>
      <c r="AB74" s="1759"/>
      <c r="AC74" s="1759"/>
      <c r="AD74" s="1759"/>
      <c r="AE74" s="1759"/>
      <c r="AF74" s="1759"/>
      <c r="AG74" s="1759"/>
      <c r="AH74" s="1759"/>
      <c r="AI74" s="1759"/>
      <c r="AJ74" s="1759"/>
      <c r="AK74" s="1759"/>
      <c r="AL74" s="1759"/>
      <c r="AM74" s="1759"/>
      <c r="AN74" s="1759"/>
      <c r="AO74" s="1759"/>
      <c r="AP74" s="1759"/>
      <c r="AQ74" s="1759"/>
      <c r="AR74" s="1759"/>
      <c r="AS74" s="1759"/>
      <c r="AT74" s="1759"/>
      <c r="AU74" s="1759"/>
      <c r="AV74" s="1759"/>
      <c r="AW74" s="1759"/>
      <c r="AX74" s="1759"/>
      <c r="AY74" s="1759"/>
      <c r="AZ74" s="1759"/>
      <c r="BA74" s="1759"/>
      <c r="BB74" s="1759"/>
      <c r="BC74" s="1759"/>
      <c r="BD74" s="1759"/>
      <c r="BE74" s="1759"/>
      <c r="BF74" s="1759"/>
      <c r="BG74" s="1759"/>
      <c r="BH74" s="1759"/>
      <c r="BI74" s="1759"/>
      <c r="BJ74" s="13"/>
      <c r="BK74" s="13"/>
      <c r="BL74" s="13"/>
      <c r="BM74" s="13"/>
      <c r="BN74" s="13"/>
      <c r="BO74" s="13"/>
      <c r="BP74" s="13"/>
      <c r="BQ74" s="13"/>
    </row>
    <row r="75" spans="1:69">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row>
    <row r="76" spans="1:69">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row>
    <row r="77" spans="1:69">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row>
    <row r="78" spans="1:69">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row>
    <row r="79" spans="1:69">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row>
    <row r="80" spans="1:69">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row>
    <row r="81" spans="1:69">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row>
    <row r="82" spans="1:69">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row>
    <row r="83" spans="1:69">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row>
    <row r="84" spans="1:69">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row>
    <row r="85" spans="1:69">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row>
    <row r="86" spans="1:69">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row>
    <row r="87" spans="1:69">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row>
    <row r="88" spans="1:69">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row>
    <row r="89" spans="1:69">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row>
    <row r="90" spans="1:69">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row>
    <row r="91" spans="1:69">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row>
    <row r="92" spans="1:69">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row>
    <row r="93" spans="1:69">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row>
    <row r="94" spans="1:69">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row>
    <row r="95" spans="1:69">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row>
    <row r="96" spans="1:69">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row>
    <row r="97" spans="1:69">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row>
    <row r="98" spans="1:69">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row>
    <row r="99" spans="1:69">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row>
    <row r="100" spans="1:69">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row>
    <row r="101" spans="1:69">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row>
    <row r="102" spans="1:69">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row>
    <row r="103" spans="1:69">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row>
    <row r="104" spans="1:69">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row>
    <row r="105" spans="1:69">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row>
    <row r="106" spans="1:69">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row>
    <row r="107" spans="1:69">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row>
    <row r="108" spans="1:69">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row>
    <row r="109" spans="1:69">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row>
    <row r="110" spans="1:69">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row>
    <row r="111" spans="1:69">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row>
    <row r="112" spans="1:69">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row>
    <row r="113" spans="1:69">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row>
    <row r="114" spans="1:69">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row>
    <row r="115" spans="1:69">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row>
    <row r="116" spans="1:69">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row>
    <row r="117" spans="1:69">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row>
    <row r="118" spans="1:69">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row>
    <row r="119" spans="1:69">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row>
    <row r="120" spans="1:69">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row>
    <row r="121" spans="1:69">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row>
    <row r="122" spans="1:69">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row>
    <row r="123" spans="1:69">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row>
    <row r="124" spans="1:69">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row>
    <row r="125" spans="1:69">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row>
    <row r="126" spans="1:69">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row>
    <row r="127" spans="1:69">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row>
    <row r="128" spans="1:69">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row>
    <row r="129" spans="1:69">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c r="BP129" s="13"/>
      <c r="BQ129" s="13"/>
    </row>
    <row r="130" spans="1:69">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row>
    <row r="131" spans="1:69">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c r="BO131" s="13"/>
      <c r="BP131" s="13"/>
      <c r="BQ131" s="13"/>
    </row>
    <row r="132" spans="1:69">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row>
    <row r="133" spans="1:69">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row>
    <row r="134" spans="1:69">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row>
    <row r="135" spans="1:69">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row>
    <row r="136" spans="1:69">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row>
    <row r="137" spans="1:69">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row>
    <row r="138" spans="1:69">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row>
    <row r="139" spans="1:69">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c r="BQ139" s="13"/>
    </row>
    <row r="140" spans="1:69">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row>
    <row r="141" spans="1:69">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row>
    <row r="142" spans="1:69">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row>
    <row r="143" spans="1:69">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row>
    <row r="144" spans="1:69">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row>
    <row r="145" spans="1:69">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row>
    <row r="146" spans="1:69">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row>
    <row r="147" spans="1:69">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c r="BQ147" s="13"/>
    </row>
    <row r="148" spans="1:69">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row>
    <row r="149" spans="1:69">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row>
    <row r="150" spans="1:69">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row>
    <row r="151" spans="1:69">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c r="BQ151" s="13"/>
    </row>
    <row r="152" spans="1:69">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row>
    <row r="153" spans="1:69">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c r="BN153" s="13"/>
      <c r="BO153" s="13"/>
      <c r="BP153" s="13"/>
      <c r="BQ153" s="13"/>
    </row>
    <row r="154" spans="1:69">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c r="BQ154" s="13"/>
    </row>
    <row r="155" spans="1:69">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row>
    <row r="156" spans="1:69">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row>
    <row r="157" spans="1:69">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row>
    <row r="158" spans="1:69">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row>
    <row r="159" spans="1:69">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row>
    <row r="160" spans="1:69">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row>
    <row r="161" spans="1:69">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row>
    <row r="162" spans="1:69">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row>
    <row r="163" spans="1:69">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row>
    <row r="164" spans="1:69">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row>
    <row r="165" spans="1:69">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row>
    <row r="166" spans="1:69">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row>
    <row r="167" spans="1:69">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c r="BQ167" s="13"/>
    </row>
    <row r="168" spans="1:69">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c r="BQ168" s="13"/>
    </row>
    <row r="169" spans="1:69">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c r="BP169" s="13"/>
      <c r="BQ169" s="13"/>
    </row>
    <row r="170" spans="1:69">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c r="BN170" s="13"/>
      <c r="BO170" s="13"/>
      <c r="BP170" s="13"/>
      <c r="BQ170" s="13"/>
    </row>
    <row r="171" spans="1:69">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row>
    <row r="172" spans="1:69">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row>
    <row r="173" spans="1:69">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c r="BN173" s="13"/>
      <c r="BO173" s="13"/>
      <c r="BP173" s="13"/>
      <c r="BQ173" s="13"/>
    </row>
    <row r="174" spans="1:69">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c r="BN174" s="13"/>
      <c r="BO174" s="13"/>
      <c r="BP174" s="13"/>
      <c r="BQ174" s="13"/>
    </row>
    <row r="175" spans="1:69">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c r="BN175" s="13"/>
      <c r="BO175" s="13"/>
      <c r="BP175" s="13"/>
      <c r="BQ175" s="13"/>
    </row>
    <row r="176" spans="1:69">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row>
    <row r="177" spans="1:69">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c r="BN177" s="13"/>
      <c r="BO177" s="13"/>
      <c r="BP177" s="13"/>
      <c r="BQ177" s="13"/>
    </row>
    <row r="178" spans="1:69">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c r="BO178" s="13"/>
      <c r="BP178" s="13"/>
      <c r="BQ178" s="13"/>
    </row>
    <row r="179" spans="1:69">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row>
    <row r="180" spans="1:69">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c r="BQ180" s="13"/>
    </row>
    <row r="181" spans="1:69">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c r="BF181" s="13"/>
      <c r="BG181" s="13"/>
      <c r="BH181" s="13"/>
      <c r="BI181" s="13"/>
      <c r="BJ181" s="13"/>
      <c r="BK181" s="13"/>
      <c r="BL181" s="13"/>
      <c r="BM181" s="13"/>
      <c r="BN181" s="13"/>
      <c r="BO181" s="13"/>
      <c r="BP181" s="13"/>
      <c r="BQ181" s="13"/>
    </row>
    <row r="182" spans="1:69">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c r="BF182" s="13"/>
      <c r="BG182" s="13"/>
      <c r="BH182" s="13"/>
      <c r="BI182" s="13"/>
      <c r="BJ182" s="13"/>
      <c r="BK182" s="13"/>
      <c r="BL182" s="13"/>
      <c r="BM182" s="13"/>
      <c r="BN182" s="13"/>
      <c r="BO182" s="13"/>
      <c r="BP182" s="13"/>
      <c r="BQ182" s="13"/>
    </row>
    <row r="183" spans="1:69">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13"/>
      <c r="BH183" s="13"/>
      <c r="BI183" s="13"/>
      <c r="BJ183" s="13"/>
      <c r="BK183" s="13"/>
      <c r="BL183" s="13"/>
      <c r="BM183" s="13"/>
      <c r="BN183" s="13"/>
      <c r="BO183" s="13"/>
      <c r="BP183" s="13"/>
      <c r="BQ183" s="13"/>
    </row>
    <row r="184" spans="1:69">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13"/>
      <c r="BK184" s="13"/>
      <c r="BL184" s="13"/>
      <c r="BM184" s="13"/>
      <c r="BN184" s="13"/>
      <c r="BO184" s="13"/>
      <c r="BP184" s="13"/>
      <c r="BQ184" s="13"/>
    </row>
    <row r="185" spans="1:69">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13"/>
      <c r="BN185" s="13"/>
      <c r="BO185" s="13"/>
      <c r="BP185" s="13"/>
      <c r="BQ185" s="13"/>
    </row>
    <row r="186" spans="1:69">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row>
    <row r="187" spans="1:69">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c r="BF187" s="13"/>
      <c r="BG187" s="13"/>
      <c r="BH187" s="13"/>
      <c r="BI187" s="13"/>
      <c r="BJ187" s="13"/>
      <c r="BK187" s="13"/>
      <c r="BL187" s="13"/>
      <c r="BM187" s="13"/>
      <c r="BN187" s="13"/>
      <c r="BO187" s="13"/>
      <c r="BP187" s="13"/>
      <c r="BQ187" s="13"/>
    </row>
    <row r="188" spans="1:69">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c r="BQ188" s="13"/>
    </row>
    <row r="189" spans="1:69">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13"/>
      <c r="BH189" s="13"/>
      <c r="BI189" s="13"/>
      <c r="BJ189" s="13"/>
      <c r="BK189" s="13"/>
      <c r="BL189" s="13"/>
      <c r="BM189" s="13"/>
      <c r="BN189" s="13"/>
      <c r="BO189" s="13"/>
      <c r="BP189" s="13"/>
      <c r="BQ189" s="13"/>
    </row>
    <row r="190" spans="1:69">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3"/>
      <c r="BF190" s="13"/>
      <c r="BG190" s="13"/>
      <c r="BH190" s="13"/>
      <c r="BI190" s="13"/>
      <c r="BJ190" s="13"/>
      <c r="BK190" s="13"/>
      <c r="BL190" s="13"/>
      <c r="BM190" s="13"/>
      <c r="BN190" s="13"/>
      <c r="BO190" s="13"/>
      <c r="BP190" s="13"/>
      <c r="BQ190" s="13"/>
    </row>
    <row r="191" spans="1:69">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c r="BD191" s="13"/>
      <c r="BE191" s="13"/>
      <c r="BF191" s="13"/>
      <c r="BG191" s="13"/>
      <c r="BH191" s="13"/>
      <c r="BI191" s="13"/>
      <c r="BJ191" s="13"/>
      <c r="BK191" s="13"/>
      <c r="BL191" s="13"/>
      <c r="BM191" s="13"/>
      <c r="BN191" s="13"/>
      <c r="BO191" s="13"/>
      <c r="BP191" s="13"/>
      <c r="BQ191" s="13"/>
    </row>
    <row r="192" spans="1:69">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c r="BE192" s="13"/>
      <c r="BF192" s="13"/>
      <c r="BG192" s="13"/>
      <c r="BH192" s="13"/>
      <c r="BI192" s="13"/>
      <c r="BJ192" s="13"/>
      <c r="BK192" s="13"/>
      <c r="BL192" s="13"/>
      <c r="BM192" s="13"/>
      <c r="BN192" s="13"/>
      <c r="BO192" s="13"/>
      <c r="BP192" s="13"/>
      <c r="BQ192" s="13"/>
    </row>
    <row r="193" spans="1:69">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13"/>
      <c r="BH193" s="13"/>
      <c r="BI193" s="13"/>
      <c r="BJ193" s="13"/>
      <c r="BK193" s="13"/>
      <c r="BL193" s="13"/>
      <c r="BM193" s="13"/>
      <c r="BN193" s="13"/>
      <c r="BO193" s="13"/>
      <c r="BP193" s="13"/>
      <c r="BQ193" s="13"/>
    </row>
    <row r="194" spans="1:69">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c r="BE194" s="13"/>
      <c r="BF194" s="13"/>
      <c r="BG194" s="13"/>
      <c r="BH194" s="13"/>
      <c r="BI194" s="13"/>
      <c r="BJ194" s="13"/>
      <c r="BK194" s="13"/>
      <c r="BL194" s="13"/>
      <c r="BM194" s="13"/>
      <c r="BN194" s="13"/>
      <c r="BO194" s="13"/>
      <c r="BP194" s="13"/>
      <c r="BQ194" s="13"/>
    </row>
    <row r="195" spans="1:69">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c r="BC195" s="13"/>
      <c r="BD195" s="13"/>
      <c r="BE195" s="13"/>
      <c r="BF195" s="13"/>
      <c r="BG195" s="13"/>
      <c r="BH195" s="13"/>
      <c r="BI195" s="13"/>
      <c r="BJ195" s="13"/>
      <c r="BK195" s="13"/>
      <c r="BL195" s="13"/>
      <c r="BM195" s="13"/>
      <c r="BN195" s="13"/>
      <c r="BO195" s="13"/>
      <c r="BP195" s="13"/>
      <c r="BQ195" s="13"/>
    </row>
    <row r="196" spans="1:69">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c r="BQ196" s="13"/>
    </row>
    <row r="197" spans="1:69">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13"/>
      <c r="BH197" s="13"/>
      <c r="BI197" s="13"/>
      <c r="BJ197" s="13"/>
      <c r="BK197" s="13"/>
      <c r="BL197" s="13"/>
      <c r="BM197" s="13"/>
      <c r="BN197" s="13"/>
      <c r="BO197" s="13"/>
      <c r="BP197" s="13"/>
      <c r="BQ197" s="13"/>
    </row>
    <row r="198" spans="1:69">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D198" s="13"/>
      <c r="BE198" s="13"/>
      <c r="BF198" s="13"/>
      <c r="BG198" s="13"/>
      <c r="BH198" s="13"/>
      <c r="BI198" s="13"/>
      <c r="BJ198" s="13"/>
      <c r="BK198" s="13"/>
      <c r="BL198" s="13"/>
      <c r="BM198" s="13"/>
      <c r="BN198" s="13"/>
      <c r="BO198" s="13"/>
      <c r="BP198" s="13"/>
      <c r="BQ198" s="13"/>
    </row>
    <row r="199" spans="1:69">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c r="BD199" s="13"/>
      <c r="BE199" s="13"/>
      <c r="BF199" s="13"/>
      <c r="BG199" s="13"/>
      <c r="BH199" s="13"/>
      <c r="BI199" s="13"/>
      <c r="BJ199" s="13"/>
      <c r="BK199" s="13"/>
      <c r="BL199" s="13"/>
      <c r="BM199" s="13"/>
      <c r="BN199" s="13"/>
      <c r="BO199" s="13"/>
      <c r="BP199" s="13"/>
      <c r="BQ199" s="13"/>
    </row>
    <row r="200" spans="1:69">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c r="BM200" s="13"/>
      <c r="BN200" s="13"/>
      <c r="BO200" s="13"/>
      <c r="BP200" s="13"/>
      <c r="BQ200" s="13"/>
    </row>
    <row r="201" spans="1:69">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c r="BD201" s="13"/>
      <c r="BE201" s="13"/>
      <c r="BF201" s="13"/>
      <c r="BG201" s="13"/>
      <c r="BH201" s="13"/>
      <c r="BI201" s="13"/>
      <c r="BJ201" s="13"/>
      <c r="BK201" s="13"/>
      <c r="BL201" s="13"/>
      <c r="BM201" s="13"/>
      <c r="BN201" s="13"/>
      <c r="BO201" s="13"/>
      <c r="BP201" s="13"/>
      <c r="BQ201" s="13"/>
    </row>
    <row r="202" spans="1:69">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D202" s="13"/>
      <c r="BE202" s="13"/>
      <c r="BF202" s="13"/>
      <c r="BG202" s="13"/>
      <c r="BH202" s="13"/>
      <c r="BI202" s="13"/>
      <c r="BJ202" s="13"/>
      <c r="BK202" s="13"/>
      <c r="BL202" s="13"/>
      <c r="BM202" s="13"/>
      <c r="BN202" s="13"/>
      <c r="BO202" s="13"/>
      <c r="BP202" s="13"/>
      <c r="BQ202" s="13"/>
    </row>
    <row r="203" spans="1:69">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13"/>
      <c r="BH203" s="13"/>
      <c r="BI203" s="13"/>
      <c r="BJ203" s="13"/>
      <c r="BK203" s="13"/>
      <c r="BL203" s="13"/>
      <c r="BM203" s="13"/>
      <c r="BN203" s="13"/>
      <c r="BO203" s="13"/>
      <c r="BP203" s="13"/>
      <c r="BQ203" s="13"/>
    </row>
    <row r="204" spans="1:69">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c r="BD204" s="13"/>
      <c r="BE204" s="13"/>
      <c r="BF204" s="13"/>
      <c r="BG204" s="13"/>
      <c r="BH204" s="13"/>
      <c r="BI204" s="13"/>
      <c r="BJ204" s="13"/>
      <c r="BK204" s="13"/>
      <c r="BL204" s="13"/>
      <c r="BM204" s="13"/>
      <c r="BN204" s="13"/>
      <c r="BO204" s="13"/>
      <c r="BP204" s="13"/>
      <c r="BQ204" s="13"/>
    </row>
    <row r="205" spans="1:69">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c r="BP205" s="13"/>
      <c r="BQ205" s="13"/>
    </row>
    <row r="206" spans="1:69">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row>
    <row r="207" spans="1:69">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
      <c r="BD207" s="13"/>
      <c r="BE207" s="13"/>
      <c r="BF207" s="13"/>
      <c r="BG207" s="13"/>
      <c r="BH207" s="13"/>
      <c r="BI207" s="13"/>
      <c r="BJ207" s="13"/>
      <c r="BK207" s="13"/>
      <c r="BL207" s="13"/>
      <c r="BM207" s="13"/>
      <c r="BN207" s="13"/>
      <c r="BO207" s="13"/>
      <c r="BP207" s="13"/>
      <c r="BQ207" s="13"/>
    </row>
    <row r="208" spans="1:69">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c r="BO208" s="13"/>
      <c r="BP208" s="13"/>
      <c r="BQ208" s="13"/>
    </row>
    <row r="209" spans="1:69">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13"/>
      <c r="BH209" s="13"/>
      <c r="BI209" s="13"/>
      <c r="BJ209" s="13"/>
      <c r="BK209" s="13"/>
      <c r="BL209" s="13"/>
      <c r="BM209" s="13"/>
      <c r="BN209" s="13"/>
      <c r="BO209" s="13"/>
      <c r="BP209" s="13"/>
      <c r="BQ209" s="13"/>
    </row>
    <row r="210" spans="1:69">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c r="BC210" s="13"/>
      <c r="BD210" s="13"/>
      <c r="BE210" s="13"/>
      <c r="BF210" s="13"/>
      <c r="BG210" s="13"/>
      <c r="BH210" s="13"/>
      <c r="BI210" s="13"/>
      <c r="BJ210" s="13"/>
      <c r="BK210" s="13"/>
      <c r="BL210" s="13"/>
      <c r="BM210" s="13"/>
      <c r="BN210" s="13"/>
      <c r="BO210" s="13"/>
      <c r="BP210" s="13"/>
      <c r="BQ210" s="13"/>
    </row>
    <row r="211" spans="1:69">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c r="BC211" s="13"/>
      <c r="BD211" s="13"/>
      <c r="BE211" s="13"/>
      <c r="BF211" s="13"/>
      <c r="BG211" s="13"/>
      <c r="BH211" s="13"/>
      <c r="BI211" s="13"/>
      <c r="BJ211" s="13"/>
      <c r="BK211" s="13"/>
      <c r="BL211" s="13"/>
      <c r="BM211" s="13"/>
      <c r="BN211" s="13"/>
      <c r="BO211" s="13"/>
      <c r="BP211" s="13"/>
      <c r="BQ211" s="13"/>
    </row>
    <row r="212" spans="1:69">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c r="BM212" s="13"/>
      <c r="BN212" s="13"/>
      <c r="BO212" s="13"/>
      <c r="BP212" s="13"/>
      <c r="BQ212" s="13"/>
    </row>
    <row r="213" spans="1:69">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c r="BB213" s="13"/>
      <c r="BC213" s="13"/>
      <c r="BD213" s="13"/>
      <c r="BE213" s="13"/>
      <c r="BF213" s="13"/>
      <c r="BG213" s="13"/>
      <c r="BH213" s="13"/>
      <c r="BI213" s="13"/>
      <c r="BJ213" s="13"/>
      <c r="BK213" s="13"/>
      <c r="BL213" s="13"/>
      <c r="BM213" s="13"/>
      <c r="BN213" s="13"/>
      <c r="BO213" s="13"/>
      <c r="BP213" s="13"/>
      <c r="BQ213" s="13"/>
    </row>
    <row r="214" spans="1:69">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c r="BE214" s="13"/>
      <c r="BF214" s="13"/>
      <c r="BG214" s="13"/>
      <c r="BH214" s="13"/>
      <c r="BI214" s="13"/>
      <c r="BJ214" s="13"/>
      <c r="BK214" s="13"/>
      <c r="BL214" s="13"/>
      <c r="BM214" s="13"/>
      <c r="BN214" s="13"/>
      <c r="BO214" s="13"/>
      <c r="BP214" s="13"/>
      <c r="BQ214" s="13"/>
    </row>
    <row r="215" spans="1:69">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13"/>
      <c r="BK215" s="13"/>
      <c r="BL215" s="13"/>
      <c r="BM215" s="13"/>
      <c r="BN215" s="13"/>
      <c r="BO215" s="13"/>
      <c r="BP215" s="13"/>
      <c r="BQ215" s="13"/>
    </row>
    <row r="216" spans="1:69">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c r="BE216" s="13"/>
      <c r="BF216" s="13"/>
      <c r="BG216" s="13"/>
      <c r="BH216" s="13"/>
      <c r="BI216" s="13"/>
      <c r="BJ216" s="13"/>
      <c r="BK216" s="13"/>
      <c r="BL216" s="13"/>
      <c r="BM216" s="13"/>
      <c r="BN216" s="13"/>
      <c r="BO216" s="13"/>
      <c r="BP216" s="13"/>
      <c r="BQ216" s="13"/>
    </row>
    <row r="217" spans="1:69">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c r="BC217" s="13"/>
      <c r="BD217" s="13"/>
      <c r="BE217" s="13"/>
      <c r="BF217" s="13"/>
      <c r="BG217" s="13"/>
      <c r="BH217" s="13"/>
      <c r="BI217" s="13"/>
      <c r="BJ217" s="13"/>
      <c r="BK217" s="13"/>
      <c r="BL217" s="13"/>
      <c r="BM217" s="13"/>
      <c r="BN217" s="13"/>
      <c r="BO217" s="13"/>
      <c r="BP217" s="13"/>
      <c r="BQ217" s="13"/>
    </row>
    <row r="218" spans="1:69">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c r="BQ218" s="13"/>
    </row>
    <row r="219" spans="1:69">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c r="BC219" s="13"/>
      <c r="BD219" s="13"/>
      <c r="BE219" s="13"/>
      <c r="BF219" s="13"/>
      <c r="BG219" s="13"/>
      <c r="BH219" s="13"/>
      <c r="BI219" s="13"/>
      <c r="BJ219" s="13"/>
      <c r="BK219" s="13"/>
      <c r="BL219" s="13"/>
      <c r="BM219" s="13"/>
      <c r="BN219" s="13"/>
      <c r="BO219" s="13"/>
      <c r="BP219" s="13"/>
      <c r="BQ219" s="13"/>
    </row>
    <row r="220" spans="1:69">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c r="BC220" s="13"/>
      <c r="BD220" s="13"/>
      <c r="BE220" s="13"/>
      <c r="BF220" s="13"/>
      <c r="BG220" s="13"/>
      <c r="BH220" s="13"/>
      <c r="BI220" s="13"/>
      <c r="BJ220" s="13"/>
      <c r="BK220" s="13"/>
      <c r="BL220" s="13"/>
      <c r="BM220" s="13"/>
      <c r="BN220" s="13"/>
      <c r="BO220" s="13"/>
      <c r="BP220" s="13"/>
      <c r="BQ220" s="13"/>
    </row>
    <row r="221" spans="1:69">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c r="BC221" s="13"/>
      <c r="BD221" s="13"/>
      <c r="BE221" s="13"/>
      <c r="BF221" s="13"/>
      <c r="BG221" s="13"/>
      <c r="BH221" s="13"/>
      <c r="BI221" s="13"/>
      <c r="BJ221" s="13"/>
      <c r="BK221" s="13"/>
      <c r="BL221" s="13"/>
      <c r="BM221" s="13"/>
      <c r="BN221" s="13"/>
      <c r="BO221" s="13"/>
      <c r="BP221" s="13"/>
      <c r="BQ221" s="13"/>
    </row>
    <row r="222" spans="1:69">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c r="BQ222" s="13"/>
    </row>
    <row r="223" spans="1:69">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c r="BA223" s="13"/>
      <c r="BB223" s="13"/>
      <c r="BC223" s="13"/>
      <c r="BD223" s="13"/>
      <c r="BE223" s="13"/>
      <c r="BF223" s="13"/>
      <c r="BG223" s="13"/>
      <c r="BH223" s="13"/>
      <c r="BI223" s="13"/>
      <c r="BJ223" s="13"/>
      <c r="BK223" s="13"/>
      <c r="BL223" s="13"/>
      <c r="BM223" s="13"/>
      <c r="BN223" s="13"/>
      <c r="BO223" s="13"/>
      <c r="BP223" s="13"/>
      <c r="BQ223" s="13"/>
    </row>
    <row r="224" spans="1:69">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c r="BC224" s="13"/>
      <c r="BD224" s="13"/>
      <c r="BE224" s="13"/>
      <c r="BF224" s="13"/>
      <c r="BG224" s="13"/>
      <c r="BH224" s="13"/>
      <c r="BI224" s="13"/>
      <c r="BJ224" s="13"/>
      <c r="BK224" s="13"/>
      <c r="BL224" s="13"/>
      <c r="BM224" s="13"/>
      <c r="BN224" s="13"/>
      <c r="BO224" s="13"/>
      <c r="BP224" s="13"/>
      <c r="BQ224" s="13"/>
    </row>
    <row r="225" spans="1:69">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13"/>
      <c r="AZ225" s="13"/>
      <c r="BA225" s="13"/>
      <c r="BB225" s="13"/>
      <c r="BC225" s="13"/>
      <c r="BD225" s="13"/>
      <c r="BE225" s="13"/>
      <c r="BF225" s="13"/>
      <c r="BG225" s="13"/>
      <c r="BH225" s="13"/>
      <c r="BI225" s="13"/>
      <c r="BJ225" s="13"/>
      <c r="BK225" s="13"/>
      <c r="BL225" s="13"/>
      <c r="BM225" s="13"/>
      <c r="BN225" s="13"/>
      <c r="BO225" s="13"/>
      <c r="BP225" s="13"/>
      <c r="BQ225" s="13"/>
    </row>
    <row r="226" spans="1:69">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c r="BE226" s="13"/>
      <c r="BF226" s="13"/>
      <c r="BG226" s="13"/>
      <c r="BH226" s="13"/>
      <c r="BI226" s="13"/>
      <c r="BJ226" s="13"/>
      <c r="BK226" s="13"/>
      <c r="BL226" s="13"/>
      <c r="BM226" s="13"/>
      <c r="BN226" s="13"/>
      <c r="BO226" s="13"/>
      <c r="BP226" s="13"/>
      <c r="BQ226" s="13"/>
    </row>
    <row r="227" spans="1:69">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c r="AZ227" s="13"/>
      <c r="BA227" s="13"/>
      <c r="BB227" s="13"/>
      <c r="BC227" s="13"/>
      <c r="BD227" s="13"/>
      <c r="BE227" s="13"/>
      <c r="BF227" s="13"/>
      <c r="BG227" s="13"/>
      <c r="BH227" s="13"/>
      <c r="BI227" s="13"/>
      <c r="BJ227" s="13"/>
      <c r="BK227" s="13"/>
      <c r="BL227" s="13"/>
      <c r="BM227" s="13"/>
      <c r="BN227" s="13"/>
      <c r="BO227" s="13"/>
      <c r="BP227" s="13"/>
      <c r="BQ227" s="13"/>
    </row>
    <row r="228" spans="1:69">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c r="BQ228" s="13"/>
    </row>
    <row r="229" spans="1:69">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c r="BA229" s="13"/>
      <c r="BB229" s="13"/>
      <c r="BC229" s="13"/>
      <c r="BD229" s="13"/>
      <c r="BE229" s="13"/>
      <c r="BF229" s="13"/>
      <c r="BG229" s="13"/>
      <c r="BH229" s="13"/>
      <c r="BI229" s="13"/>
      <c r="BJ229" s="13"/>
      <c r="BK229" s="13"/>
      <c r="BL229" s="13"/>
      <c r="BM229" s="13"/>
      <c r="BN229" s="13"/>
      <c r="BO229" s="13"/>
      <c r="BP229" s="13"/>
      <c r="BQ229" s="13"/>
    </row>
    <row r="230" spans="1:69">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c r="BD230" s="13"/>
      <c r="BE230" s="13"/>
      <c r="BF230" s="13"/>
      <c r="BG230" s="13"/>
      <c r="BH230" s="13"/>
      <c r="BI230" s="13"/>
      <c r="BJ230" s="13"/>
      <c r="BK230" s="13"/>
      <c r="BL230" s="13"/>
      <c r="BM230" s="13"/>
      <c r="BN230" s="13"/>
      <c r="BO230" s="13"/>
      <c r="BP230" s="13"/>
      <c r="BQ230" s="13"/>
    </row>
    <row r="231" spans="1:69">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c r="BC231" s="13"/>
      <c r="BD231" s="13"/>
      <c r="BE231" s="13"/>
      <c r="BF231" s="13"/>
      <c r="BG231" s="13"/>
      <c r="BH231" s="13"/>
      <c r="BI231" s="13"/>
      <c r="BJ231" s="13"/>
      <c r="BK231" s="13"/>
      <c r="BL231" s="13"/>
      <c r="BM231" s="13"/>
      <c r="BN231" s="13"/>
      <c r="BO231" s="13"/>
      <c r="BP231" s="13"/>
      <c r="BQ231" s="13"/>
    </row>
    <row r="232" spans="1:69">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c r="BC232" s="13"/>
      <c r="BD232" s="13"/>
      <c r="BE232" s="13"/>
      <c r="BF232" s="13"/>
      <c r="BG232" s="13"/>
      <c r="BH232" s="13"/>
      <c r="BI232" s="13"/>
      <c r="BJ232" s="13"/>
      <c r="BK232" s="13"/>
      <c r="BL232" s="13"/>
      <c r="BM232" s="13"/>
      <c r="BN232" s="13"/>
      <c r="BO232" s="13"/>
      <c r="BP232" s="13"/>
      <c r="BQ232" s="13"/>
    </row>
    <row r="233" spans="1:69">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c r="BC233" s="13"/>
      <c r="BD233" s="13"/>
      <c r="BE233" s="13"/>
      <c r="BF233" s="13"/>
      <c r="BG233" s="13"/>
      <c r="BH233" s="13"/>
      <c r="BI233" s="13"/>
      <c r="BJ233" s="13"/>
      <c r="BK233" s="13"/>
      <c r="BL233" s="13"/>
      <c r="BM233" s="13"/>
      <c r="BN233" s="13"/>
      <c r="BO233" s="13"/>
      <c r="BP233" s="13"/>
      <c r="BQ233" s="13"/>
    </row>
    <row r="234" spans="1:69">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3"/>
      <c r="BB234" s="13"/>
      <c r="BC234" s="13"/>
      <c r="BD234" s="13"/>
      <c r="BE234" s="13"/>
      <c r="BF234" s="13"/>
      <c r="BG234" s="13"/>
      <c r="BH234" s="13"/>
      <c r="BI234" s="13"/>
      <c r="BJ234" s="13"/>
      <c r="BK234" s="13"/>
      <c r="BL234" s="13"/>
      <c r="BM234" s="13"/>
      <c r="BN234" s="13"/>
      <c r="BO234" s="13"/>
      <c r="BP234" s="13"/>
      <c r="BQ234" s="13"/>
    </row>
    <row r="235" spans="1:69">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c r="BC235" s="13"/>
      <c r="BD235" s="13"/>
      <c r="BE235" s="13"/>
      <c r="BF235" s="13"/>
      <c r="BG235" s="13"/>
      <c r="BH235" s="13"/>
      <c r="BI235" s="13"/>
      <c r="BJ235" s="13"/>
      <c r="BK235" s="13"/>
      <c r="BL235" s="13"/>
      <c r="BM235" s="13"/>
      <c r="BN235" s="13"/>
      <c r="BO235" s="13"/>
      <c r="BP235" s="13"/>
      <c r="BQ235" s="13"/>
    </row>
    <row r="236" spans="1:69">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c r="BQ236" s="13"/>
    </row>
    <row r="237" spans="1:69">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row>
    <row r="238" spans="1:69">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c r="BD238" s="13"/>
      <c r="BE238" s="13"/>
      <c r="BF238" s="13"/>
      <c r="BG238" s="13"/>
      <c r="BH238" s="13"/>
      <c r="BI238" s="13"/>
      <c r="BJ238" s="13"/>
      <c r="BK238" s="13"/>
      <c r="BL238" s="13"/>
      <c r="BM238" s="13"/>
      <c r="BN238" s="13"/>
      <c r="BO238" s="13"/>
      <c r="BP238" s="13"/>
      <c r="BQ238" s="13"/>
    </row>
    <row r="239" spans="1:69">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3"/>
      <c r="BB239" s="13"/>
      <c r="BC239" s="13"/>
      <c r="BD239" s="13"/>
      <c r="BE239" s="13"/>
      <c r="BF239" s="13"/>
      <c r="BG239" s="13"/>
      <c r="BH239" s="13"/>
      <c r="BI239" s="13"/>
      <c r="BJ239" s="13"/>
      <c r="BK239" s="13"/>
      <c r="BL239" s="13"/>
      <c r="BM239" s="13"/>
      <c r="BN239" s="13"/>
      <c r="BO239" s="13"/>
      <c r="BP239" s="13"/>
      <c r="BQ239" s="13"/>
    </row>
    <row r="240" spans="1:69">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row>
    <row r="241" spans="1:69">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row>
    <row r="242" spans="1:69">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c r="BC242" s="13"/>
      <c r="BD242" s="13"/>
      <c r="BE242" s="13"/>
      <c r="BF242" s="13"/>
      <c r="BG242" s="13"/>
      <c r="BH242" s="13"/>
      <c r="BI242" s="13"/>
      <c r="BJ242" s="13"/>
      <c r="BK242" s="13"/>
      <c r="BL242" s="13"/>
      <c r="BM242" s="13"/>
      <c r="BN242" s="13"/>
      <c r="BO242" s="13"/>
      <c r="BP242" s="13"/>
      <c r="BQ242" s="13"/>
    </row>
    <row r="243" spans="1:69">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
      <c r="BD243" s="13"/>
      <c r="BE243" s="13"/>
      <c r="BF243" s="13"/>
      <c r="BG243" s="13"/>
      <c r="BH243" s="13"/>
      <c r="BI243" s="13"/>
      <c r="BJ243" s="13"/>
      <c r="BK243" s="13"/>
      <c r="BL243" s="13"/>
      <c r="BM243" s="13"/>
      <c r="BN243" s="13"/>
      <c r="BO243" s="13"/>
      <c r="BP243" s="13"/>
      <c r="BQ243" s="13"/>
    </row>
    <row r="244" spans="1:69">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c r="BC244" s="13"/>
      <c r="BD244" s="13"/>
      <c r="BE244" s="13"/>
      <c r="BF244" s="13"/>
      <c r="BG244" s="13"/>
      <c r="BH244" s="13"/>
      <c r="BI244" s="13"/>
      <c r="BJ244" s="13"/>
      <c r="BK244" s="13"/>
      <c r="BL244" s="13"/>
      <c r="BM244" s="13"/>
      <c r="BN244" s="13"/>
      <c r="BO244" s="13"/>
      <c r="BP244" s="13"/>
      <c r="BQ244" s="13"/>
    </row>
    <row r="245" spans="1:69">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c r="BM245" s="13"/>
      <c r="BN245" s="13"/>
      <c r="BO245" s="13"/>
      <c r="BP245" s="13"/>
      <c r="BQ245" s="13"/>
    </row>
    <row r="246" spans="1:69">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row>
    <row r="247" spans="1:69">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c r="AZ247" s="13"/>
      <c r="BA247" s="13"/>
      <c r="BB247" s="13"/>
      <c r="BC247" s="13"/>
      <c r="BD247" s="13"/>
      <c r="BE247" s="13"/>
      <c r="BF247" s="13"/>
      <c r="BG247" s="13"/>
      <c r="BH247" s="13"/>
      <c r="BI247" s="13"/>
      <c r="BJ247" s="13"/>
      <c r="BK247" s="13"/>
      <c r="BL247" s="13"/>
      <c r="BM247" s="13"/>
      <c r="BN247" s="13"/>
      <c r="BO247" s="13"/>
      <c r="BP247" s="13"/>
      <c r="BQ247" s="13"/>
    </row>
    <row r="248" spans="1:69">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c r="BD248" s="13"/>
      <c r="BE248" s="13"/>
      <c r="BF248" s="13"/>
      <c r="BG248" s="13"/>
      <c r="BH248" s="13"/>
      <c r="BI248" s="13"/>
      <c r="BJ248" s="13"/>
      <c r="BK248" s="13"/>
      <c r="BL248" s="13"/>
      <c r="BM248" s="13"/>
      <c r="BN248" s="13"/>
      <c r="BO248" s="13"/>
      <c r="BP248" s="13"/>
      <c r="BQ248" s="13"/>
    </row>
    <row r="249" spans="1:69">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c r="BO249" s="13"/>
      <c r="BP249" s="13"/>
      <c r="BQ249" s="13"/>
    </row>
    <row r="250" spans="1:69">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D250" s="13"/>
      <c r="BE250" s="13"/>
      <c r="BF250" s="13"/>
      <c r="BG250" s="13"/>
      <c r="BH250" s="13"/>
      <c r="BI250" s="13"/>
      <c r="BJ250" s="13"/>
      <c r="BK250" s="13"/>
      <c r="BL250" s="13"/>
      <c r="BM250" s="13"/>
      <c r="BN250" s="13"/>
      <c r="BO250" s="13"/>
      <c r="BP250" s="13"/>
      <c r="BQ250" s="13"/>
    </row>
    <row r="251" spans="1:69">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13"/>
      <c r="AZ251" s="13"/>
      <c r="BA251" s="13"/>
      <c r="BB251" s="13"/>
      <c r="BC251" s="13"/>
      <c r="BD251" s="13"/>
      <c r="BE251" s="13"/>
      <c r="BF251" s="13"/>
      <c r="BG251" s="13"/>
      <c r="BH251" s="13"/>
      <c r="BI251" s="13"/>
      <c r="BJ251" s="13"/>
      <c r="BK251" s="13"/>
      <c r="BL251" s="13"/>
      <c r="BM251" s="13"/>
      <c r="BN251" s="13"/>
      <c r="BO251" s="13"/>
      <c r="BP251" s="13"/>
      <c r="BQ251" s="13"/>
    </row>
    <row r="252" spans="1:69">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c r="AZ252" s="13"/>
      <c r="BA252" s="13"/>
      <c r="BB252" s="13"/>
      <c r="BC252" s="13"/>
      <c r="BD252" s="13"/>
      <c r="BE252" s="13"/>
      <c r="BF252" s="13"/>
      <c r="BG252" s="13"/>
      <c r="BH252" s="13"/>
      <c r="BI252" s="13"/>
      <c r="BJ252" s="13"/>
      <c r="BK252" s="13"/>
      <c r="BL252" s="13"/>
      <c r="BM252" s="13"/>
      <c r="BN252" s="13"/>
      <c r="BO252" s="13"/>
      <c r="BP252" s="13"/>
      <c r="BQ252" s="13"/>
    </row>
    <row r="253" spans="1:69">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c r="AZ253" s="13"/>
      <c r="BA253" s="13"/>
      <c r="BB253" s="13"/>
      <c r="BC253" s="13"/>
      <c r="BD253" s="13"/>
      <c r="BE253" s="13"/>
      <c r="BF253" s="13"/>
      <c r="BG253" s="13"/>
      <c r="BH253" s="13"/>
      <c r="BI253" s="13"/>
      <c r="BJ253" s="13"/>
      <c r="BK253" s="13"/>
      <c r="BL253" s="13"/>
      <c r="BM253" s="13"/>
      <c r="BN253" s="13"/>
      <c r="BO253" s="13"/>
      <c r="BP253" s="13"/>
      <c r="BQ253" s="13"/>
    </row>
    <row r="254" spans="1:69">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c r="BE254" s="13"/>
      <c r="BF254" s="13"/>
      <c r="BG254" s="13"/>
      <c r="BH254" s="13"/>
      <c r="BI254" s="13"/>
      <c r="BJ254" s="13"/>
      <c r="BK254" s="13"/>
      <c r="BL254" s="13"/>
      <c r="BM254" s="13"/>
      <c r="BN254" s="13"/>
      <c r="BO254" s="13"/>
      <c r="BP254" s="13"/>
      <c r="BQ254" s="13"/>
    </row>
    <row r="255" spans="1:69">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c r="BD255" s="13"/>
      <c r="BE255" s="13"/>
      <c r="BF255" s="13"/>
      <c r="BG255" s="13"/>
      <c r="BH255" s="13"/>
      <c r="BI255" s="13"/>
      <c r="BJ255" s="13"/>
      <c r="BK255" s="13"/>
      <c r="BL255" s="13"/>
      <c r="BM255" s="13"/>
      <c r="BN255" s="13"/>
      <c r="BO255" s="13"/>
      <c r="BP255" s="13"/>
      <c r="BQ255" s="13"/>
    </row>
    <row r="256" spans="1:69">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c r="BM256" s="13"/>
      <c r="BN256" s="13"/>
      <c r="BO256" s="13"/>
      <c r="BP256" s="13"/>
      <c r="BQ256" s="13"/>
    </row>
    <row r="257" spans="1:69">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13"/>
      <c r="AZ257" s="13"/>
      <c r="BA257" s="13"/>
      <c r="BB257" s="13"/>
      <c r="BC257" s="13"/>
      <c r="BD257" s="13"/>
      <c r="BE257" s="13"/>
      <c r="BF257" s="13"/>
      <c r="BG257" s="13"/>
      <c r="BH257" s="13"/>
      <c r="BI257" s="13"/>
      <c r="BJ257" s="13"/>
      <c r="BK257" s="13"/>
      <c r="BL257" s="13"/>
      <c r="BM257" s="13"/>
      <c r="BN257" s="13"/>
      <c r="BO257" s="13"/>
      <c r="BP257" s="13"/>
      <c r="BQ257" s="13"/>
    </row>
    <row r="258" spans="1:69">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c r="AZ258" s="13"/>
      <c r="BA258" s="13"/>
      <c r="BB258" s="13"/>
      <c r="BC258" s="13"/>
      <c r="BD258" s="13"/>
      <c r="BE258" s="13"/>
      <c r="BF258" s="13"/>
      <c r="BG258" s="13"/>
      <c r="BH258" s="13"/>
      <c r="BI258" s="13"/>
      <c r="BJ258" s="13"/>
      <c r="BK258" s="13"/>
      <c r="BL258" s="13"/>
      <c r="BM258" s="13"/>
      <c r="BN258" s="13"/>
      <c r="BO258" s="13"/>
      <c r="BP258" s="13"/>
      <c r="BQ258" s="13"/>
    </row>
    <row r="259" spans="1:69">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c r="AX259" s="13"/>
      <c r="AY259" s="13"/>
      <c r="AZ259" s="13"/>
      <c r="BA259" s="13"/>
      <c r="BB259" s="13"/>
      <c r="BC259" s="13"/>
      <c r="BD259" s="13"/>
      <c r="BE259" s="13"/>
      <c r="BF259" s="13"/>
      <c r="BG259" s="13"/>
      <c r="BH259" s="13"/>
      <c r="BI259" s="13"/>
      <c r="BJ259" s="13"/>
      <c r="BK259" s="13"/>
      <c r="BL259" s="13"/>
      <c r="BM259" s="13"/>
      <c r="BN259" s="13"/>
      <c r="BO259" s="13"/>
      <c r="BP259" s="13"/>
      <c r="BQ259" s="13"/>
    </row>
    <row r="260" spans="1:69">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c r="AV260" s="13"/>
      <c r="AW260" s="13"/>
      <c r="AX260" s="13"/>
      <c r="AY260" s="13"/>
      <c r="AZ260" s="13"/>
      <c r="BA260" s="13"/>
      <c r="BB260" s="13"/>
      <c r="BC260" s="13"/>
      <c r="BD260" s="13"/>
      <c r="BE260" s="13"/>
      <c r="BF260" s="13"/>
      <c r="BG260" s="13"/>
      <c r="BH260" s="13"/>
      <c r="BI260" s="13"/>
      <c r="BJ260" s="13"/>
      <c r="BK260" s="13"/>
      <c r="BL260" s="13"/>
      <c r="BM260" s="13"/>
      <c r="BN260" s="13"/>
      <c r="BO260" s="13"/>
      <c r="BP260" s="13"/>
      <c r="BQ260" s="13"/>
    </row>
    <row r="261" spans="1:69">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c r="AU261" s="13"/>
      <c r="AV261" s="13"/>
      <c r="AW261" s="13"/>
      <c r="AX261" s="13"/>
      <c r="AY261" s="13"/>
      <c r="AZ261" s="13"/>
      <c r="BA261" s="13"/>
      <c r="BB261" s="13"/>
      <c r="BC261" s="13"/>
      <c r="BD261" s="13"/>
      <c r="BE261" s="13"/>
      <c r="BF261" s="13"/>
      <c r="BG261" s="13"/>
      <c r="BH261" s="13"/>
      <c r="BI261" s="13"/>
      <c r="BJ261" s="13"/>
      <c r="BK261" s="13"/>
      <c r="BL261" s="13"/>
      <c r="BM261" s="13"/>
      <c r="BN261" s="13"/>
      <c r="BO261" s="13"/>
      <c r="BP261" s="13"/>
      <c r="BQ261" s="13"/>
    </row>
    <row r="262" spans="1:69">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c r="AX262" s="13"/>
      <c r="AY262" s="13"/>
      <c r="AZ262" s="13"/>
      <c r="BA262" s="13"/>
      <c r="BB262" s="13"/>
      <c r="BC262" s="13"/>
      <c r="BD262" s="13"/>
      <c r="BE262" s="13"/>
      <c r="BF262" s="13"/>
      <c r="BG262" s="13"/>
      <c r="BH262" s="13"/>
      <c r="BI262" s="13"/>
      <c r="BJ262" s="13"/>
      <c r="BK262" s="13"/>
      <c r="BL262" s="13"/>
      <c r="BM262" s="13"/>
      <c r="BN262" s="13"/>
      <c r="BO262" s="13"/>
      <c r="BP262" s="13"/>
      <c r="BQ262" s="13"/>
    </row>
    <row r="263" spans="1:69">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c r="AU263" s="13"/>
      <c r="AV263" s="13"/>
      <c r="AW263" s="13"/>
      <c r="AX263" s="13"/>
      <c r="AY263" s="13"/>
      <c r="AZ263" s="13"/>
      <c r="BA263" s="13"/>
      <c r="BB263" s="13"/>
      <c r="BC263" s="13"/>
      <c r="BD263" s="13"/>
      <c r="BE263" s="13"/>
      <c r="BF263" s="13"/>
      <c r="BG263" s="13"/>
      <c r="BH263" s="13"/>
      <c r="BI263" s="13"/>
      <c r="BJ263" s="13"/>
      <c r="BK263" s="13"/>
      <c r="BL263" s="13"/>
      <c r="BM263" s="13"/>
      <c r="BN263" s="13"/>
      <c r="BO263" s="13"/>
      <c r="BP263" s="13"/>
      <c r="BQ263" s="13"/>
    </row>
    <row r="264" spans="1:69">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c r="AX264" s="13"/>
      <c r="AY264" s="13"/>
      <c r="AZ264" s="13"/>
      <c r="BA264" s="13"/>
      <c r="BB264" s="13"/>
      <c r="BC264" s="13"/>
      <c r="BD264" s="13"/>
      <c r="BE264" s="13"/>
      <c r="BF264" s="13"/>
      <c r="BG264" s="13"/>
      <c r="BH264" s="13"/>
      <c r="BI264" s="13"/>
      <c r="BJ264" s="13"/>
      <c r="BK264" s="13"/>
      <c r="BL264" s="13"/>
      <c r="BM264" s="13"/>
      <c r="BN264" s="13"/>
      <c r="BO264" s="13"/>
      <c r="BP264" s="13"/>
      <c r="BQ264" s="13"/>
    </row>
    <row r="265" spans="1:69">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3"/>
      <c r="AY265" s="13"/>
      <c r="AZ265" s="13"/>
      <c r="BA265" s="13"/>
      <c r="BB265" s="13"/>
      <c r="BC265" s="13"/>
      <c r="BD265" s="13"/>
      <c r="BE265" s="13"/>
      <c r="BF265" s="13"/>
      <c r="BG265" s="13"/>
      <c r="BH265" s="13"/>
      <c r="BI265" s="13"/>
      <c r="BJ265" s="13"/>
      <c r="BK265" s="13"/>
      <c r="BL265" s="13"/>
      <c r="BM265" s="13"/>
      <c r="BN265" s="13"/>
      <c r="BO265" s="13"/>
      <c r="BP265" s="13"/>
      <c r="BQ265" s="13"/>
    </row>
    <row r="266" spans="1:69">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c r="BE266" s="13"/>
      <c r="BF266" s="13"/>
      <c r="BG266" s="13"/>
      <c r="BH266" s="13"/>
      <c r="BI266" s="13"/>
      <c r="BJ266" s="13"/>
      <c r="BK266" s="13"/>
      <c r="BL266" s="13"/>
      <c r="BM266" s="13"/>
      <c r="BN266" s="13"/>
      <c r="BO266" s="13"/>
      <c r="BP266" s="13"/>
      <c r="BQ266" s="13"/>
    </row>
    <row r="267" spans="1:69">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13"/>
      <c r="AZ267" s="13"/>
      <c r="BA267" s="13"/>
      <c r="BB267" s="13"/>
      <c r="BC267" s="13"/>
      <c r="BD267" s="13"/>
      <c r="BE267" s="13"/>
      <c r="BF267" s="13"/>
      <c r="BG267" s="13"/>
      <c r="BH267" s="13"/>
      <c r="BI267" s="13"/>
      <c r="BJ267" s="13"/>
      <c r="BK267" s="13"/>
      <c r="BL267" s="13"/>
      <c r="BM267" s="13"/>
      <c r="BN267" s="13"/>
      <c r="BO267" s="13"/>
      <c r="BP267" s="13"/>
      <c r="BQ267" s="13"/>
    </row>
    <row r="268" spans="1:69">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c r="BC268" s="13"/>
      <c r="BD268" s="13"/>
      <c r="BE268" s="13"/>
      <c r="BF268" s="13"/>
      <c r="BG268" s="13"/>
      <c r="BH268" s="13"/>
      <c r="BI268" s="13"/>
      <c r="BJ268" s="13"/>
      <c r="BK268" s="13"/>
      <c r="BL268" s="13"/>
      <c r="BM268" s="13"/>
      <c r="BN268" s="13"/>
      <c r="BO268" s="13"/>
      <c r="BP268" s="13"/>
      <c r="BQ268" s="13"/>
    </row>
    <row r="269" spans="1:69">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c r="AZ269" s="13"/>
      <c r="BA269" s="13"/>
      <c r="BB269" s="13"/>
      <c r="BC269" s="13"/>
      <c r="BD269" s="13"/>
      <c r="BE269" s="13"/>
      <c r="BF269" s="13"/>
      <c r="BG269" s="13"/>
      <c r="BH269" s="13"/>
      <c r="BI269" s="13"/>
      <c r="BJ269" s="13"/>
      <c r="BK269" s="13"/>
      <c r="BL269" s="13"/>
      <c r="BM269" s="13"/>
      <c r="BN269" s="13"/>
      <c r="BO269" s="13"/>
      <c r="BP269" s="13"/>
      <c r="BQ269" s="13"/>
    </row>
    <row r="270" spans="1:69">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c r="BC270" s="13"/>
      <c r="BD270" s="13"/>
      <c r="BE270" s="13"/>
      <c r="BF270" s="13"/>
      <c r="BG270" s="13"/>
      <c r="BH270" s="13"/>
      <c r="BI270" s="13"/>
      <c r="BJ270" s="13"/>
      <c r="BK270" s="13"/>
      <c r="BL270" s="13"/>
      <c r="BM270" s="13"/>
      <c r="BN270" s="13"/>
      <c r="BO270" s="13"/>
      <c r="BP270" s="13"/>
      <c r="BQ270" s="13"/>
    </row>
    <row r="271" spans="1:69">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c r="AW271" s="13"/>
      <c r="AX271" s="13"/>
      <c r="AY271" s="13"/>
      <c r="AZ271" s="13"/>
      <c r="BA271" s="13"/>
      <c r="BB271" s="13"/>
      <c r="BC271" s="13"/>
      <c r="BD271" s="13"/>
      <c r="BE271" s="13"/>
      <c r="BF271" s="13"/>
      <c r="BG271" s="13"/>
      <c r="BH271" s="13"/>
      <c r="BI271" s="13"/>
      <c r="BJ271" s="13"/>
      <c r="BK271" s="13"/>
      <c r="BL271" s="13"/>
      <c r="BM271" s="13"/>
      <c r="BN271" s="13"/>
      <c r="BO271" s="13"/>
      <c r="BP271" s="13"/>
      <c r="BQ271" s="13"/>
    </row>
    <row r="272" spans="1:69">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c r="AZ272" s="13"/>
      <c r="BA272" s="13"/>
      <c r="BB272" s="13"/>
      <c r="BC272" s="13"/>
      <c r="BD272" s="13"/>
      <c r="BE272" s="13"/>
      <c r="BF272" s="13"/>
      <c r="BG272" s="13"/>
      <c r="BH272" s="13"/>
      <c r="BI272" s="13"/>
      <c r="BJ272" s="13"/>
      <c r="BK272" s="13"/>
      <c r="BL272" s="13"/>
      <c r="BM272" s="13"/>
      <c r="BN272" s="13"/>
      <c r="BO272" s="13"/>
      <c r="BP272" s="13"/>
      <c r="BQ272" s="13"/>
    </row>
    <row r="273" spans="1:69">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c r="AW273" s="13"/>
      <c r="AX273" s="13"/>
      <c r="AY273" s="13"/>
      <c r="AZ273" s="13"/>
      <c r="BA273" s="13"/>
      <c r="BB273" s="13"/>
      <c r="BC273" s="13"/>
      <c r="BD273" s="13"/>
      <c r="BE273" s="13"/>
      <c r="BF273" s="13"/>
      <c r="BG273" s="13"/>
      <c r="BH273" s="13"/>
      <c r="BI273" s="13"/>
      <c r="BJ273" s="13"/>
      <c r="BK273" s="13"/>
      <c r="BL273" s="13"/>
      <c r="BM273" s="13"/>
      <c r="BN273" s="13"/>
      <c r="BO273" s="13"/>
      <c r="BP273" s="13"/>
      <c r="BQ273" s="13"/>
    </row>
    <row r="274" spans="1:69">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13"/>
      <c r="AZ274" s="13"/>
      <c r="BA274" s="13"/>
      <c r="BB274" s="13"/>
      <c r="BC274" s="13"/>
      <c r="BD274" s="13"/>
      <c r="BE274" s="13"/>
      <c r="BF274" s="13"/>
      <c r="BG274" s="13"/>
      <c r="BH274" s="13"/>
      <c r="BI274" s="13"/>
      <c r="BJ274" s="13"/>
      <c r="BK274" s="13"/>
      <c r="BL274" s="13"/>
      <c r="BM274" s="13"/>
      <c r="BN274" s="13"/>
      <c r="BO274" s="13"/>
      <c r="BP274" s="13"/>
      <c r="BQ274" s="13"/>
    </row>
    <row r="275" spans="1:69">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c r="AZ275" s="13"/>
      <c r="BA275" s="13"/>
      <c r="BB275" s="13"/>
      <c r="BC275" s="13"/>
      <c r="BD275" s="13"/>
      <c r="BE275" s="13"/>
      <c r="BF275" s="13"/>
      <c r="BG275" s="13"/>
      <c r="BH275" s="13"/>
      <c r="BI275" s="13"/>
      <c r="BJ275" s="13"/>
      <c r="BK275" s="13"/>
      <c r="BL275" s="13"/>
      <c r="BM275" s="13"/>
      <c r="BN275" s="13"/>
      <c r="BO275" s="13"/>
      <c r="BP275" s="13"/>
      <c r="BQ275" s="13"/>
    </row>
    <row r="276" spans="1:69">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D276" s="13"/>
      <c r="BE276" s="13"/>
      <c r="BF276" s="13"/>
      <c r="BG276" s="13"/>
      <c r="BH276" s="13"/>
      <c r="BI276" s="13"/>
      <c r="BJ276" s="13"/>
      <c r="BK276" s="13"/>
      <c r="BL276" s="13"/>
      <c r="BM276" s="13"/>
      <c r="BN276" s="13"/>
      <c r="BO276" s="13"/>
      <c r="BP276" s="13"/>
      <c r="BQ276" s="13"/>
    </row>
    <row r="277" spans="1:69">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c r="AW277" s="13"/>
      <c r="AX277" s="13"/>
      <c r="AY277" s="13"/>
      <c r="AZ277" s="13"/>
      <c r="BA277" s="13"/>
      <c r="BB277" s="13"/>
      <c r="BC277" s="13"/>
      <c r="BD277" s="13"/>
      <c r="BE277" s="13"/>
      <c r="BF277" s="13"/>
      <c r="BG277" s="13"/>
      <c r="BH277" s="13"/>
      <c r="BI277" s="13"/>
      <c r="BJ277" s="13"/>
      <c r="BK277" s="13"/>
      <c r="BL277" s="13"/>
      <c r="BM277" s="13"/>
      <c r="BN277" s="13"/>
      <c r="BO277" s="13"/>
      <c r="BP277" s="13"/>
      <c r="BQ277" s="13"/>
    </row>
    <row r="278" spans="1:69">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c r="AX278" s="13"/>
      <c r="AY278" s="13"/>
      <c r="AZ278" s="13"/>
      <c r="BA278" s="13"/>
      <c r="BB278" s="13"/>
      <c r="BC278" s="13"/>
      <c r="BD278" s="13"/>
      <c r="BE278" s="13"/>
      <c r="BF278" s="13"/>
      <c r="BG278" s="13"/>
      <c r="BH278" s="13"/>
      <c r="BI278" s="13"/>
      <c r="BJ278" s="13"/>
      <c r="BK278" s="13"/>
      <c r="BL278" s="13"/>
      <c r="BM278" s="13"/>
      <c r="BN278" s="13"/>
      <c r="BO278" s="13"/>
      <c r="BP278" s="13"/>
      <c r="BQ278" s="13"/>
    </row>
    <row r="279" spans="1:69">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c r="AS279" s="13"/>
      <c r="AT279" s="13"/>
      <c r="AU279" s="13"/>
      <c r="AV279" s="13"/>
      <c r="AW279" s="13"/>
      <c r="AX279" s="13"/>
      <c r="AY279" s="13"/>
      <c r="AZ279" s="13"/>
      <c r="BA279" s="13"/>
      <c r="BB279" s="13"/>
      <c r="BC279" s="13"/>
      <c r="BD279" s="13"/>
      <c r="BE279" s="13"/>
      <c r="BF279" s="13"/>
      <c r="BG279" s="13"/>
      <c r="BH279" s="13"/>
      <c r="BI279" s="13"/>
      <c r="BJ279" s="13"/>
      <c r="BK279" s="13"/>
      <c r="BL279" s="13"/>
      <c r="BM279" s="13"/>
      <c r="BN279" s="13"/>
      <c r="BO279" s="13"/>
      <c r="BP279" s="13"/>
      <c r="BQ279" s="13"/>
    </row>
    <row r="280" spans="1:69">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c r="AX280" s="13"/>
      <c r="AY280" s="13"/>
      <c r="AZ280" s="13"/>
      <c r="BA280" s="13"/>
      <c r="BB280" s="13"/>
      <c r="BC280" s="13"/>
      <c r="BD280" s="13"/>
      <c r="BE280" s="13"/>
      <c r="BF280" s="13"/>
      <c r="BG280" s="13"/>
      <c r="BH280" s="13"/>
      <c r="BI280" s="13"/>
      <c r="BJ280" s="13"/>
      <c r="BK280" s="13"/>
      <c r="BL280" s="13"/>
      <c r="BM280" s="13"/>
      <c r="BN280" s="13"/>
      <c r="BO280" s="13"/>
      <c r="BP280" s="13"/>
      <c r="BQ280" s="13"/>
    </row>
    <row r="281" spans="1:69">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c r="AX281" s="13"/>
      <c r="AY281" s="13"/>
      <c r="AZ281" s="13"/>
      <c r="BA281" s="13"/>
      <c r="BB281" s="13"/>
      <c r="BC281" s="13"/>
      <c r="BD281" s="13"/>
      <c r="BE281" s="13"/>
      <c r="BF281" s="13"/>
      <c r="BG281" s="13"/>
      <c r="BH281" s="13"/>
      <c r="BI281" s="13"/>
      <c r="BJ281" s="13"/>
      <c r="BK281" s="13"/>
      <c r="BL281" s="13"/>
      <c r="BM281" s="13"/>
      <c r="BN281" s="13"/>
      <c r="BO281" s="13"/>
      <c r="BP281" s="13"/>
      <c r="BQ281" s="13"/>
    </row>
    <row r="282" spans="1:69">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c r="AX282" s="13"/>
      <c r="AY282" s="13"/>
      <c r="AZ282" s="13"/>
      <c r="BA282" s="13"/>
      <c r="BB282" s="13"/>
      <c r="BC282" s="13"/>
      <c r="BD282" s="13"/>
      <c r="BE282" s="13"/>
      <c r="BF282" s="13"/>
      <c r="BG282" s="13"/>
      <c r="BH282" s="13"/>
      <c r="BI282" s="13"/>
      <c r="BJ282" s="13"/>
      <c r="BK282" s="13"/>
      <c r="BL282" s="13"/>
      <c r="BM282" s="13"/>
      <c r="BN282" s="13"/>
      <c r="BO282" s="13"/>
      <c r="BP282" s="13"/>
      <c r="BQ282" s="13"/>
    </row>
    <row r="283" spans="1:69">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3"/>
      <c r="BE283" s="13"/>
      <c r="BF283" s="13"/>
      <c r="BG283" s="13"/>
      <c r="BH283" s="13"/>
      <c r="BI283" s="13"/>
      <c r="BJ283" s="13"/>
      <c r="BK283" s="13"/>
      <c r="BL283" s="13"/>
      <c r="BM283" s="13"/>
      <c r="BN283" s="13"/>
      <c r="BO283" s="13"/>
      <c r="BP283" s="13"/>
      <c r="BQ283" s="13"/>
    </row>
    <row r="284" spans="1:69">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3"/>
      <c r="BE284" s="13"/>
      <c r="BF284" s="13"/>
      <c r="BG284" s="13"/>
      <c r="BH284" s="13"/>
      <c r="BI284" s="13"/>
      <c r="BJ284" s="13"/>
      <c r="BK284" s="13"/>
      <c r="BL284" s="13"/>
      <c r="BM284" s="13"/>
      <c r="BN284" s="13"/>
      <c r="BO284" s="13"/>
      <c r="BP284" s="13"/>
      <c r="BQ284" s="13"/>
    </row>
    <row r="285" spans="1:69">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13"/>
      <c r="AZ285" s="13"/>
      <c r="BA285" s="13"/>
      <c r="BB285" s="13"/>
      <c r="BC285" s="13"/>
      <c r="BD285" s="13"/>
      <c r="BE285" s="13"/>
      <c r="BF285" s="13"/>
      <c r="BG285" s="13"/>
      <c r="BH285" s="13"/>
      <c r="BI285" s="13"/>
      <c r="BJ285" s="13"/>
      <c r="BK285" s="13"/>
      <c r="BL285" s="13"/>
      <c r="BM285" s="13"/>
      <c r="BN285" s="13"/>
      <c r="BO285" s="13"/>
      <c r="BP285" s="13"/>
      <c r="BQ285" s="13"/>
    </row>
    <row r="286" spans="1:69">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c r="BQ286" s="13"/>
    </row>
    <row r="287" spans="1:69">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c r="AX287" s="13"/>
      <c r="AY287" s="13"/>
      <c r="AZ287" s="13"/>
      <c r="BA287" s="13"/>
      <c r="BB287" s="13"/>
      <c r="BC287" s="13"/>
      <c r="BD287" s="13"/>
      <c r="BE287" s="13"/>
      <c r="BF287" s="13"/>
      <c r="BG287" s="13"/>
      <c r="BH287" s="13"/>
      <c r="BI287" s="13"/>
      <c r="BJ287" s="13"/>
      <c r="BK287" s="13"/>
      <c r="BL287" s="13"/>
      <c r="BM287" s="13"/>
      <c r="BN287" s="13"/>
      <c r="BO287" s="13"/>
      <c r="BP287" s="13"/>
      <c r="BQ287" s="13"/>
    </row>
    <row r="288" spans="1:69">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c r="AX288" s="13"/>
      <c r="AY288" s="13"/>
      <c r="AZ288" s="13"/>
      <c r="BA288" s="13"/>
      <c r="BB288" s="13"/>
      <c r="BC288" s="13"/>
      <c r="BD288" s="13"/>
      <c r="BE288" s="13"/>
      <c r="BF288" s="13"/>
      <c r="BG288" s="13"/>
      <c r="BH288" s="13"/>
      <c r="BI288" s="13"/>
      <c r="BJ288" s="13"/>
      <c r="BK288" s="13"/>
      <c r="BL288" s="13"/>
      <c r="BM288" s="13"/>
      <c r="BN288" s="13"/>
      <c r="BO288" s="13"/>
      <c r="BP288" s="13"/>
      <c r="BQ288" s="13"/>
    </row>
    <row r="289" spans="1:69">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c r="AY289" s="13"/>
      <c r="AZ289" s="13"/>
      <c r="BA289" s="13"/>
      <c r="BB289" s="13"/>
      <c r="BC289" s="13"/>
      <c r="BD289" s="13"/>
      <c r="BE289" s="13"/>
      <c r="BF289" s="13"/>
      <c r="BG289" s="13"/>
      <c r="BH289" s="13"/>
      <c r="BI289" s="13"/>
      <c r="BJ289" s="13"/>
      <c r="BK289" s="13"/>
      <c r="BL289" s="13"/>
      <c r="BM289" s="13"/>
      <c r="BN289" s="13"/>
      <c r="BO289" s="13"/>
      <c r="BP289" s="13"/>
      <c r="BQ289" s="13"/>
    </row>
    <row r="290" spans="1:69">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c r="AX290" s="13"/>
      <c r="AY290" s="13"/>
      <c r="AZ290" s="13"/>
      <c r="BA290" s="13"/>
      <c r="BB290" s="13"/>
      <c r="BC290" s="13"/>
      <c r="BD290" s="13"/>
      <c r="BE290" s="13"/>
      <c r="BF290" s="13"/>
      <c r="BG290" s="13"/>
      <c r="BH290" s="13"/>
      <c r="BI290" s="13"/>
      <c r="BJ290" s="13"/>
      <c r="BK290" s="13"/>
      <c r="BL290" s="13"/>
      <c r="BM290" s="13"/>
      <c r="BN290" s="13"/>
      <c r="BO290" s="13"/>
      <c r="BP290" s="13"/>
      <c r="BQ290" s="13"/>
    </row>
    <row r="291" spans="1:69">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c r="AX291" s="13"/>
      <c r="AY291" s="13"/>
      <c r="AZ291" s="13"/>
      <c r="BA291" s="13"/>
      <c r="BB291" s="13"/>
      <c r="BC291" s="13"/>
      <c r="BD291" s="13"/>
      <c r="BE291" s="13"/>
      <c r="BF291" s="13"/>
      <c r="BG291" s="13"/>
      <c r="BH291" s="13"/>
      <c r="BI291" s="13"/>
      <c r="BJ291" s="13"/>
      <c r="BK291" s="13"/>
      <c r="BL291" s="13"/>
      <c r="BM291" s="13"/>
      <c r="BN291" s="13"/>
      <c r="BO291" s="13"/>
      <c r="BP291" s="13"/>
      <c r="BQ291" s="13"/>
    </row>
    <row r="292" spans="1:69">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13"/>
      <c r="AZ292" s="13"/>
      <c r="BA292" s="13"/>
      <c r="BB292" s="13"/>
      <c r="BC292" s="13"/>
      <c r="BD292" s="13"/>
      <c r="BE292" s="13"/>
      <c r="BF292" s="13"/>
      <c r="BG292" s="13"/>
      <c r="BH292" s="13"/>
      <c r="BI292" s="13"/>
      <c r="BJ292" s="13"/>
      <c r="BK292" s="13"/>
      <c r="BL292" s="13"/>
      <c r="BM292" s="13"/>
      <c r="BN292" s="13"/>
      <c r="BO292" s="13"/>
      <c r="BP292" s="13"/>
      <c r="BQ292" s="13"/>
    </row>
    <row r="293" spans="1:69">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c r="AX293" s="13"/>
      <c r="AY293" s="13"/>
      <c r="AZ293" s="13"/>
      <c r="BA293" s="13"/>
      <c r="BB293" s="13"/>
      <c r="BC293" s="13"/>
      <c r="BD293" s="13"/>
      <c r="BE293" s="13"/>
      <c r="BF293" s="13"/>
      <c r="BG293" s="13"/>
      <c r="BH293" s="13"/>
      <c r="BI293" s="13"/>
      <c r="BJ293" s="13"/>
      <c r="BK293" s="13"/>
      <c r="BL293" s="13"/>
      <c r="BM293" s="13"/>
      <c r="BN293" s="13"/>
      <c r="BO293" s="13"/>
      <c r="BP293" s="13"/>
      <c r="BQ293" s="13"/>
    </row>
    <row r="294" spans="1:69">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c r="BF294" s="13"/>
      <c r="BG294" s="13"/>
      <c r="BH294" s="13"/>
      <c r="BI294" s="13"/>
      <c r="BJ294" s="13"/>
      <c r="BK294" s="13"/>
      <c r="BL294" s="13"/>
      <c r="BM294" s="13"/>
      <c r="BN294" s="13"/>
      <c r="BO294" s="13"/>
      <c r="BP294" s="13"/>
      <c r="BQ294" s="13"/>
    </row>
    <row r="295" spans="1:69">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c r="AX295" s="13"/>
      <c r="AY295" s="13"/>
      <c r="AZ295" s="13"/>
      <c r="BA295" s="13"/>
      <c r="BB295" s="13"/>
      <c r="BC295" s="13"/>
      <c r="BD295" s="13"/>
      <c r="BE295" s="13"/>
      <c r="BF295" s="13"/>
      <c r="BG295" s="13"/>
      <c r="BH295" s="13"/>
      <c r="BI295" s="13"/>
      <c r="BJ295" s="13"/>
      <c r="BK295" s="13"/>
      <c r="BL295" s="13"/>
      <c r="BM295" s="13"/>
      <c r="BN295" s="13"/>
      <c r="BO295" s="13"/>
      <c r="BP295" s="13"/>
      <c r="BQ295" s="13"/>
    </row>
    <row r="296" spans="1:69">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row>
    <row r="297" spans="1:69">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13"/>
      <c r="AZ297" s="13"/>
      <c r="BA297" s="13"/>
      <c r="BB297" s="13"/>
      <c r="BC297" s="13"/>
      <c r="BD297" s="13"/>
      <c r="BE297" s="13"/>
      <c r="BF297" s="13"/>
      <c r="BG297" s="13"/>
      <c r="BH297" s="13"/>
      <c r="BI297" s="13"/>
      <c r="BJ297" s="13"/>
      <c r="BK297" s="13"/>
      <c r="BL297" s="13"/>
      <c r="BM297" s="13"/>
      <c r="BN297" s="13"/>
      <c r="BO297" s="13"/>
      <c r="BP297" s="13"/>
      <c r="BQ297" s="13"/>
    </row>
    <row r="298" spans="1:69">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c r="AX298" s="13"/>
      <c r="AY298" s="13"/>
      <c r="AZ298" s="13"/>
      <c r="BA298" s="13"/>
      <c r="BB298" s="13"/>
      <c r="BC298" s="13"/>
      <c r="BD298" s="13"/>
      <c r="BE298" s="13"/>
      <c r="BF298" s="13"/>
      <c r="BG298" s="13"/>
      <c r="BH298" s="13"/>
      <c r="BI298" s="13"/>
      <c r="BJ298" s="13"/>
      <c r="BK298" s="13"/>
      <c r="BL298" s="13"/>
      <c r="BM298" s="13"/>
      <c r="BN298" s="13"/>
      <c r="BO298" s="13"/>
      <c r="BP298" s="13"/>
      <c r="BQ298" s="13"/>
    </row>
    <row r="299" spans="1:69">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c r="AX299" s="13"/>
      <c r="AY299" s="13"/>
      <c r="AZ299" s="13"/>
      <c r="BA299" s="13"/>
      <c r="BB299" s="13"/>
      <c r="BC299" s="13"/>
      <c r="BD299" s="13"/>
      <c r="BE299" s="13"/>
      <c r="BF299" s="13"/>
      <c r="BG299" s="13"/>
      <c r="BH299" s="13"/>
      <c r="BI299" s="13"/>
      <c r="BJ299" s="13"/>
      <c r="BK299" s="13"/>
      <c r="BL299" s="13"/>
      <c r="BM299" s="13"/>
      <c r="BN299" s="13"/>
      <c r="BO299" s="13"/>
      <c r="BP299" s="13"/>
      <c r="BQ299" s="13"/>
    </row>
    <row r="300" spans="1:69">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c r="AX300" s="13"/>
      <c r="AY300" s="13"/>
      <c r="AZ300" s="13"/>
      <c r="BA300" s="13"/>
      <c r="BB300" s="13"/>
      <c r="BC300" s="13"/>
      <c r="BD300" s="13"/>
      <c r="BE300" s="13"/>
      <c r="BF300" s="13"/>
      <c r="BG300" s="13"/>
      <c r="BH300" s="13"/>
      <c r="BI300" s="13"/>
      <c r="BJ300" s="13"/>
      <c r="BK300" s="13"/>
      <c r="BL300" s="13"/>
      <c r="BM300" s="13"/>
      <c r="BN300" s="13"/>
      <c r="BO300" s="13"/>
      <c r="BP300" s="13"/>
      <c r="BQ300" s="13"/>
    </row>
    <row r="301" spans="1:69">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c r="AX301" s="13"/>
      <c r="AY301" s="13"/>
      <c r="AZ301" s="13"/>
      <c r="BA301" s="13"/>
      <c r="BB301" s="13"/>
      <c r="BC301" s="13"/>
      <c r="BD301" s="13"/>
      <c r="BE301" s="13"/>
      <c r="BF301" s="13"/>
      <c r="BG301" s="13"/>
      <c r="BH301" s="13"/>
      <c r="BI301" s="13"/>
      <c r="BJ301" s="13"/>
      <c r="BK301" s="13"/>
      <c r="BL301" s="13"/>
      <c r="BM301" s="13"/>
      <c r="BN301" s="13"/>
      <c r="BO301" s="13"/>
      <c r="BP301" s="13"/>
      <c r="BQ301" s="13"/>
    </row>
    <row r="302" spans="1:69">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3"/>
      <c r="AZ302" s="13"/>
      <c r="BA302" s="13"/>
      <c r="BB302" s="13"/>
      <c r="BC302" s="13"/>
      <c r="BD302" s="13"/>
      <c r="BE302" s="13"/>
      <c r="BF302" s="13"/>
      <c r="BG302" s="13"/>
      <c r="BH302" s="13"/>
      <c r="BI302" s="13"/>
      <c r="BJ302" s="13"/>
      <c r="BK302" s="13"/>
      <c r="BL302" s="13"/>
      <c r="BM302" s="13"/>
      <c r="BN302" s="13"/>
      <c r="BO302" s="13"/>
      <c r="BP302" s="13"/>
      <c r="BQ302" s="13"/>
    </row>
    <row r="303" spans="1:69">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c r="AX303" s="13"/>
      <c r="AY303" s="13"/>
      <c r="AZ303" s="13"/>
      <c r="BA303" s="13"/>
      <c r="BB303" s="13"/>
      <c r="BC303" s="13"/>
      <c r="BD303" s="13"/>
      <c r="BE303" s="13"/>
      <c r="BF303" s="13"/>
      <c r="BG303" s="13"/>
      <c r="BH303" s="13"/>
      <c r="BI303" s="13"/>
      <c r="BJ303" s="13"/>
      <c r="BK303" s="13"/>
      <c r="BL303" s="13"/>
      <c r="BM303" s="13"/>
      <c r="BN303" s="13"/>
      <c r="BO303" s="13"/>
      <c r="BP303" s="13"/>
      <c r="BQ303" s="13"/>
    </row>
    <row r="304" spans="1:69">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13"/>
      <c r="AZ304" s="13"/>
      <c r="BA304" s="13"/>
      <c r="BB304" s="13"/>
      <c r="BC304" s="13"/>
      <c r="BD304" s="13"/>
      <c r="BE304" s="13"/>
      <c r="BF304" s="13"/>
      <c r="BG304" s="13"/>
      <c r="BH304" s="13"/>
      <c r="BI304" s="13"/>
      <c r="BJ304" s="13"/>
      <c r="BK304" s="13"/>
      <c r="BL304" s="13"/>
      <c r="BM304" s="13"/>
      <c r="BN304" s="13"/>
      <c r="BO304" s="13"/>
      <c r="BP304" s="13"/>
      <c r="BQ304" s="13"/>
    </row>
    <row r="305" spans="1:69">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13"/>
      <c r="AZ305" s="13"/>
      <c r="BA305" s="13"/>
      <c r="BB305" s="13"/>
      <c r="BC305" s="13"/>
      <c r="BD305" s="13"/>
      <c r="BE305" s="13"/>
      <c r="BF305" s="13"/>
      <c r="BG305" s="13"/>
      <c r="BH305" s="13"/>
      <c r="BI305" s="13"/>
      <c r="BJ305" s="13"/>
      <c r="BK305" s="13"/>
      <c r="BL305" s="13"/>
      <c r="BM305" s="13"/>
      <c r="BN305" s="13"/>
      <c r="BO305" s="13"/>
      <c r="BP305" s="13"/>
      <c r="BQ305" s="13"/>
    </row>
    <row r="306" spans="1:69">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c r="BF306" s="13"/>
      <c r="BG306" s="13"/>
      <c r="BH306" s="13"/>
      <c r="BI306" s="13"/>
      <c r="BJ306" s="13"/>
      <c r="BK306" s="13"/>
      <c r="BL306" s="13"/>
      <c r="BM306" s="13"/>
      <c r="BN306" s="13"/>
      <c r="BO306" s="13"/>
      <c r="BP306" s="13"/>
      <c r="BQ306" s="13"/>
    </row>
    <row r="307" spans="1:69">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c r="AX307" s="13"/>
      <c r="AY307" s="13"/>
      <c r="AZ307" s="13"/>
      <c r="BA307" s="13"/>
      <c r="BB307" s="13"/>
      <c r="BC307" s="13"/>
      <c r="BD307" s="13"/>
      <c r="BE307" s="13"/>
      <c r="BF307" s="13"/>
      <c r="BG307" s="13"/>
      <c r="BH307" s="13"/>
      <c r="BI307" s="13"/>
      <c r="BJ307" s="13"/>
      <c r="BK307" s="13"/>
      <c r="BL307" s="13"/>
      <c r="BM307" s="13"/>
      <c r="BN307" s="13"/>
      <c r="BO307" s="13"/>
      <c r="BP307" s="13"/>
      <c r="BQ307" s="13"/>
    </row>
    <row r="308" spans="1:69">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c r="BE308" s="13"/>
      <c r="BF308" s="13"/>
      <c r="BG308" s="13"/>
      <c r="BH308" s="13"/>
      <c r="BI308" s="13"/>
      <c r="BJ308" s="13"/>
      <c r="BK308" s="13"/>
      <c r="BL308" s="13"/>
      <c r="BM308" s="13"/>
      <c r="BN308" s="13"/>
      <c r="BO308" s="13"/>
      <c r="BP308" s="13"/>
      <c r="BQ308" s="13"/>
    </row>
    <row r="309" spans="1:69">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c r="AX309" s="13"/>
      <c r="AY309" s="13"/>
      <c r="AZ309" s="13"/>
      <c r="BA309" s="13"/>
      <c r="BB309" s="13"/>
      <c r="BC309" s="13"/>
      <c r="BD309" s="13"/>
      <c r="BE309" s="13"/>
      <c r="BF309" s="13"/>
      <c r="BG309" s="13"/>
      <c r="BH309" s="13"/>
      <c r="BI309" s="13"/>
      <c r="BJ309" s="13"/>
      <c r="BK309" s="13"/>
      <c r="BL309" s="13"/>
      <c r="BM309" s="13"/>
      <c r="BN309" s="13"/>
      <c r="BO309" s="13"/>
      <c r="BP309" s="13"/>
      <c r="BQ309" s="13"/>
    </row>
    <row r="310" spans="1:69">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D310" s="13"/>
      <c r="BE310" s="13"/>
      <c r="BF310" s="13"/>
      <c r="BG310" s="13"/>
      <c r="BH310" s="13"/>
      <c r="BI310" s="13"/>
      <c r="BJ310" s="13"/>
      <c r="BK310" s="13"/>
      <c r="BL310" s="13"/>
      <c r="BM310" s="13"/>
      <c r="BN310" s="13"/>
      <c r="BO310" s="13"/>
      <c r="BP310" s="13"/>
      <c r="BQ310" s="13"/>
    </row>
    <row r="311" spans="1:69">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c r="AZ311" s="13"/>
      <c r="BA311" s="13"/>
      <c r="BB311" s="13"/>
      <c r="BC311" s="13"/>
      <c r="BD311" s="13"/>
      <c r="BE311" s="13"/>
      <c r="BF311" s="13"/>
      <c r="BG311" s="13"/>
      <c r="BH311" s="13"/>
      <c r="BI311" s="13"/>
      <c r="BJ311" s="13"/>
      <c r="BK311" s="13"/>
      <c r="BL311" s="13"/>
      <c r="BM311" s="13"/>
      <c r="BN311" s="13"/>
      <c r="BO311" s="13"/>
      <c r="BP311" s="13"/>
      <c r="BQ311" s="13"/>
    </row>
    <row r="312" spans="1:69">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c r="AX312" s="13"/>
      <c r="AY312" s="13"/>
      <c r="AZ312" s="13"/>
      <c r="BA312" s="13"/>
      <c r="BB312" s="13"/>
      <c r="BC312" s="13"/>
      <c r="BD312" s="13"/>
      <c r="BE312" s="13"/>
      <c r="BF312" s="13"/>
      <c r="BG312" s="13"/>
      <c r="BH312" s="13"/>
      <c r="BI312" s="13"/>
      <c r="BJ312" s="13"/>
      <c r="BK312" s="13"/>
      <c r="BL312" s="13"/>
      <c r="BM312" s="13"/>
      <c r="BN312" s="13"/>
      <c r="BO312" s="13"/>
      <c r="BP312" s="13"/>
      <c r="BQ312" s="13"/>
    </row>
    <row r="313" spans="1:69">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3"/>
      <c r="BD313" s="13"/>
      <c r="BE313" s="13"/>
      <c r="BF313" s="13"/>
      <c r="BG313" s="13"/>
      <c r="BH313" s="13"/>
      <c r="BI313" s="13"/>
      <c r="BJ313" s="13"/>
      <c r="BK313" s="13"/>
      <c r="BL313" s="13"/>
      <c r="BM313" s="13"/>
      <c r="BN313" s="13"/>
      <c r="BO313" s="13"/>
      <c r="BP313" s="13"/>
      <c r="BQ313" s="13"/>
    </row>
    <row r="314" spans="1:69">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13"/>
      <c r="AZ314" s="13"/>
      <c r="BA314" s="13"/>
      <c r="BB314" s="13"/>
      <c r="BC314" s="13"/>
      <c r="BD314" s="13"/>
      <c r="BE314" s="13"/>
      <c r="BF314" s="13"/>
      <c r="BG314" s="13"/>
      <c r="BH314" s="13"/>
      <c r="BI314" s="13"/>
      <c r="BJ314" s="13"/>
      <c r="BK314" s="13"/>
      <c r="BL314" s="13"/>
      <c r="BM314" s="13"/>
      <c r="BN314" s="13"/>
      <c r="BO314" s="13"/>
      <c r="BP314" s="13"/>
      <c r="BQ314" s="13"/>
    </row>
    <row r="315" spans="1:69">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c r="AX315" s="13"/>
      <c r="AY315" s="13"/>
      <c r="AZ315" s="13"/>
      <c r="BA315" s="13"/>
      <c r="BB315" s="13"/>
      <c r="BC315" s="13"/>
      <c r="BD315" s="13"/>
      <c r="BE315" s="13"/>
      <c r="BF315" s="13"/>
      <c r="BG315" s="13"/>
      <c r="BH315" s="13"/>
      <c r="BI315" s="13"/>
      <c r="BJ315" s="13"/>
      <c r="BK315" s="13"/>
      <c r="BL315" s="13"/>
      <c r="BM315" s="13"/>
      <c r="BN315" s="13"/>
      <c r="BO315" s="13"/>
      <c r="BP315" s="13"/>
      <c r="BQ315" s="13"/>
    </row>
    <row r="316" spans="1:69">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BI316" s="13"/>
      <c r="BJ316" s="13"/>
      <c r="BK316" s="13"/>
      <c r="BL316" s="13"/>
      <c r="BM316" s="13"/>
      <c r="BN316" s="13"/>
      <c r="BO316" s="13"/>
      <c r="BP316" s="13"/>
      <c r="BQ316" s="13"/>
    </row>
    <row r="317" spans="1:69">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c r="BD317" s="13"/>
      <c r="BE317" s="13"/>
      <c r="BF317" s="13"/>
      <c r="BG317" s="13"/>
      <c r="BH317" s="13"/>
      <c r="BI317" s="13"/>
      <c r="BJ317" s="13"/>
      <c r="BK317" s="13"/>
      <c r="BL317" s="13"/>
      <c r="BM317" s="13"/>
      <c r="BN317" s="13"/>
      <c r="BO317" s="13"/>
      <c r="BP317" s="13"/>
      <c r="BQ317" s="13"/>
    </row>
    <row r="318" spans="1:69">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c r="BF318" s="13"/>
      <c r="BG318" s="13"/>
      <c r="BH318" s="13"/>
      <c r="BI318" s="13"/>
      <c r="BJ318" s="13"/>
      <c r="BK318" s="13"/>
      <c r="BL318" s="13"/>
      <c r="BM318" s="13"/>
      <c r="BN318" s="13"/>
      <c r="BO318" s="13"/>
      <c r="BP318" s="13"/>
      <c r="BQ318" s="13"/>
    </row>
    <row r="319" spans="1:69">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c r="BD319" s="13"/>
      <c r="BE319" s="13"/>
      <c r="BF319" s="13"/>
      <c r="BG319" s="13"/>
      <c r="BH319" s="13"/>
      <c r="BI319" s="13"/>
      <c r="BJ319" s="13"/>
      <c r="BK319" s="13"/>
      <c r="BL319" s="13"/>
      <c r="BM319" s="13"/>
      <c r="BN319" s="13"/>
      <c r="BO319" s="13"/>
      <c r="BP319" s="13"/>
      <c r="BQ319" s="13"/>
    </row>
    <row r="320" spans="1:69">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c r="BD320" s="13"/>
      <c r="BE320" s="13"/>
      <c r="BF320" s="13"/>
      <c r="BG320" s="13"/>
      <c r="BH320" s="13"/>
      <c r="BI320" s="13"/>
      <c r="BJ320" s="13"/>
      <c r="BK320" s="13"/>
      <c r="BL320" s="13"/>
      <c r="BM320" s="13"/>
      <c r="BN320" s="13"/>
      <c r="BO320" s="13"/>
      <c r="BP320" s="13"/>
      <c r="BQ320" s="13"/>
    </row>
    <row r="321" spans="1:69">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c r="BC321" s="13"/>
      <c r="BD321" s="13"/>
      <c r="BE321" s="13"/>
      <c r="BF321" s="13"/>
      <c r="BG321" s="13"/>
      <c r="BH321" s="13"/>
      <c r="BI321" s="13"/>
      <c r="BJ321" s="13"/>
      <c r="BK321" s="13"/>
      <c r="BL321" s="13"/>
      <c r="BM321" s="13"/>
      <c r="BN321" s="13"/>
      <c r="BO321" s="13"/>
      <c r="BP321" s="13"/>
      <c r="BQ321" s="13"/>
    </row>
    <row r="322" spans="1:69">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c r="AX322" s="13"/>
      <c r="AY322" s="13"/>
      <c r="AZ322" s="13"/>
      <c r="BA322" s="13"/>
      <c r="BB322" s="13"/>
      <c r="BC322" s="13"/>
      <c r="BD322" s="13"/>
      <c r="BE322" s="13"/>
      <c r="BF322" s="13"/>
      <c r="BG322" s="13"/>
      <c r="BH322" s="13"/>
      <c r="BI322" s="13"/>
      <c r="BJ322" s="13"/>
      <c r="BK322" s="13"/>
      <c r="BL322" s="13"/>
      <c r="BM322" s="13"/>
      <c r="BN322" s="13"/>
      <c r="BO322" s="13"/>
      <c r="BP322" s="13"/>
      <c r="BQ322" s="13"/>
    </row>
    <row r="323" spans="1:69">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c r="AX323" s="13"/>
      <c r="AY323" s="13"/>
      <c r="AZ323" s="13"/>
      <c r="BA323" s="13"/>
      <c r="BB323" s="13"/>
      <c r="BC323" s="13"/>
      <c r="BD323" s="13"/>
      <c r="BE323" s="13"/>
      <c r="BF323" s="13"/>
      <c r="BG323" s="13"/>
      <c r="BH323" s="13"/>
      <c r="BI323" s="13"/>
      <c r="BJ323" s="13"/>
      <c r="BK323" s="13"/>
      <c r="BL323" s="13"/>
      <c r="BM323" s="13"/>
      <c r="BN323" s="13"/>
      <c r="BO323" s="13"/>
      <c r="BP323" s="13"/>
      <c r="BQ323" s="13"/>
    </row>
    <row r="324" spans="1:69">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13"/>
      <c r="AZ324" s="13"/>
      <c r="BA324" s="13"/>
      <c r="BB324" s="13"/>
      <c r="BC324" s="13"/>
      <c r="BD324" s="13"/>
      <c r="BE324" s="13"/>
      <c r="BF324" s="13"/>
      <c r="BG324" s="13"/>
      <c r="BH324" s="13"/>
      <c r="BI324" s="13"/>
      <c r="BJ324" s="13"/>
      <c r="BK324" s="13"/>
      <c r="BL324" s="13"/>
      <c r="BM324" s="13"/>
      <c r="BN324" s="13"/>
      <c r="BO324" s="13"/>
      <c r="BP324" s="13"/>
      <c r="BQ324" s="13"/>
    </row>
    <row r="325" spans="1:69">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c r="AX325" s="13"/>
      <c r="AY325" s="13"/>
      <c r="AZ325" s="13"/>
      <c r="BA325" s="13"/>
      <c r="BB325" s="13"/>
      <c r="BC325" s="13"/>
      <c r="BD325" s="13"/>
      <c r="BE325" s="13"/>
      <c r="BF325" s="13"/>
      <c r="BG325" s="13"/>
      <c r="BH325" s="13"/>
      <c r="BI325" s="13"/>
      <c r="BJ325" s="13"/>
      <c r="BK325" s="13"/>
      <c r="BL325" s="13"/>
      <c r="BM325" s="13"/>
      <c r="BN325" s="13"/>
      <c r="BO325" s="13"/>
      <c r="BP325" s="13"/>
      <c r="BQ325" s="13"/>
    </row>
    <row r="326" spans="1:69">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c r="BF326" s="13"/>
      <c r="BG326" s="13"/>
      <c r="BH326" s="13"/>
      <c r="BI326" s="13"/>
      <c r="BJ326" s="13"/>
      <c r="BK326" s="13"/>
      <c r="BL326" s="13"/>
      <c r="BM326" s="13"/>
      <c r="BN326" s="13"/>
      <c r="BO326" s="13"/>
      <c r="BP326" s="13"/>
      <c r="BQ326" s="13"/>
    </row>
    <row r="327" spans="1:69">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13"/>
      <c r="AX327" s="13"/>
      <c r="AY327" s="13"/>
      <c r="AZ327" s="13"/>
      <c r="BA327" s="13"/>
      <c r="BB327" s="13"/>
      <c r="BC327" s="13"/>
      <c r="BD327" s="13"/>
      <c r="BE327" s="13"/>
      <c r="BF327" s="13"/>
      <c r="BG327" s="13"/>
      <c r="BH327" s="13"/>
      <c r="BI327" s="13"/>
      <c r="BJ327" s="13"/>
      <c r="BK327" s="13"/>
      <c r="BL327" s="13"/>
      <c r="BM327" s="13"/>
      <c r="BN327" s="13"/>
      <c r="BO327" s="13"/>
      <c r="BP327" s="13"/>
      <c r="BQ327" s="13"/>
    </row>
    <row r="328" spans="1:69">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c r="AX328" s="13"/>
      <c r="AY328" s="13"/>
      <c r="AZ328" s="13"/>
      <c r="BA328" s="13"/>
      <c r="BB328" s="13"/>
      <c r="BC328" s="13"/>
      <c r="BD328" s="13"/>
      <c r="BE328" s="13"/>
      <c r="BF328" s="13"/>
      <c r="BG328" s="13"/>
      <c r="BH328" s="13"/>
      <c r="BI328" s="13"/>
      <c r="BJ328" s="13"/>
      <c r="BK328" s="13"/>
      <c r="BL328" s="13"/>
      <c r="BM328" s="13"/>
      <c r="BN328" s="13"/>
      <c r="BO328" s="13"/>
      <c r="BP328" s="13"/>
      <c r="BQ328" s="13"/>
    </row>
    <row r="329" spans="1:69">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c r="AT329" s="13"/>
      <c r="AU329" s="13"/>
      <c r="AV329" s="13"/>
      <c r="AW329" s="13"/>
      <c r="AX329" s="13"/>
      <c r="AY329" s="13"/>
      <c r="AZ329" s="13"/>
      <c r="BA329" s="13"/>
      <c r="BB329" s="13"/>
      <c r="BC329" s="13"/>
      <c r="BD329" s="13"/>
      <c r="BE329" s="13"/>
      <c r="BF329" s="13"/>
      <c r="BG329" s="13"/>
      <c r="BH329" s="13"/>
      <c r="BI329" s="13"/>
      <c r="BJ329" s="13"/>
      <c r="BK329" s="13"/>
      <c r="BL329" s="13"/>
      <c r="BM329" s="13"/>
      <c r="BN329" s="13"/>
      <c r="BO329" s="13"/>
      <c r="BP329" s="13"/>
      <c r="BQ329" s="13"/>
    </row>
    <row r="330" spans="1:69">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c r="AX330" s="13"/>
      <c r="AY330" s="13"/>
      <c r="AZ330" s="13"/>
      <c r="BA330" s="13"/>
      <c r="BB330" s="13"/>
      <c r="BC330" s="13"/>
      <c r="BD330" s="13"/>
      <c r="BE330" s="13"/>
      <c r="BF330" s="13"/>
      <c r="BG330" s="13"/>
      <c r="BH330" s="13"/>
      <c r="BI330" s="13"/>
      <c r="BJ330" s="13"/>
      <c r="BK330" s="13"/>
      <c r="BL330" s="13"/>
      <c r="BM330" s="13"/>
      <c r="BN330" s="13"/>
      <c r="BO330" s="13"/>
      <c r="BP330" s="13"/>
      <c r="BQ330" s="13"/>
    </row>
    <row r="331" spans="1:69">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c r="BD331" s="13"/>
      <c r="BE331" s="13"/>
      <c r="BF331" s="13"/>
      <c r="BG331" s="13"/>
      <c r="BH331" s="13"/>
      <c r="BI331" s="13"/>
      <c r="BJ331" s="13"/>
      <c r="BK331" s="13"/>
      <c r="BL331" s="13"/>
      <c r="BM331" s="13"/>
      <c r="BN331" s="13"/>
      <c r="BO331" s="13"/>
      <c r="BP331" s="13"/>
      <c r="BQ331" s="13"/>
    </row>
    <row r="332" spans="1:69">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c r="AW332" s="13"/>
      <c r="AX332" s="13"/>
      <c r="AY332" s="13"/>
      <c r="AZ332" s="13"/>
      <c r="BA332" s="13"/>
      <c r="BB332" s="13"/>
      <c r="BC332" s="13"/>
      <c r="BD332" s="13"/>
      <c r="BE332" s="13"/>
      <c r="BF332" s="13"/>
      <c r="BG332" s="13"/>
      <c r="BH332" s="13"/>
      <c r="BI332" s="13"/>
      <c r="BJ332" s="13"/>
      <c r="BK332" s="13"/>
      <c r="BL332" s="13"/>
      <c r="BM332" s="13"/>
      <c r="BN332" s="13"/>
      <c r="BO332" s="13"/>
      <c r="BP332" s="13"/>
      <c r="BQ332" s="13"/>
    </row>
    <row r="333" spans="1:69">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3"/>
      <c r="AU333" s="13"/>
      <c r="AV333" s="13"/>
      <c r="AW333" s="13"/>
      <c r="AX333" s="13"/>
      <c r="AY333" s="13"/>
      <c r="AZ333" s="13"/>
      <c r="BA333" s="13"/>
      <c r="BB333" s="13"/>
      <c r="BC333" s="13"/>
      <c r="BD333" s="13"/>
      <c r="BE333" s="13"/>
      <c r="BF333" s="13"/>
      <c r="BG333" s="13"/>
      <c r="BH333" s="13"/>
      <c r="BI333" s="13"/>
      <c r="BJ333" s="13"/>
      <c r="BK333" s="13"/>
      <c r="BL333" s="13"/>
      <c r="BM333" s="13"/>
      <c r="BN333" s="13"/>
      <c r="BO333" s="13"/>
      <c r="BP333" s="13"/>
      <c r="BQ333" s="13"/>
    </row>
    <row r="334" spans="1:69">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c r="AX334" s="13"/>
      <c r="AY334" s="13"/>
      <c r="AZ334" s="13"/>
      <c r="BA334" s="13"/>
      <c r="BB334" s="13"/>
      <c r="BC334" s="13"/>
      <c r="BD334" s="13"/>
      <c r="BE334" s="13"/>
      <c r="BF334" s="13"/>
      <c r="BG334" s="13"/>
      <c r="BH334" s="13"/>
      <c r="BI334" s="13"/>
      <c r="BJ334" s="13"/>
      <c r="BK334" s="13"/>
      <c r="BL334" s="13"/>
      <c r="BM334" s="13"/>
      <c r="BN334" s="13"/>
      <c r="BO334" s="13"/>
      <c r="BP334" s="13"/>
      <c r="BQ334" s="13"/>
    </row>
    <row r="335" spans="1:69">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3"/>
      <c r="AU335" s="13"/>
      <c r="AV335" s="13"/>
      <c r="AW335" s="13"/>
      <c r="AX335" s="13"/>
      <c r="AY335" s="13"/>
      <c r="AZ335" s="13"/>
      <c r="BA335" s="13"/>
      <c r="BB335" s="13"/>
      <c r="BC335" s="13"/>
      <c r="BD335" s="13"/>
      <c r="BE335" s="13"/>
      <c r="BF335" s="13"/>
      <c r="BG335" s="13"/>
      <c r="BH335" s="13"/>
      <c r="BI335" s="13"/>
      <c r="BJ335" s="13"/>
      <c r="BK335" s="13"/>
      <c r="BL335" s="13"/>
      <c r="BM335" s="13"/>
      <c r="BN335" s="13"/>
      <c r="BO335" s="13"/>
      <c r="BP335" s="13"/>
      <c r="BQ335" s="13"/>
    </row>
    <row r="336" spans="1:69">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row>
    <row r="337" spans="1:69">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3"/>
      <c r="AU337" s="13"/>
      <c r="AV337" s="13"/>
      <c r="AW337" s="13"/>
      <c r="AX337" s="13"/>
      <c r="AY337" s="13"/>
      <c r="AZ337" s="13"/>
      <c r="BA337" s="13"/>
      <c r="BB337" s="13"/>
      <c r="BC337" s="13"/>
      <c r="BD337" s="13"/>
      <c r="BE337" s="13"/>
      <c r="BF337" s="13"/>
      <c r="BG337" s="13"/>
      <c r="BH337" s="13"/>
      <c r="BI337" s="13"/>
      <c r="BJ337" s="13"/>
      <c r="BK337" s="13"/>
      <c r="BL337" s="13"/>
      <c r="BM337" s="13"/>
      <c r="BN337" s="13"/>
      <c r="BO337" s="13"/>
      <c r="BP337" s="13"/>
      <c r="BQ337" s="13"/>
    </row>
    <row r="338" spans="1:69">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c r="AW338" s="13"/>
      <c r="AX338" s="13"/>
      <c r="AY338" s="13"/>
      <c r="AZ338" s="13"/>
      <c r="BA338" s="13"/>
      <c r="BB338" s="13"/>
      <c r="BC338" s="13"/>
      <c r="BD338" s="13"/>
      <c r="BE338" s="13"/>
      <c r="BF338" s="13"/>
      <c r="BG338" s="13"/>
      <c r="BH338" s="13"/>
      <c r="BI338" s="13"/>
      <c r="BJ338" s="13"/>
      <c r="BK338" s="13"/>
      <c r="BL338" s="13"/>
      <c r="BM338" s="13"/>
      <c r="BN338" s="13"/>
      <c r="BO338" s="13"/>
      <c r="BP338" s="13"/>
      <c r="BQ338" s="13"/>
    </row>
    <row r="339" spans="1:69">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c r="AS339" s="13"/>
      <c r="AT339" s="13"/>
      <c r="AU339" s="13"/>
      <c r="AV339" s="13"/>
      <c r="AW339" s="13"/>
      <c r="AX339" s="13"/>
      <c r="AY339" s="13"/>
      <c r="AZ339" s="13"/>
      <c r="BA339" s="13"/>
      <c r="BB339" s="13"/>
      <c r="BC339" s="13"/>
      <c r="BD339" s="13"/>
      <c r="BE339" s="13"/>
      <c r="BF339" s="13"/>
      <c r="BG339" s="13"/>
      <c r="BH339" s="13"/>
      <c r="BI339" s="13"/>
      <c r="BJ339" s="13"/>
      <c r="BK339" s="13"/>
      <c r="BL339" s="13"/>
      <c r="BM339" s="13"/>
      <c r="BN339" s="13"/>
      <c r="BO339" s="13"/>
      <c r="BP339" s="13"/>
      <c r="BQ339" s="13"/>
    </row>
    <row r="340" spans="1:69">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c r="AS340" s="13"/>
      <c r="AT340" s="13"/>
      <c r="AU340" s="13"/>
      <c r="AV340" s="13"/>
      <c r="AW340" s="13"/>
      <c r="AX340" s="13"/>
      <c r="AY340" s="13"/>
      <c r="AZ340" s="13"/>
      <c r="BA340" s="13"/>
      <c r="BB340" s="13"/>
      <c r="BC340" s="13"/>
      <c r="BD340" s="13"/>
      <c r="BE340" s="13"/>
      <c r="BF340" s="13"/>
      <c r="BG340" s="13"/>
      <c r="BH340" s="13"/>
      <c r="BI340" s="13"/>
      <c r="BJ340" s="13"/>
      <c r="BK340" s="13"/>
      <c r="BL340" s="13"/>
      <c r="BM340" s="13"/>
      <c r="BN340" s="13"/>
      <c r="BO340" s="13"/>
      <c r="BP340" s="13"/>
      <c r="BQ340" s="13"/>
    </row>
    <row r="341" spans="1:69">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c r="AS341" s="13"/>
      <c r="AT341" s="13"/>
      <c r="AU341" s="13"/>
      <c r="AV341" s="13"/>
      <c r="AW341" s="13"/>
      <c r="AX341" s="13"/>
      <c r="AY341" s="13"/>
      <c r="AZ341" s="13"/>
      <c r="BA341" s="13"/>
      <c r="BB341" s="13"/>
      <c r="BC341" s="13"/>
      <c r="BD341" s="13"/>
      <c r="BE341" s="13"/>
      <c r="BF341" s="13"/>
      <c r="BG341" s="13"/>
      <c r="BH341" s="13"/>
      <c r="BI341" s="13"/>
      <c r="BJ341" s="13"/>
      <c r="BK341" s="13"/>
      <c r="BL341" s="13"/>
      <c r="BM341" s="13"/>
      <c r="BN341" s="13"/>
      <c r="BO341" s="13"/>
      <c r="BP341" s="13"/>
      <c r="BQ341" s="13"/>
    </row>
    <row r="342" spans="1:69">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c r="BC342" s="13"/>
      <c r="BD342" s="13"/>
      <c r="BE342" s="13"/>
      <c r="BF342" s="13"/>
      <c r="BG342" s="13"/>
      <c r="BH342" s="13"/>
      <c r="BI342" s="13"/>
      <c r="BJ342" s="13"/>
      <c r="BK342" s="13"/>
      <c r="BL342" s="13"/>
      <c r="BM342" s="13"/>
      <c r="BN342" s="13"/>
      <c r="BO342" s="13"/>
      <c r="BP342" s="13"/>
      <c r="BQ342" s="13"/>
    </row>
    <row r="343" spans="1:69">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c r="AW343" s="13"/>
      <c r="AX343" s="13"/>
      <c r="AY343" s="13"/>
      <c r="AZ343" s="13"/>
      <c r="BA343" s="13"/>
      <c r="BB343" s="13"/>
      <c r="BC343" s="13"/>
      <c r="BD343" s="13"/>
      <c r="BE343" s="13"/>
      <c r="BF343" s="13"/>
      <c r="BG343" s="13"/>
      <c r="BH343" s="13"/>
      <c r="BI343" s="13"/>
      <c r="BJ343" s="13"/>
      <c r="BK343" s="13"/>
      <c r="BL343" s="13"/>
      <c r="BM343" s="13"/>
      <c r="BN343" s="13"/>
      <c r="BO343" s="13"/>
      <c r="BP343" s="13"/>
      <c r="BQ343" s="13"/>
    </row>
    <row r="344" spans="1:69">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c r="AW344" s="13"/>
      <c r="AX344" s="13"/>
      <c r="AY344" s="13"/>
      <c r="AZ344" s="13"/>
      <c r="BA344" s="13"/>
      <c r="BB344" s="13"/>
      <c r="BC344" s="13"/>
      <c r="BD344" s="13"/>
      <c r="BE344" s="13"/>
      <c r="BF344" s="13"/>
      <c r="BG344" s="13"/>
      <c r="BH344" s="13"/>
      <c r="BI344" s="13"/>
      <c r="BJ344" s="13"/>
      <c r="BK344" s="13"/>
      <c r="BL344" s="13"/>
      <c r="BM344" s="13"/>
      <c r="BN344" s="13"/>
      <c r="BO344" s="13"/>
      <c r="BP344" s="13"/>
      <c r="BQ344" s="13"/>
    </row>
    <row r="345" spans="1:69">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c r="AW345" s="13"/>
      <c r="AX345" s="13"/>
      <c r="AY345" s="13"/>
      <c r="AZ345" s="13"/>
      <c r="BA345" s="13"/>
      <c r="BB345" s="13"/>
      <c r="BC345" s="13"/>
      <c r="BD345" s="13"/>
      <c r="BE345" s="13"/>
      <c r="BF345" s="13"/>
      <c r="BG345" s="13"/>
      <c r="BH345" s="13"/>
      <c r="BI345" s="13"/>
      <c r="BJ345" s="13"/>
      <c r="BK345" s="13"/>
      <c r="BL345" s="13"/>
      <c r="BM345" s="13"/>
      <c r="BN345" s="13"/>
      <c r="BO345" s="13"/>
      <c r="BP345" s="13"/>
      <c r="BQ345" s="13"/>
    </row>
    <row r="346" spans="1:69">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13"/>
      <c r="BF346" s="13"/>
      <c r="BG346" s="13"/>
      <c r="BH346" s="13"/>
      <c r="BI346" s="13"/>
      <c r="BJ346" s="13"/>
      <c r="BK346" s="13"/>
      <c r="BL346" s="13"/>
      <c r="BM346" s="13"/>
      <c r="BN346" s="13"/>
      <c r="BO346" s="13"/>
      <c r="BP346" s="13"/>
      <c r="BQ346" s="13"/>
    </row>
    <row r="347" spans="1:69">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c r="BE347" s="13"/>
      <c r="BF347" s="13"/>
      <c r="BG347" s="13"/>
      <c r="BH347" s="13"/>
      <c r="BI347" s="13"/>
      <c r="BJ347" s="13"/>
      <c r="BK347" s="13"/>
      <c r="BL347" s="13"/>
      <c r="BM347" s="13"/>
      <c r="BN347" s="13"/>
      <c r="BO347" s="13"/>
      <c r="BP347" s="13"/>
      <c r="BQ347" s="13"/>
    </row>
    <row r="348" spans="1:69">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c r="AW348" s="13"/>
      <c r="AX348" s="13"/>
      <c r="AY348" s="13"/>
      <c r="AZ348" s="13"/>
      <c r="BA348" s="13"/>
      <c r="BB348" s="13"/>
      <c r="BC348" s="13"/>
      <c r="BD348" s="13"/>
      <c r="BE348" s="13"/>
      <c r="BF348" s="13"/>
      <c r="BG348" s="13"/>
      <c r="BH348" s="13"/>
      <c r="BI348" s="13"/>
      <c r="BJ348" s="13"/>
      <c r="BK348" s="13"/>
      <c r="BL348" s="13"/>
      <c r="BM348" s="13"/>
      <c r="BN348" s="13"/>
      <c r="BO348" s="13"/>
      <c r="BP348" s="13"/>
      <c r="BQ348" s="13"/>
    </row>
    <row r="349" spans="1:69">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c r="AX349" s="13"/>
      <c r="AY349" s="13"/>
      <c r="AZ349" s="13"/>
      <c r="BA349" s="13"/>
      <c r="BB349" s="13"/>
      <c r="BC349" s="13"/>
      <c r="BD349" s="13"/>
      <c r="BE349" s="13"/>
      <c r="BF349" s="13"/>
      <c r="BG349" s="13"/>
      <c r="BH349" s="13"/>
      <c r="BI349" s="13"/>
      <c r="BJ349" s="13"/>
      <c r="BK349" s="13"/>
      <c r="BL349" s="13"/>
      <c r="BM349" s="13"/>
      <c r="BN349" s="13"/>
      <c r="BO349" s="13"/>
      <c r="BP349" s="13"/>
      <c r="BQ349" s="13"/>
    </row>
    <row r="350" spans="1:69">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c r="AX350" s="13"/>
      <c r="AY350" s="13"/>
      <c r="AZ350" s="13"/>
      <c r="BA350" s="13"/>
      <c r="BB350" s="13"/>
      <c r="BC350" s="13"/>
      <c r="BD350" s="13"/>
      <c r="BE350" s="13"/>
      <c r="BF350" s="13"/>
      <c r="BG350" s="13"/>
      <c r="BH350" s="13"/>
      <c r="BI350" s="13"/>
      <c r="BJ350" s="13"/>
      <c r="BK350" s="13"/>
      <c r="BL350" s="13"/>
      <c r="BM350" s="13"/>
      <c r="BN350" s="13"/>
      <c r="BO350" s="13"/>
      <c r="BP350" s="13"/>
      <c r="BQ350" s="13"/>
    </row>
    <row r="351" spans="1:69">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3"/>
      <c r="AU351" s="13"/>
      <c r="AV351" s="13"/>
      <c r="AW351" s="13"/>
      <c r="AX351" s="13"/>
      <c r="AY351" s="13"/>
      <c r="AZ351" s="13"/>
      <c r="BA351" s="13"/>
      <c r="BB351" s="13"/>
      <c r="BC351" s="13"/>
      <c r="BD351" s="13"/>
      <c r="BE351" s="13"/>
      <c r="BF351" s="13"/>
      <c r="BG351" s="13"/>
      <c r="BH351" s="13"/>
      <c r="BI351" s="13"/>
      <c r="BJ351" s="13"/>
      <c r="BK351" s="13"/>
      <c r="BL351" s="13"/>
      <c r="BM351" s="13"/>
      <c r="BN351" s="13"/>
      <c r="BO351" s="13"/>
      <c r="BP351" s="13"/>
      <c r="BQ351" s="13"/>
    </row>
    <row r="352" spans="1:69">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3"/>
      <c r="AU352" s="13"/>
      <c r="AV352" s="13"/>
      <c r="AW352" s="13"/>
      <c r="AX352" s="13"/>
      <c r="AY352" s="13"/>
      <c r="AZ352" s="13"/>
      <c r="BA352" s="13"/>
      <c r="BB352" s="13"/>
      <c r="BC352" s="13"/>
      <c r="BD352" s="13"/>
      <c r="BE352" s="13"/>
      <c r="BF352" s="13"/>
      <c r="BG352" s="13"/>
      <c r="BH352" s="13"/>
      <c r="BI352" s="13"/>
      <c r="BJ352" s="13"/>
      <c r="BK352" s="13"/>
      <c r="BL352" s="13"/>
      <c r="BM352" s="13"/>
      <c r="BN352" s="13"/>
      <c r="BO352" s="13"/>
      <c r="BP352" s="13"/>
      <c r="BQ352" s="13"/>
    </row>
    <row r="353" spans="1:69">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c r="AS353" s="13"/>
      <c r="AT353" s="13"/>
      <c r="AU353" s="13"/>
      <c r="AV353" s="13"/>
      <c r="AW353" s="13"/>
      <c r="AX353" s="13"/>
      <c r="AY353" s="13"/>
      <c r="AZ353" s="13"/>
      <c r="BA353" s="13"/>
      <c r="BB353" s="13"/>
      <c r="BC353" s="13"/>
      <c r="BD353" s="13"/>
      <c r="BE353" s="13"/>
      <c r="BF353" s="13"/>
      <c r="BG353" s="13"/>
      <c r="BH353" s="13"/>
      <c r="BI353" s="13"/>
      <c r="BJ353" s="13"/>
      <c r="BK353" s="13"/>
      <c r="BL353" s="13"/>
      <c r="BM353" s="13"/>
      <c r="BN353" s="13"/>
      <c r="BO353" s="13"/>
      <c r="BP353" s="13"/>
      <c r="BQ353" s="13"/>
    </row>
    <row r="354" spans="1:69">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c r="AS354" s="13"/>
      <c r="AT354" s="13"/>
      <c r="AU354" s="13"/>
      <c r="AV354" s="13"/>
      <c r="AW354" s="13"/>
      <c r="AX354" s="13"/>
      <c r="AY354" s="13"/>
      <c r="AZ354" s="13"/>
      <c r="BA354" s="13"/>
      <c r="BB354" s="13"/>
      <c r="BC354" s="13"/>
      <c r="BD354" s="13"/>
      <c r="BE354" s="13"/>
      <c r="BF354" s="13"/>
      <c r="BG354" s="13"/>
      <c r="BH354" s="13"/>
      <c r="BI354" s="13"/>
      <c r="BJ354" s="13"/>
      <c r="BK354" s="13"/>
      <c r="BL354" s="13"/>
      <c r="BM354" s="13"/>
      <c r="BN354" s="13"/>
      <c r="BO354" s="13"/>
      <c r="BP354" s="13"/>
      <c r="BQ354" s="13"/>
    </row>
    <row r="355" spans="1:69">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c r="AX355" s="13"/>
      <c r="AY355" s="13"/>
      <c r="AZ355" s="13"/>
      <c r="BA355" s="13"/>
      <c r="BB355" s="13"/>
      <c r="BC355" s="13"/>
      <c r="BD355" s="13"/>
      <c r="BE355" s="13"/>
      <c r="BF355" s="13"/>
      <c r="BG355" s="13"/>
      <c r="BH355" s="13"/>
      <c r="BI355" s="13"/>
      <c r="BJ355" s="13"/>
      <c r="BK355" s="13"/>
      <c r="BL355" s="13"/>
      <c r="BM355" s="13"/>
      <c r="BN355" s="13"/>
      <c r="BO355" s="13"/>
      <c r="BP355" s="13"/>
      <c r="BQ355" s="13"/>
    </row>
    <row r="356" spans="1:69">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c r="BD356" s="13"/>
      <c r="BE356" s="13"/>
      <c r="BF356" s="13"/>
      <c r="BG356" s="13"/>
      <c r="BH356" s="13"/>
      <c r="BI356" s="13"/>
      <c r="BJ356" s="13"/>
      <c r="BK356" s="13"/>
      <c r="BL356" s="13"/>
      <c r="BM356" s="13"/>
      <c r="BN356" s="13"/>
      <c r="BO356" s="13"/>
      <c r="BP356" s="13"/>
      <c r="BQ356" s="13"/>
    </row>
    <row r="357" spans="1:69">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c r="AW357" s="13"/>
      <c r="AX357" s="13"/>
      <c r="AY357" s="13"/>
      <c r="AZ357" s="13"/>
      <c r="BA357" s="13"/>
      <c r="BB357" s="13"/>
      <c r="BC357" s="13"/>
      <c r="BD357" s="13"/>
      <c r="BE357" s="13"/>
      <c r="BF357" s="13"/>
      <c r="BG357" s="13"/>
      <c r="BH357" s="13"/>
      <c r="BI357" s="13"/>
      <c r="BJ357" s="13"/>
      <c r="BK357" s="13"/>
      <c r="BL357" s="13"/>
      <c r="BM357" s="13"/>
      <c r="BN357" s="13"/>
      <c r="BO357" s="13"/>
      <c r="BP357" s="13"/>
      <c r="BQ357" s="13"/>
    </row>
    <row r="358" spans="1:69">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c r="BE358" s="13"/>
      <c r="BF358" s="13"/>
      <c r="BG358" s="13"/>
      <c r="BH358" s="13"/>
      <c r="BI358" s="13"/>
      <c r="BJ358" s="13"/>
      <c r="BK358" s="13"/>
      <c r="BL358" s="13"/>
      <c r="BM358" s="13"/>
      <c r="BN358" s="13"/>
      <c r="BO358" s="13"/>
      <c r="BP358" s="13"/>
      <c r="BQ358" s="13"/>
    </row>
    <row r="359" spans="1:69">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c r="AS359" s="13"/>
      <c r="AT359" s="13"/>
      <c r="AU359" s="13"/>
      <c r="AV359" s="13"/>
      <c r="AW359" s="13"/>
      <c r="AX359" s="13"/>
      <c r="AY359" s="13"/>
      <c r="AZ359" s="13"/>
      <c r="BA359" s="13"/>
      <c r="BB359" s="13"/>
      <c r="BC359" s="13"/>
      <c r="BD359" s="13"/>
      <c r="BE359" s="13"/>
      <c r="BF359" s="13"/>
      <c r="BG359" s="13"/>
      <c r="BH359" s="13"/>
      <c r="BI359" s="13"/>
      <c r="BJ359" s="13"/>
      <c r="BK359" s="13"/>
      <c r="BL359" s="13"/>
      <c r="BM359" s="13"/>
      <c r="BN359" s="13"/>
      <c r="BO359" s="13"/>
      <c r="BP359" s="13"/>
      <c r="BQ359" s="13"/>
    </row>
    <row r="360" spans="1:69">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c r="AS360" s="13"/>
      <c r="AT360" s="13"/>
      <c r="AU360" s="13"/>
      <c r="AV360" s="13"/>
      <c r="AW360" s="13"/>
      <c r="AX360" s="13"/>
      <c r="AY360" s="13"/>
      <c r="AZ360" s="13"/>
      <c r="BA360" s="13"/>
      <c r="BB360" s="13"/>
      <c r="BC360" s="13"/>
      <c r="BD360" s="13"/>
      <c r="BE360" s="13"/>
      <c r="BF360" s="13"/>
      <c r="BG360" s="13"/>
      <c r="BH360" s="13"/>
      <c r="BI360" s="13"/>
      <c r="BJ360" s="13"/>
      <c r="BK360" s="13"/>
      <c r="BL360" s="13"/>
      <c r="BM360" s="13"/>
      <c r="BN360" s="13"/>
      <c r="BO360" s="13"/>
      <c r="BP360" s="13"/>
      <c r="BQ360" s="13"/>
    </row>
  </sheetData>
  <mergeCells count="130">
    <mergeCell ref="B74:BI74"/>
    <mergeCell ref="BJ14:BJ15"/>
    <mergeCell ref="BK14:BK15"/>
    <mergeCell ref="BL14:BL15"/>
    <mergeCell ref="BM14:BM15"/>
    <mergeCell ref="B71:BQ71"/>
    <mergeCell ref="B72:BQ72"/>
    <mergeCell ref="BJ13:BK13"/>
    <mergeCell ref="BL13:BM13"/>
    <mergeCell ref="BO13:BO15"/>
    <mergeCell ref="BP13:BP15"/>
    <mergeCell ref="M14:M15"/>
    <mergeCell ref="N14:O14"/>
    <mergeCell ref="AR14:AR15"/>
    <mergeCell ref="AS14:AS15"/>
    <mergeCell ref="AT14:AT15"/>
    <mergeCell ref="AU14:AU15"/>
    <mergeCell ref="AR13:AS13"/>
    <mergeCell ref="AT13:AU13"/>
    <mergeCell ref="AW13:AW15"/>
    <mergeCell ref="AX13:AX15"/>
    <mergeCell ref="BA13:BB13"/>
    <mergeCell ref="BC13:BD13"/>
    <mergeCell ref="BA14:BA15"/>
    <mergeCell ref="AQ12:AQ15"/>
    <mergeCell ref="AR12:AU12"/>
    <mergeCell ref="AV12:AV15"/>
    <mergeCell ref="BB14:BB15"/>
    <mergeCell ref="BC14:BC15"/>
    <mergeCell ref="BD14:BD15"/>
    <mergeCell ref="AK13:AK15"/>
    <mergeCell ref="AL13:AL15"/>
    <mergeCell ref="AN13:AN15"/>
    <mergeCell ref="AO13:AO15"/>
    <mergeCell ref="J13:J15"/>
    <mergeCell ref="K13:K15"/>
    <mergeCell ref="L13:L15"/>
    <mergeCell ref="M13:O13"/>
    <mergeCell ref="R13:R15"/>
    <mergeCell ref="S13:S15"/>
    <mergeCell ref="U13:U15"/>
    <mergeCell ref="AW12:AX12"/>
    <mergeCell ref="AZ12:AZ15"/>
    <mergeCell ref="V13:V15"/>
    <mergeCell ref="Y13:Y15"/>
    <mergeCell ref="Z13:Z15"/>
    <mergeCell ref="AB13:AB15"/>
    <mergeCell ref="AC13:AC15"/>
    <mergeCell ref="AF13:AF15"/>
    <mergeCell ref="U12:V12"/>
    <mergeCell ref="X12:X15"/>
    <mergeCell ref="Y12:Z12"/>
    <mergeCell ref="AA12:AA15"/>
    <mergeCell ref="AB12:AC12"/>
    <mergeCell ref="AE12:AE15"/>
    <mergeCell ref="AF12:AG12"/>
    <mergeCell ref="AG13:AG15"/>
    <mergeCell ref="AK12:AL12"/>
    <mergeCell ref="AZ10:BG10"/>
    <mergeCell ref="BH10:BH15"/>
    <mergeCell ref="BI10:BP10"/>
    <mergeCell ref="AJ10:AO10"/>
    <mergeCell ref="AP10:AP15"/>
    <mergeCell ref="AQ10:AX10"/>
    <mergeCell ref="AY10:AY15"/>
    <mergeCell ref="AJ11:AL11"/>
    <mergeCell ref="AM11:AO11"/>
    <mergeCell ref="AQ11:AU11"/>
    <mergeCell ref="AJ12:AJ15"/>
    <mergeCell ref="AV11:AX11"/>
    <mergeCell ref="AZ11:BD11"/>
    <mergeCell ref="BJ12:BM12"/>
    <mergeCell ref="BN12:BN15"/>
    <mergeCell ref="BO12:BP12"/>
    <mergeCell ref="BA12:BD12"/>
    <mergeCell ref="BE12:BE15"/>
    <mergeCell ref="BF12:BG12"/>
    <mergeCell ref="BI12:BI15"/>
    <mergeCell ref="BF13:BF15"/>
    <mergeCell ref="BG13:BG15"/>
    <mergeCell ref="AM12:AM15"/>
    <mergeCell ref="AN12:AO12"/>
    <mergeCell ref="X10:AC10"/>
    <mergeCell ref="AD10:AD15"/>
    <mergeCell ref="W8:AC9"/>
    <mergeCell ref="AD8:AH9"/>
    <mergeCell ref="AI8:AO9"/>
    <mergeCell ref="AP8:AX9"/>
    <mergeCell ref="AY8:BG9"/>
    <mergeCell ref="BH8:BP9"/>
    <mergeCell ref="J11:K12"/>
    <mergeCell ref="L11:O12"/>
    <mergeCell ref="Q11:S11"/>
    <mergeCell ref="T11:V11"/>
    <mergeCell ref="X11:Z11"/>
    <mergeCell ref="AA11:AC11"/>
    <mergeCell ref="AE11:AG11"/>
    <mergeCell ref="AE10:AH10"/>
    <mergeCell ref="AI10:AI15"/>
    <mergeCell ref="AH11:AH15"/>
    <mergeCell ref="BE11:BG11"/>
    <mergeCell ref="BI11:BM11"/>
    <mergeCell ref="BN11:BP11"/>
    <mergeCell ref="Q12:Q15"/>
    <mergeCell ref="R12:S12"/>
    <mergeCell ref="T12:T15"/>
    <mergeCell ref="A1:AF1"/>
    <mergeCell ref="A2:AF2"/>
    <mergeCell ref="A3:BQ3"/>
    <mergeCell ref="A4:BQ4"/>
    <mergeCell ref="A5:BQ5"/>
    <mergeCell ref="A6:BQ6"/>
    <mergeCell ref="A7:BQ7"/>
    <mergeCell ref="A8:A15"/>
    <mergeCell ref="B8:B15"/>
    <mergeCell ref="C8:C15"/>
    <mergeCell ref="D8:D15"/>
    <mergeCell ref="E8:E15"/>
    <mergeCell ref="F8:F15"/>
    <mergeCell ref="G8:G15"/>
    <mergeCell ref="H8:O8"/>
    <mergeCell ref="P8:V9"/>
    <mergeCell ref="BQ8:BQ15"/>
    <mergeCell ref="H9:H15"/>
    <mergeCell ref="I9:O9"/>
    <mergeCell ref="I10:I15"/>
    <mergeCell ref="J10:O10"/>
    <mergeCell ref="P10:P15"/>
    <mergeCell ref="Q10:V10"/>
    <mergeCell ref="W10:W15"/>
  </mergeCells>
  <pageMargins left="0.23622047244094491" right="0.19685039370078741" top="0.62992125984251968" bottom="0.74803149606299213" header="0.23622047244094491" footer="0.35433070866141736"/>
  <pageSetup paperSize="8" scale="37" fitToHeight="0" orientation="landscape" r:id="rId1"/>
  <headerFooter differentFirst="1" alignWithMargins="0">
    <oddFooter>&amp;R&amp;14&amp;P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Z19"/>
  <sheetViews>
    <sheetView zoomScale="85" zoomScaleNormal="85" workbookViewId="0">
      <selection activeCell="A2" sqref="A2:H2"/>
    </sheetView>
  </sheetViews>
  <sheetFormatPr defaultColWidth="9.140625" defaultRowHeight="18.75"/>
  <cols>
    <col min="1" max="1" width="6" style="7" customWidth="1"/>
    <col min="2" max="2" width="41" style="78" customWidth="1"/>
    <col min="3" max="4" width="11.42578125" style="1" customWidth="1"/>
    <col min="5" max="5" width="13" style="1" customWidth="1"/>
    <col min="6" max="7" width="11.42578125" style="1" customWidth="1"/>
    <col min="8" max="8" width="13" style="1" customWidth="1"/>
    <col min="9" max="10" width="11.42578125" style="1" customWidth="1"/>
    <col min="11" max="11" width="13" style="1" customWidth="1"/>
    <col min="12" max="13" width="11.42578125" style="1" customWidth="1"/>
    <col min="14" max="14" width="13" style="1" customWidth="1"/>
    <col min="15" max="16" width="11.42578125" style="1" customWidth="1"/>
    <col min="17" max="17" width="13" style="1" customWidth="1"/>
    <col min="18" max="19" width="11.42578125" style="1" customWidth="1"/>
    <col min="20" max="20" width="13" style="1" customWidth="1"/>
    <col min="21" max="21" width="11.42578125" style="1" customWidth="1"/>
    <col min="22" max="16384" width="9.140625" style="1"/>
  </cols>
  <sheetData>
    <row r="1" spans="1:26" ht="33" customHeight="1">
      <c r="A1" s="1728" t="s">
        <v>103</v>
      </c>
      <c r="B1" s="1728"/>
      <c r="C1" s="1728"/>
      <c r="D1" s="1728"/>
      <c r="E1" s="1728"/>
      <c r="F1" s="1728"/>
      <c r="G1" s="1728"/>
      <c r="H1" s="1728"/>
      <c r="I1" s="13"/>
      <c r="J1" s="13"/>
      <c r="K1" s="13"/>
      <c r="L1" s="13"/>
      <c r="M1" s="1764" t="s">
        <v>0</v>
      </c>
      <c r="N1" s="1764"/>
      <c r="O1" s="1764"/>
      <c r="P1" s="1764"/>
      <c r="Q1" s="1764"/>
      <c r="R1" s="1764"/>
      <c r="S1" s="1764"/>
      <c r="T1" s="1764"/>
      <c r="U1" s="1764"/>
      <c r="V1" s="2"/>
    </row>
    <row r="2" spans="1:26" ht="31.5" customHeight="1">
      <c r="A2" s="1729" t="s">
        <v>1</v>
      </c>
      <c r="B2" s="1729"/>
      <c r="C2" s="1729"/>
      <c r="D2" s="1729"/>
      <c r="E2" s="1729"/>
      <c r="F2" s="1729"/>
      <c r="G2" s="1729"/>
      <c r="H2" s="1729"/>
      <c r="I2" s="13"/>
      <c r="J2" s="13"/>
      <c r="K2" s="13"/>
      <c r="L2" s="13"/>
      <c r="M2" s="1765" t="s">
        <v>50</v>
      </c>
      <c r="N2" s="1765"/>
      <c r="O2" s="1765"/>
      <c r="P2" s="1765"/>
      <c r="Q2" s="1765"/>
      <c r="R2" s="1765"/>
      <c r="S2" s="1765"/>
      <c r="T2" s="1765"/>
      <c r="U2" s="1765"/>
      <c r="V2" s="4"/>
    </row>
    <row r="3" spans="1:26" s="70" customFormat="1" ht="27.75" customHeight="1">
      <c r="A3" s="1766" t="s">
        <v>51</v>
      </c>
      <c r="B3" s="1766"/>
      <c r="C3" s="1766"/>
      <c r="D3" s="1766"/>
      <c r="E3" s="1766"/>
      <c r="F3" s="1766"/>
      <c r="G3" s="1766"/>
      <c r="H3" s="1766"/>
      <c r="I3" s="1766"/>
      <c r="J3" s="1766"/>
      <c r="K3" s="1766"/>
      <c r="L3" s="1766"/>
      <c r="M3" s="1766"/>
      <c r="N3" s="1766"/>
      <c r="O3" s="1766"/>
      <c r="P3" s="1766"/>
      <c r="Q3" s="1766"/>
      <c r="R3" s="1766"/>
      <c r="S3" s="1766"/>
      <c r="T3" s="1766"/>
      <c r="U3" s="1766"/>
    </row>
    <row r="4" spans="1:26" s="71" customFormat="1" ht="31.9" customHeight="1">
      <c r="A4" s="1763" t="s">
        <v>104</v>
      </c>
      <c r="B4" s="1763"/>
      <c r="C4" s="1763"/>
      <c r="D4" s="1763"/>
      <c r="E4" s="1763"/>
      <c r="F4" s="1763"/>
      <c r="G4" s="1763"/>
      <c r="H4" s="1763"/>
      <c r="I4" s="1763"/>
      <c r="J4" s="1763"/>
      <c r="K4" s="1763"/>
      <c r="L4" s="1763"/>
      <c r="M4" s="1763"/>
      <c r="N4" s="1763"/>
      <c r="O4" s="1763"/>
      <c r="P4" s="1763"/>
      <c r="Q4" s="1763"/>
      <c r="R4" s="1763"/>
      <c r="S4" s="1763"/>
      <c r="T4" s="1763"/>
      <c r="U4" s="1763"/>
    </row>
    <row r="5" spans="1:26" s="70" customFormat="1" ht="24.75" customHeight="1">
      <c r="A5" s="1767" t="s">
        <v>3</v>
      </c>
      <c r="B5" s="1767"/>
      <c r="C5" s="1767"/>
      <c r="D5" s="1767"/>
      <c r="E5" s="1767"/>
      <c r="F5" s="1767"/>
      <c r="G5" s="1767"/>
      <c r="H5" s="1767"/>
      <c r="I5" s="1767"/>
      <c r="J5" s="1767"/>
      <c r="K5" s="1767"/>
      <c r="L5" s="1767"/>
      <c r="M5" s="1767"/>
      <c r="N5" s="1767"/>
      <c r="O5" s="1767"/>
      <c r="P5" s="1767"/>
      <c r="Q5" s="1767"/>
      <c r="R5" s="1767"/>
      <c r="S5" s="1767"/>
      <c r="T5" s="1767"/>
      <c r="U5" s="1767"/>
    </row>
    <row r="6" spans="1:26" s="7" customFormat="1" ht="31.9" customHeight="1">
      <c r="A6" s="1768" t="s">
        <v>4</v>
      </c>
      <c r="B6" s="1768" t="s">
        <v>105</v>
      </c>
      <c r="C6" s="1771" t="s">
        <v>5</v>
      </c>
      <c r="D6" s="1772"/>
      <c r="E6" s="1772"/>
      <c r="F6" s="1772"/>
      <c r="G6" s="1772"/>
      <c r="H6" s="1772"/>
      <c r="I6" s="1772"/>
      <c r="J6" s="1772"/>
      <c r="K6" s="1773"/>
      <c r="L6" s="1774" t="s">
        <v>106</v>
      </c>
      <c r="M6" s="1775"/>
      <c r="N6" s="1776"/>
      <c r="O6" s="1774" t="s">
        <v>6</v>
      </c>
      <c r="P6" s="1775"/>
      <c r="Q6" s="1776"/>
      <c r="R6" s="1774" t="s">
        <v>107</v>
      </c>
      <c r="S6" s="1775"/>
      <c r="T6" s="1776"/>
      <c r="U6" s="1768" t="s">
        <v>7</v>
      </c>
      <c r="W6" s="72"/>
      <c r="X6" s="6"/>
      <c r="Y6" s="6"/>
      <c r="Z6" s="6"/>
    </row>
    <row r="7" spans="1:26" s="7" customFormat="1" ht="75" customHeight="1">
      <c r="A7" s="1769"/>
      <c r="B7" s="1769"/>
      <c r="C7" s="1771" t="s">
        <v>8</v>
      </c>
      <c r="D7" s="1772"/>
      <c r="E7" s="1773"/>
      <c r="F7" s="1771" t="s">
        <v>108</v>
      </c>
      <c r="G7" s="1772"/>
      <c r="H7" s="1773"/>
      <c r="I7" s="1771" t="s">
        <v>109</v>
      </c>
      <c r="J7" s="1772"/>
      <c r="K7" s="1773"/>
      <c r="L7" s="1777"/>
      <c r="M7" s="1778"/>
      <c r="N7" s="1779"/>
      <c r="O7" s="1777"/>
      <c r="P7" s="1778"/>
      <c r="Q7" s="1779"/>
      <c r="R7" s="1777"/>
      <c r="S7" s="1778"/>
      <c r="T7" s="1779"/>
      <c r="U7" s="1769"/>
      <c r="W7" s="72"/>
      <c r="X7" s="6"/>
      <c r="Y7" s="6"/>
      <c r="Z7" s="6"/>
    </row>
    <row r="8" spans="1:26" s="7" customFormat="1" ht="28.9" customHeight="1">
      <c r="A8" s="1769"/>
      <c r="B8" s="1769"/>
      <c r="C8" s="1768" t="s">
        <v>9</v>
      </c>
      <c r="D8" s="1780" t="s">
        <v>14</v>
      </c>
      <c r="E8" s="1781"/>
      <c r="F8" s="1768" t="s">
        <v>9</v>
      </c>
      <c r="G8" s="1780" t="s">
        <v>14</v>
      </c>
      <c r="H8" s="1781"/>
      <c r="I8" s="1768" t="s">
        <v>9</v>
      </c>
      <c r="J8" s="1780" t="s">
        <v>14</v>
      </c>
      <c r="K8" s="1781"/>
      <c r="L8" s="1768" t="s">
        <v>9</v>
      </c>
      <c r="M8" s="1780" t="s">
        <v>14</v>
      </c>
      <c r="N8" s="1781"/>
      <c r="O8" s="1768" t="s">
        <v>9</v>
      </c>
      <c r="P8" s="1780" t="s">
        <v>14</v>
      </c>
      <c r="Q8" s="1781"/>
      <c r="R8" s="1768" t="s">
        <v>9</v>
      </c>
      <c r="S8" s="1780" t="s">
        <v>14</v>
      </c>
      <c r="T8" s="1781"/>
      <c r="U8" s="1769"/>
      <c r="W8" s="72"/>
      <c r="X8" s="6"/>
      <c r="Y8" s="73"/>
      <c r="Z8" s="73"/>
    </row>
    <row r="9" spans="1:26" s="7" customFormat="1" ht="52.15" customHeight="1">
      <c r="A9" s="1770"/>
      <c r="B9" s="1770"/>
      <c r="C9" s="1770"/>
      <c r="D9" s="8" t="s">
        <v>70</v>
      </c>
      <c r="E9" s="8" t="s">
        <v>110</v>
      </c>
      <c r="F9" s="1770"/>
      <c r="G9" s="8" t="s">
        <v>70</v>
      </c>
      <c r="H9" s="8" t="s">
        <v>110</v>
      </c>
      <c r="I9" s="1770"/>
      <c r="J9" s="8" t="s">
        <v>70</v>
      </c>
      <c r="K9" s="8" t="s">
        <v>110</v>
      </c>
      <c r="L9" s="1770"/>
      <c r="M9" s="8" t="s">
        <v>70</v>
      </c>
      <c r="N9" s="8" t="s">
        <v>110</v>
      </c>
      <c r="O9" s="1770"/>
      <c r="P9" s="8" t="s">
        <v>70</v>
      </c>
      <c r="Q9" s="8" t="s">
        <v>110</v>
      </c>
      <c r="R9" s="1770"/>
      <c r="S9" s="8" t="s">
        <v>70</v>
      </c>
      <c r="T9" s="8" t="s">
        <v>110</v>
      </c>
      <c r="U9" s="1770"/>
      <c r="W9" s="72"/>
      <c r="X9" s="6"/>
      <c r="Y9" s="72"/>
      <c r="Z9" s="72"/>
    </row>
    <row r="10" spans="1:26" s="7" customFormat="1" ht="19.149999999999999" customHeight="1">
      <c r="A10" s="8">
        <v>1</v>
      </c>
      <c r="B10" s="8">
        <v>2</v>
      </c>
      <c r="C10" s="8">
        <v>3</v>
      </c>
      <c r="D10" s="8">
        <v>4</v>
      </c>
      <c r="E10" s="8">
        <v>5</v>
      </c>
      <c r="F10" s="8">
        <v>6</v>
      </c>
      <c r="G10" s="8">
        <v>7</v>
      </c>
      <c r="H10" s="8">
        <v>8</v>
      </c>
      <c r="I10" s="8">
        <v>9</v>
      </c>
      <c r="J10" s="8">
        <v>10</v>
      </c>
      <c r="K10" s="8">
        <v>11</v>
      </c>
      <c r="L10" s="8">
        <v>12</v>
      </c>
      <c r="M10" s="8">
        <v>13</v>
      </c>
      <c r="N10" s="8">
        <v>14</v>
      </c>
      <c r="O10" s="8">
        <v>15</v>
      </c>
      <c r="P10" s="8">
        <v>16</v>
      </c>
      <c r="Q10" s="8">
        <v>17</v>
      </c>
      <c r="R10" s="8">
        <v>18</v>
      </c>
      <c r="S10" s="8">
        <v>19</v>
      </c>
      <c r="T10" s="8">
        <v>20</v>
      </c>
      <c r="U10" s="8">
        <v>21</v>
      </c>
      <c r="W10" s="72"/>
      <c r="X10" s="72"/>
      <c r="Y10" s="72"/>
      <c r="Z10" s="72"/>
    </row>
    <row r="11" spans="1:26" ht="36" customHeight="1">
      <c r="A11" s="8"/>
      <c r="B11" s="11" t="s">
        <v>13</v>
      </c>
      <c r="C11" s="9"/>
      <c r="D11" s="9"/>
      <c r="E11" s="9"/>
      <c r="F11" s="9"/>
      <c r="G11" s="9"/>
      <c r="H11" s="9"/>
      <c r="I11" s="9"/>
      <c r="J11" s="9"/>
      <c r="K11" s="9"/>
      <c r="L11" s="9"/>
      <c r="M11" s="9"/>
      <c r="N11" s="9"/>
      <c r="O11" s="9"/>
      <c r="P11" s="9"/>
      <c r="Q11" s="9"/>
      <c r="R11" s="9"/>
      <c r="S11" s="9"/>
      <c r="T11" s="9"/>
      <c r="U11" s="10"/>
      <c r="W11" s="6"/>
      <c r="X11" s="6"/>
      <c r="Y11" s="6"/>
      <c r="Z11" s="6"/>
    </row>
    <row r="12" spans="1:26" ht="39" customHeight="1">
      <c r="A12" s="9">
        <v>1</v>
      </c>
      <c r="B12" s="74" t="s">
        <v>111</v>
      </c>
      <c r="C12" s="9"/>
      <c r="D12" s="9"/>
      <c r="E12" s="9"/>
      <c r="F12" s="9"/>
      <c r="G12" s="9"/>
      <c r="H12" s="9"/>
      <c r="I12" s="9"/>
      <c r="J12" s="9"/>
      <c r="K12" s="9"/>
      <c r="L12" s="9"/>
      <c r="M12" s="9"/>
      <c r="N12" s="9"/>
      <c r="O12" s="9"/>
      <c r="P12" s="9"/>
      <c r="Q12" s="9"/>
      <c r="R12" s="9"/>
      <c r="S12" s="9"/>
      <c r="T12" s="9"/>
      <c r="U12" s="10"/>
      <c r="W12" s="6"/>
      <c r="X12" s="6"/>
      <c r="Y12" s="6"/>
      <c r="Z12" s="6"/>
    </row>
    <row r="13" spans="1:26" s="5" customFormat="1" ht="39" customHeight="1">
      <c r="A13" s="9">
        <v>2</v>
      </c>
      <c r="B13" s="74" t="s">
        <v>111</v>
      </c>
      <c r="C13" s="9"/>
      <c r="D13" s="9"/>
      <c r="E13" s="9"/>
      <c r="F13" s="9"/>
      <c r="G13" s="9"/>
      <c r="H13" s="9"/>
      <c r="I13" s="9"/>
      <c r="J13" s="9"/>
      <c r="K13" s="9"/>
      <c r="L13" s="9"/>
      <c r="M13" s="9"/>
      <c r="N13" s="9"/>
      <c r="O13" s="9"/>
      <c r="P13" s="9"/>
      <c r="Q13" s="9"/>
      <c r="R13" s="9"/>
      <c r="S13" s="9"/>
      <c r="T13" s="9"/>
      <c r="U13" s="12"/>
      <c r="W13" s="75"/>
      <c r="X13" s="75"/>
      <c r="Y13" s="75"/>
      <c r="Z13" s="75"/>
    </row>
    <row r="14" spans="1:26" s="5" customFormat="1" ht="39" customHeight="1">
      <c r="A14" s="9" t="s">
        <v>41</v>
      </c>
      <c r="B14" s="11" t="s">
        <v>41</v>
      </c>
      <c r="C14" s="9"/>
      <c r="D14" s="9"/>
      <c r="E14" s="9"/>
      <c r="F14" s="9"/>
      <c r="G14" s="9"/>
      <c r="H14" s="9"/>
      <c r="I14" s="9"/>
      <c r="J14" s="9"/>
      <c r="K14" s="9"/>
      <c r="L14" s="9"/>
      <c r="M14" s="9"/>
      <c r="N14" s="9"/>
      <c r="O14" s="9"/>
      <c r="P14" s="9"/>
      <c r="Q14" s="9"/>
      <c r="R14" s="9"/>
      <c r="S14" s="9"/>
      <c r="T14" s="9"/>
      <c r="U14" s="12"/>
      <c r="W14" s="75"/>
      <c r="X14" s="75"/>
      <c r="Y14" s="75"/>
      <c r="Z14" s="75"/>
    </row>
    <row r="15" spans="1:26" ht="18.399999999999999" customHeight="1">
      <c r="A15" s="8"/>
      <c r="B15" s="76"/>
      <c r="C15" s="10"/>
      <c r="D15" s="10"/>
      <c r="E15" s="10"/>
      <c r="F15" s="10"/>
      <c r="G15" s="10"/>
      <c r="H15" s="10"/>
      <c r="I15" s="10"/>
      <c r="J15" s="10"/>
      <c r="K15" s="10"/>
      <c r="L15" s="10"/>
      <c r="M15" s="10"/>
      <c r="N15" s="10"/>
      <c r="O15" s="10"/>
      <c r="P15" s="10"/>
      <c r="Q15" s="10"/>
      <c r="R15" s="10"/>
      <c r="S15" s="10"/>
      <c r="T15" s="10"/>
      <c r="U15" s="10"/>
    </row>
    <row r="17" spans="2:21">
      <c r="B17" s="77" t="s">
        <v>19</v>
      </c>
      <c r="C17" s="77"/>
      <c r="D17" s="77"/>
      <c r="E17" s="77"/>
      <c r="F17" s="77"/>
      <c r="G17" s="77"/>
      <c r="H17" s="77"/>
      <c r="I17" s="77"/>
      <c r="J17" s="77"/>
      <c r="K17" s="77"/>
      <c r="L17" s="77"/>
      <c r="M17" s="77"/>
      <c r="N17" s="77"/>
      <c r="O17" s="77"/>
      <c r="P17" s="77"/>
      <c r="Q17" s="77"/>
      <c r="R17" s="77"/>
      <c r="S17" s="77"/>
      <c r="T17" s="77"/>
    </row>
    <row r="18" spans="2:21">
      <c r="B18" s="1782" t="s">
        <v>20</v>
      </c>
      <c r="C18" s="1782"/>
      <c r="D18" s="1782"/>
      <c r="E18" s="1782"/>
      <c r="F18" s="1782"/>
      <c r="G18" s="1782"/>
      <c r="H18" s="1782"/>
      <c r="I18" s="1782"/>
      <c r="J18" s="1782"/>
      <c r="K18" s="1782"/>
      <c r="L18" s="1782"/>
      <c r="M18" s="1782"/>
      <c r="N18" s="1782"/>
      <c r="O18" s="1782"/>
      <c r="P18" s="1782"/>
      <c r="Q18" s="1782"/>
      <c r="R18" s="1782"/>
      <c r="S18" s="1782"/>
      <c r="T18" s="1782"/>
    </row>
    <row r="19" spans="2:21">
      <c r="B19" s="1759" t="s">
        <v>21</v>
      </c>
      <c r="C19" s="1759"/>
      <c r="D19" s="1759"/>
      <c r="E19" s="1759"/>
      <c r="F19" s="1759"/>
      <c r="G19" s="1759"/>
      <c r="H19" s="1759"/>
      <c r="I19" s="1759"/>
      <c r="J19" s="1759"/>
      <c r="K19" s="1759"/>
      <c r="L19" s="1759"/>
      <c r="M19" s="1759"/>
      <c r="N19" s="1759"/>
      <c r="O19" s="1759"/>
      <c r="P19" s="1759"/>
      <c r="Q19" s="1759"/>
      <c r="R19" s="1759"/>
      <c r="S19" s="1759"/>
      <c r="T19" s="1759"/>
      <c r="U19" s="1759"/>
    </row>
  </sheetData>
  <mergeCells count="31">
    <mergeCell ref="J8:K8"/>
    <mergeCell ref="B18:T18"/>
    <mergeCell ref="B19:U19"/>
    <mergeCell ref="L8:L9"/>
    <mergeCell ref="M8:N8"/>
    <mergeCell ref="O8:O9"/>
    <mergeCell ref="P8:Q8"/>
    <mergeCell ref="R8:R9"/>
    <mergeCell ref="S8:T8"/>
    <mergeCell ref="A5:U5"/>
    <mergeCell ref="A6:A9"/>
    <mergeCell ref="B6:B9"/>
    <mergeCell ref="C6:K6"/>
    <mergeCell ref="L6:N7"/>
    <mergeCell ref="O6:Q7"/>
    <mergeCell ref="R6:T7"/>
    <mergeCell ref="U6:U9"/>
    <mergeCell ref="C7:E7"/>
    <mergeCell ref="F7:H7"/>
    <mergeCell ref="I7:K7"/>
    <mergeCell ref="C8:C9"/>
    <mergeCell ref="D8:E8"/>
    <mergeCell ref="F8:F9"/>
    <mergeCell ref="G8:H8"/>
    <mergeCell ref="I8:I9"/>
    <mergeCell ref="A4:U4"/>
    <mergeCell ref="A1:H1"/>
    <mergeCell ref="M1:U1"/>
    <mergeCell ref="A2:H2"/>
    <mergeCell ref="M2:U2"/>
    <mergeCell ref="A3:U3"/>
  </mergeCells>
  <printOptions horizontalCentered="1"/>
  <pageMargins left="0.35433070866141736" right="0.39370078740157483" top="0.74803149606299213" bottom="0.86614173228346458" header="0.51181102362204722" footer="0.51181102362204722"/>
  <pageSetup paperSize="9" scale="50" fitToHeight="0" orientation="landscape" r:id="rId1"/>
  <headerFooter differentFirst="1" alignWithMargins="0">
    <oddFooter>&amp;R&amp;P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AW371"/>
  <sheetViews>
    <sheetView zoomScale="85" zoomScaleNormal="85" workbookViewId="0">
      <selection sqref="A1:N1"/>
    </sheetView>
  </sheetViews>
  <sheetFormatPr defaultColWidth="9.140625" defaultRowHeight="12.75"/>
  <cols>
    <col min="1" max="1" width="5.140625" style="124" customWidth="1"/>
    <col min="2" max="2" width="33.42578125" style="125" customWidth="1"/>
    <col min="3" max="4" width="7.42578125" style="126" customWidth="1"/>
    <col min="5" max="5" width="8.42578125" style="126" customWidth="1"/>
    <col min="6" max="6" width="10.140625" style="79" customWidth="1"/>
    <col min="7" max="7" width="11" style="79" customWidth="1"/>
    <col min="8" max="8" width="8.7109375" style="79" customWidth="1"/>
    <col min="9" max="9" width="10.140625" style="79" customWidth="1"/>
    <col min="10" max="10" width="11" style="79" customWidth="1"/>
    <col min="11" max="14" width="8.7109375" style="79" customWidth="1"/>
    <col min="15" max="16" width="9.42578125" style="79" hidden="1" customWidth="1"/>
    <col min="17" max="17" width="10.7109375" style="79" hidden="1" customWidth="1"/>
    <col min="18" max="18" width="10.42578125" style="79" hidden="1" customWidth="1"/>
    <col min="19" max="30" width="10.42578125" style="79" customWidth="1"/>
    <col min="31" max="31" width="9.42578125" style="79" customWidth="1"/>
    <col min="32" max="32" width="11" style="79" customWidth="1"/>
    <col min="33" max="33" width="11.42578125" style="79" customWidth="1"/>
    <col min="34" max="34" width="9.42578125" style="79" hidden="1" customWidth="1"/>
    <col min="35" max="35" width="11" style="79" hidden="1" customWidth="1"/>
    <col min="36" max="36" width="11.42578125" style="79" hidden="1" customWidth="1"/>
    <col min="37" max="37" width="11.42578125" style="79" customWidth="1"/>
    <col min="38" max="16384" width="9.140625" style="80"/>
  </cols>
  <sheetData>
    <row r="1" spans="1:43" ht="25.5" customHeight="1">
      <c r="A1" s="1728" t="s">
        <v>112</v>
      </c>
      <c r="B1" s="1728"/>
      <c r="C1" s="1728"/>
      <c r="D1" s="1728"/>
      <c r="E1" s="1728"/>
      <c r="F1" s="1728"/>
      <c r="G1" s="1728"/>
      <c r="H1" s="1728"/>
      <c r="I1" s="1728"/>
      <c r="J1" s="1728"/>
      <c r="K1" s="1728"/>
      <c r="L1" s="1728"/>
      <c r="M1" s="1728"/>
      <c r="N1" s="1728"/>
      <c r="AA1" s="1764" t="s">
        <v>0</v>
      </c>
      <c r="AB1" s="1764"/>
      <c r="AC1" s="1764"/>
      <c r="AD1" s="1764"/>
      <c r="AE1" s="1764"/>
      <c r="AF1" s="1764"/>
      <c r="AG1" s="1764"/>
      <c r="AH1" s="1764"/>
      <c r="AI1" s="1764"/>
      <c r="AJ1" s="1764"/>
      <c r="AK1" s="1764"/>
    </row>
    <row r="2" spans="1:43" ht="31.5" customHeight="1">
      <c r="A2" s="1729" t="s">
        <v>1</v>
      </c>
      <c r="B2" s="1729"/>
      <c r="C2" s="1729"/>
      <c r="D2" s="1729"/>
      <c r="E2" s="1729"/>
      <c r="F2" s="1729"/>
      <c r="G2" s="1729"/>
      <c r="H2" s="1729"/>
      <c r="I2" s="1729"/>
      <c r="J2" s="1729"/>
      <c r="K2" s="1729"/>
      <c r="L2" s="1729"/>
      <c r="M2" s="1729"/>
      <c r="N2" s="1729"/>
      <c r="AA2" s="1765" t="s">
        <v>50</v>
      </c>
      <c r="AB2" s="1765"/>
      <c r="AC2" s="1765"/>
      <c r="AD2" s="1765"/>
      <c r="AE2" s="1765"/>
      <c r="AF2" s="1765"/>
      <c r="AG2" s="1765"/>
      <c r="AH2" s="1765"/>
      <c r="AI2" s="1765"/>
      <c r="AJ2" s="1765"/>
      <c r="AK2" s="1765"/>
    </row>
    <row r="3" spans="1:43" s="82" customFormat="1" ht="22.5" customHeight="1">
      <c r="A3" s="1783" t="s">
        <v>51</v>
      </c>
      <c r="B3" s="1783"/>
      <c r="C3" s="1783"/>
      <c r="D3" s="1783"/>
      <c r="E3" s="1783"/>
      <c r="F3" s="1783"/>
      <c r="G3" s="1783"/>
      <c r="H3" s="1783"/>
      <c r="I3" s="1783"/>
      <c r="J3" s="1783"/>
      <c r="K3" s="1783"/>
      <c r="L3" s="1783"/>
      <c r="M3" s="1783"/>
      <c r="N3" s="1783"/>
      <c r="O3" s="1783"/>
      <c r="P3" s="1783"/>
      <c r="Q3" s="1783"/>
      <c r="R3" s="1783"/>
      <c r="S3" s="1783"/>
      <c r="T3" s="1783"/>
      <c r="U3" s="1783"/>
      <c r="V3" s="1783"/>
      <c r="W3" s="1783"/>
      <c r="X3" s="1783"/>
      <c r="Y3" s="1783"/>
      <c r="Z3" s="1783"/>
      <c r="AA3" s="1783"/>
      <c r="AB3" s="1783"/>
      <c r="AC3" s="1783"/>
      <c r="AD3" s="1783"/>
      <c r="AE3" s="1783"/>
      <c r="AF3" s="1783"/>
      <c r="AG3" s="1783"/>
      <c r="AH3" s="1783"/>
      <c r="AI3" s="1783"/>
      <c r="AJ3" s="1783"/>
      <c r="AK3" s="1783"/>
      <c r="AL3" s="81"/>
      <c r="AM3" s="81"/>
      <c r="AN3" s="81"/>
      <c r="AO3" s="81"/>
      <c r="AP3" s="81"/>
    </row>
    <row r="4" spans="1:43" s="83" customFormat="1" ht="31.5" customHeight="1">
      <c r="A4" s="1728" t="s">
        <v>113</v>
      </c>
      <c r="B4" s="1728"/>
      <c r="C4" s="1728"/>
      <c r="D4" s="1728"/>
      <c r="E4" s="1728"/>
      <c r="F4" s="1728"/>
      <c r="G4" s="1728"/>
      <c r="H4" s="1728"/>
      <c r="I4" s="1728"/>
      <c r="J4" s="1728"/>
      <c r="K4" s="1728"/>
      <c r="L4" s="1728"/>
      <c r="M4" s="1728"/>
      <c r="N4" s="1728"/>
      <c r="O4" s="1728"/>
      <c r="P4" s="1728"/>
      <c r="Q4" s="1728"/>
      <c r="R4" s="1728"/>
      <c r="S4" s="1728"/>
      <c r="T4" s="1728"/>
      <c r="U4" s="1728"/>
      <c r="V4" s="1728"/>
      <c r="W4" s="1728"/>
      <c r="X4" s="1728"/>
      <c r="Y4" s="1728"/>
      <c r="Z4" s="1728"/>
      <c r="AA4" s="1728"/>
      <c r="AB4" s="1728"/>
      <c r="AC4" s="1728"/>
      <c r="AD4" s="1728"/>
      <c r="AE4" s="1728"/>
      <c r="AF4" s="1728"/>
      <c r="AG4" s="1728"/>
      <c r="AH4" s="1728"/>
      <c r="AI4" s="1728"/>
      <c r="AJ4" s="1728"/>
      <c r="AK4" s="1728"/>
    </row>
    <row r="5" spans="1:43" s="87" customFormat="1" ht="28.5" customHeight="1">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5"/>
      <c r="AH5" s="85"/>
      <c r="AI5" s="85"/>
      <c r="AJ5" s="85"/>
      <c r="AK5" s="86" t="s">
        <v>3</v>
      </c>
    </row>
    <row r="6" spans="1:43" s="88" customFormat="1" ht="25.5" customHeight="1">
      <c r="A6" s="1788" t="s">
        <v>22</v>
      </c>
      <c r="B6" s="1788" t="s">
        <v>23</v>
      </c>
      <c r="C6" s="1788" t="s">
        <v>24</v>
      </c>
      <c r="D6" s="1788" t="s">
        <v>25</v>
      </c>
      <c r="E6" s="1788" t="s">
        <v>26</v>
      </c>
      <c r="F6" s="1785" t="s">
        <v>114</v>
      </c>
      <c r="G6" s="1786"/>
      <c r="H6" s="1787"/>
      <c r="I6" s="1785" t="s">
        <v>115</v>
      </c>
      <c r="J6" s="1786"/>
      <c r="K6" s="1786"/>
      <c r="L6" s="1786"/>
      <c r="M6" s="1786"/>
      <c r="N6" s="1787"/>
      <c r="O6" s="1785" t="s">
        <v>116</v>
      </c>
      <c r="P6" s="1786"/>
      <c r="Q6" s="1787"/>
      <c r="R6" s="1788"/>
      <c r="S6" s="1790" t="s">
        <v>56</v>
      </c>
      <c r="T6" s="1791"/>
      <c r="U6" s="1790" t="s">
        <v>57</v>
      </c>
      <c r="V6" s="1797"/>
      <c r="W6" s="1790" t="s">
        <v>117</v>
      </c>
      <c r="X6" s="1797"/>
      <c r="Y6" s="1791"/>
      <c r="Z6" s="1790" t="s">
        <v>118</v>
      </c>
      <c r="AA6" s="1797"/>
      <c r="AB6" s="1791"/>
      <c r="AC6" s="1790" t="s">
        <v>119</v>
      </c>
      <c r="AD6" s="1791"/>
      <c r="AE6" s="1790" t="s">
        <v>28</v>
      </c>
      <c r="AF6" s="1797"/>
      <c r="AG6" s="1791"/>
      <c r="AH6" s="1790" t="s">
        <v>120</v>
      </c>
      <c r="AI6" s="1797"/>
      <c r="AJ6" s="1791"/>
      <c r="AK6" s="1788" t="s">
        <v>7</v>
      </c>
    </row>
    <row r="7" spans="1:43" s="89" customFormat="1" ht="38.25" customHeight="1">
      <c r="A7" s="1794"/>
      <c r="B7" s="1794"/>
      <c r="C7" s="1794"/>
      <c r="D7" s="1794"/>
      <c r="E7" s="1794"/>
      <c r="F7" s="1721"/>
      <c r="G7" s="1724"/>
      <c r="H7" s="1722"/>
      <c r="I7" s="1721"/>
      <c r="J7" s="1724"/>
      <c r="K7" s="1724"/>
      <c r="L7" s="1724"/>
      <c r="M7" s="1724"/>
      <c r="N7" s="1722"/>
      <c r="O7" s="1721"/>
      <c r="P7" s="1724"/>
      <c r="Q7" s="1722"/>
      <c r="R7" s="1789"/>
      <c r="S7" s="1792"/>
      <c r="T7" s="1793"/>
      <c r="U7" s="1792"/>
      <c r="V7" s="1798"/>
      <c r="W7" s="1792"/>
      <c r="X7" s="1798"/>
      <c r="Y7" s="1793"/>
      <c r="Z7" s="1792"/>
      <c r="AA7" s="1798"/>
      <c r="AB7" s="1793"/>
      <c r="AC7" s="1792"/>
      <c r="AD7" s="1793"/>
      <c r="AE7" s="1792"/>
      <c r="AF7" s="1798"/>
      <c r="AG7" s="1793"/>
      <c r="AH7" s="1792"/>
      <c r="AI7" s="1798"/>
      <c r="AJ7" s="1793"/>
      <c r="AK7" s="1794"/>
    </row>
    <row r="8" spans="1:43" s="89" customFormat="1" ht="27" customHeight="1">
      <c r="A8" s="1794"/>
      <c r="B8" s="1794"/>
      <c r="C8" s="1794"/>
      <c r="D8" s="1794"/>
      <c r="E8" s="1794"/>
      <c r="F8" s="1784" t="s">
        <v>121</v>
      </c>
      <c r="G8" s="1784" t="s">
        <v>31</v>
      </c>
      <c r="H8" s="1757" t="s">
        <v>122</v>
      </c>
      <c r="I8" s="1784" t="s">
        <v>121</v>
      </c>
      <c r="J8" s="1784" t="s">
        <v>31</v>
      </c>
      <c r="K8" s="1799" t="s">
        <v>122</v>
      </c>
      <c r="L8" s="1800"/>
      <c r="M8" s="1800"/>
      <c r="N8" s="1801"/>
      <c r="O8" s="1784" t="s">
        <v>121</v>
      </c>
      <c r="P8" s="1784" t="s">
        <v>31</v>
      </c>
      <c r="Q8" s="1757" t="s">
        <v>123</v>
      </c>
      <c r="R8" s="1757" t="s">
        <v>124</v>
      </c>
      <c r="S8" s="1784" t="s">
        <v>9</v>
      </c>
      <c r="T8" s="1784" t="s">
        <v>123</v>
      </c>
      <c r="U8" s="1807" t="s">
        <v>9</v>
      </c>
      <c r="V8" s="1784" t="s">
        <v>123</v>
      </c>
      <c r="W8" s="1784" t="s">
        <v>32</v>
      </c>
      <c r="X8" s="1799" t="s">
        <v>14</v>
      </c>
      <c r="Y8" s="1801"/>
      <c r="Z8" s="1784" t="s">
        <v>9</v>
      </c>
      <c r="AA8" s="1805" t="s">
        <v>123</v>
      </c>
      <c r="AB8" s="1806"/>
      <c r="AC8" s="1784" t="s">
        <v>9</v>
      </c>
      <c r="AD8" s="1757" t="s">
        <v>123</v>
      </c>
      <c r="AE8" s="1788" t="s">
        <v>32</v>
      </c>
      <c r="AF8" s="1795" t="s">
        <v>123</v>
      </c>
      <c r="AG8" s="1796"/>
      <c r="AH8" s="1788" t="s">
        <v>32</v>
      </c>
      <c r="AI8" s="1795" t="s">
        <v>123</v>
      </c>
      <c r="AJ8" s="1796"/>
      <c r="AK8" s="1794"/>
    </row>
    <row r="9" spans="1:43" s="89" customFormat="1" ht="121.5" customHeight="1">
      <c r="A9" s="1789"/>
      <c r="B9" s="1789"/>
      <c r="C9" s="1789"/>
      <c r="D9" s="1789"/>
      <c r="E9" s="1789"/>
      <c r="F9" s="1714"/>
      <c r="G9" s="1714"/>
      <c r="H9" s="1758"/>
      <c r="I9" s="1714"/>
      <c r="J9" s="1714"/>
      <c r="K9" s="90" t="s">
        <v>9</v>
      </c>
      <c r="L9" s="90" t="s">
        <v>125</v>
      </c>
      <c r="M9" s="90" t="s">
        <v>126</v>
      </c>
      <c r="N9" s="90" t="s">
        <v>127</v>
      </c>
      <c r="O9" s="1714"/>
      <c r="P9" s="1714"/>
      <c r="Q9" s="1758"/>
      <c r="R9" s="1758"/>
      <c r="S9" s="1714"/>
      <c r="T9" s="1714"/>
      <c r="U9" s="1807"/>
      <c r="V9" s="1714"/>
      <c r="W9" s="1714"/>
      <c r="X9" s="91" t="s">
        <v>69</v>
      </c>
      <c r="Y9" s="91" t="s">
        <v>70</v>
      </c>
      <c r="Z9" s="1714"/>
      <c r="AA9" s="92" t="s">
        <v>9</v>
      </c>
      <c r="AB9" s="90" t="s">
        <v>128</v>
      </c>
      <c r="AC9" s="1714"/>
      <c r="AD9" s="1758"/>
      <c r="AE9" s="1789"/>
      <c r="AF9" s="93" t="s">
        <v>9</v>
      </c>
      <c r="AG9" s="94" t="s">
        <v>129</v>
      </c>
      <c r="AH9" s="1789"/>
      <c r="AI9" s="93" t="s">
        <v>9</v>
      </c>
      <c r="AJ9" s="94" t="s">
        <v>129</v>
      </c>
      <c r="AK9" s="1789"/>
      <c r="AN9" s="1802"/>
      <c r="AO9" s="1802"/>
      <c r="AP9" s="1802"/>
      <c r="AQ9" s="1802"/>
    </row>
    <row r="10" spans="1:43" s="96" customFormat="1" ht="30.75" customHeight="1">
      <c r="A10" s="95">
        <v>1</v>
      </c>
      <c r="B10" s="95">
        <f>A10+1</f>
        <v>2</v>
      </c>
      <c r="C10" s="95">
        <f t="shared" ref="C10:N10" si="0">B10+1</f>
        <v>3</v>
      </c>
      <c r="D10" s="95">
        <f t="shared" si="0"/>
        <v>4</v>
      </c>
      <c r="E10" s="95">
        <f t="shared" si="0"/>
        <v>5</v>
      </c>
      <c r="F10" s="95">
        <f t="shared" si="0"/>
        <v>6</v>
      </c>
      <c r="G10" s="95">
        <f t="shared" si="0"/>
        <v>7</v>
      </c>
      <c r="H10" s="95">
        <f t="shared" si="0"/>
        <v>8</v>
      </c>
      <c r="I10" s="95">
        <f t="shared" si="0"/>
        <v>9</v>
      </c>
      <c r="J10" s="95">
        <f t="shared" si="0"/>
        <v>10</v>
      </c>
      <c r="K10" s="95">
        <f t="shared" si="0"/>
        <v>11</v>
      </c>
      <c r="L10" s="95">
        <f t="shared" si="0"/>
        <v>12</v>
      </c>
      <c r="M10" s="95">
        <f t="shared" si="0"/>
        <v>13</v>
      </c>
      <c r="N10" s="95">
        <f t="shared" si="0"/>
        <v>14</v>
      </c>
      <c r="O10" s="95">
        <v>15</v>
      </c>
      <c r="P10" s="95">
        <v>16</v>
      </c>
      <c r="Q10" s="95">
        <v>17</v>
      </c>
      <c r="R10" s="95">
        <v>21</v>
      </c>
      <c r="S10" s="95">
        <f>N10+1</f>
        <v>15</v>
      </c>
      <c r="T10" s="95">
        <f t="shared" ref="T10:AG10" si="1">S10+1</f>
        <v>16</v>
      </c>
      <c r="U10" s="95">
        <f t="shared" si="1"/>
        <v>17</v>
      </c>
      <c r="V10" s="95">
        <f t="shared" si="1"/>
        <v>18</v>
      </c>
      <c r="W10" s="95">
        <f t="shared" si="1"/>
        <v>19</v>
      </c>
      <c r="X10" s="95">
        <f t="shared" si="1"/>
        <v>20</v>
      </c>
      <c r="Y10" s="95">
        <f t="shared" si="1"/>
        <v>21</v>
      </c>
      <c r="Z10" s="95">
        <f t="shared" si="1"/>
        <v>22</v>
      </c>
      <c r="AA10" s="95">
        <f t="shared" si="1"/>
        <v>23</v>
      </c>
      <c r="AB10" s="95">
        <f t="shared" si="1"/>
        <v>24</v>
      </c>
      <c r="AC10" s="95">
        <f t="shared" si="1"/>
        <v>25</v>
      </c>
      <c r="AD10" s="95">
        <f t="shared" si="1"/>
        <v>26</v>
      </c>
      <c r="AE10" s="95">
        <f t="shared" si="1"/>
        <v>27</v>
      </c>
      <c r="AF10" s="95">
        <f t="shared" si="1"/>
        <v>28</v>
      </c>
      <c r="AG10" s="95">
        <f t="shared" si="1"/>
        <v>29</v>
      </c>
      <c r="AH10" s="95">
        <v>31</v>
      </c>
      <c r="AI10" s="95">
        <v>31</v>
      </c>
      <c r="AJ10" s="95">
        <v>33</v>
      </c>
      <c r="AK10" s="95">
        <f>AG10+1</f>
        <v>30</v>
      </c>
      <c r="AN10" s="1803"/>
      <c r="AO10" s="1803"/>
      <c r="AP10" s="1803"/>
      <c r="AQ10" s="1803"/>
    </row>
    <row r="11" spans="1:43" ht="32.25" customHeight="1">
      <c r="A11" s="97"/>
      <c r="B11" s="98" t="s">
        <v>13</v>
      </c>
      <c r="C11" s="99"/>
      <c r="D11" s="99"/>
      <c r="E11" s="99"/>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N11" s="1804"/>
      <c r="AO11" s="101"/>
      <c r="AP11" s="101"/>
      <c r="AQ11" s="101"/>
    </row>
    <row r="12" spans="1:43" s="105" customFormat="1" ht="39" customHeight="1">
      <c r="A12" s="102" t="s">
        <v>33</v>
      </c>
      <c r="B12" s="103" t="s">
        <v>111</v>
      </c>
      <c r="C12" s="98"/>
      <c r="D12" s="98"/>
      <c r="E12" s="98"/>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row>
    <row r="13" spans="1:43" s="105" customFormat="1" ht="55.5" customHeight="1">
      <c r="A13" s="106">
        <v>1</v>
      </c>
      <c r="B13" s="103" t="s">
        <v>130</v>
      </c>
      <c r="C13" s="98"/>
      <c r="D13" s="98"/>
      <c r="E13" s="98"/>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row>
    <row r="14" spans="1:43" s="105" customFormat="1" ht="25.5" customHeight="1">
      <c r="A14" s="107" t="s">
        <v>41</v>
      </c>
      <c r="B14" s="108" t="s">
        <v>41</v>
      </c>
      <c r="C14" s="98"/>
      <c r="D14" s="98"/>
      <c r="E14" s="98"/>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row>
    <row r="15" spans="1:43" s="105" customFormat="1" ht="52.15" customHeight="1">
      <c r="A15" s="106" t="s">
        <v>40</v>
      </c>
      <c r="B15" s="103" t="s">
        <v>131</v>
      </c>
      <c r="C15" s="98"/>
      <c r="D15" s="98"/>
      <c r="E15" s="98"/>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row>
    <row r="16" spans="1:43" s="105" customFormat="1" ht="25.5" customHeight="1">
      <c r="A16" s="107" t="s">
        <v>34</v>
      </c>
      <c r="B16" s="109" t="s">
        <v>39</v>
      </c>
      <c r="C16" s="98"/>
      <c r="D16" s="98"/>
      <c r="E16" s="98"/>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row>
    <row r="17" spans="1:37" s="105" customFormat="1" ht="25.5" customHeight="1">
      <c r="A17" s="107" t="s">
        <v>41</v>
      </c>
      <c r="B17" s="108" t="s">
        <v>42</v>
      </c>
      <c r="C17" s="98"/>
      <c r="D17" s="98"/>
      <c r="E17" s="98"/>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row>
    <row r="18" spans="1:37" s="105" customFormat="1" ht="43.5" customHeight="1">
      <c r="A18" s="106" t="s">
        <v>78</v>
      </c>
      <c r="B18" s="103" t="s">
        <v>132</v>
      </c>
      <c r="C18" s="98"/>
      <c r="D18" s="98"/>
      <c r="E18" s="98"/>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row>
    <row r="19" spans="1:37" s="105" customFormat="1" ht="25.5" customHeight="1">
      <c r="A19" s="107" t="s">
        <v>34</v>
      </c>
      <c r="B19" s="109" t="s">
        <v>39</v>
      </c>
      <c r="C19" s="98"/>
      <c r="D19" s="98"/>
      <c r="E19" s="98"/>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row>
    <row r="20" spans="1:37" s="105" customFormat="1" ht="25.5" customHeight="1">
      <c r="A20" s="107" t="s">
        <v>41</v>
      </c>
      <c r="B20" s="108" t="s">
        <v>42</v>
      </c>
      <c r="C20" s="98"/>
      <c r="D20" s="98"/>
      <c r="E20" s="98"/>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row>
    <row r="21" spans="1:37" s="105" customFormat="1" ht="40.5" customHeight="1">
      <c r="A21" s="106" t="s">
        <v>80</v>
      </c>
      <c r="B21" s="103" t="s">
        <v>133</v>
      </c>
      <c r="C21" s="98"/>
      <c r="D21" s="98"/>
      <c r="E21" s="98"/>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row>
    <row r="22" spans="1:37" s="105" customFormat="1" ht="28.5" customHeight="1">
      <c r="A22" s="107" t="s">
        <v>34</v>
      </c>
      <c r="B22" s="109" t="s">
        <v>39</v>
      </c>
      <c r="C22" s="98"/>
      <c r="D22" s="98"/>
      <c r="E22" s="98"/>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row>
    <row r="23" spans="1:37" s="105" customFormat="1" ht="25.5" customHeight="1">
      <c r="A23" s="107" t="s">
        <v>41</v>
      </c>
      <c r="B23" s="108" t="s">
        <v>42</v>
      </c>
      <c r="C23" s="98"/>
      <c r="D23" s="98"/>
      <c r="E23" s="98"/>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row>
    <row r="24" spans="1:37" s="105" customFormat="1" ht="81" customHeight="1">
      <c r="A24" s="106" t="s">
        <v>134</v>
      </c>
      <c r="B24" s="103" t="s">
        <v>135</v>
      </c>
      <c r="C24" s="98"/>
      <c r="D24" s="98"/>
      <c r="E24" s="98"/>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row>
    <row r="25" spans="1:37" s="105" customFormat="1" ht="28.5" customHeight="1">
      <c r="A25" s="107" t="s">
        <v>34</v>
      </c>
      <c r="B25" s="109" t="s">
        <v>39</v>
      </c>
      <c r="C25" s="98"/>
      <c r="D25" s="98"/>
      <c r="E25" s="98"/>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row>
    <row r="26" spans="1:37" s="105" customFormat="1" ht="25.5" customHeight="1">
      <c r="A26" s="107" t="s">
        <v>41</v>
      </c>
      <c r="B26" s="108" t="s">
        <v>42</v>
      </c>
      <c r="C26" s="98"/>
      <c r="D26" s="98"/>
      <c r="E26" s="98"/>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row>
    <row r="27" spans="1:37" s="105" customFormat="1" ht="39.75" customHeight="1">
      <c r="A27" s="102" t="s">
        <v>49</v>
      </c>
      <c r="B27" s="103" t="s">
        <v>111</v>
      </c>
      <c r="C27" s="98"/>
      <c r="D27" s="98"/>
      <c r="E27" s="98"/>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row>
    <row r="28" spans="1:37" ht="25.5" customHeight="1">
      <c r="A28" s="97"/>
      <c r="B28" s="103" t="s">
        <v>82</v>
      </c>
      <c r="C28" s="99"/>
      <c r="D28" s="99"/>
      <c r="E28" s="99"/>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row>
    <row r="29" spans="1:37" ht="25.5" customHeight="1">
      <c r="A29" s="97"/>
      <c r="B29" s="103" t="s">
        <v>136</v>
      </c>
      <c r="C29" s="99"/>
      <c r="D29" s="99"/>
      <c r="E29" s="99"/>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row>
    <row r="30" spans="1:37" s="114" customFormat="1" ht="36" hidden="1" customHeight="1">
      <c r="A30" s="110" t="s">
        <v>137</v>
      </c>
      <c r="B30" s="111" t="s">
        <v>138</v>
      </c>
      <c r="C30" s="112"/>
      <c r="D30" s="112"/>
      <c r="E30" s="112"/>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row>
    <row r="31" spans="1:37" s="118" customFormat="1" ht="36" hidden="1" customHeight="1">
      <c r="A31" s="115"/>
      <c r="B31" s="111" t="s">
        <v>82</v>
      </c>
      <c r="C31" s="116"/>
      <c r="D31" s="116"/>
      <c r="E31" s="116"/>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row>
    <row r="32" spans="1:37" s="118" customFormat="1" ht="78" hidden="1" customHeight="1">
      <c r="A32" s="110" t="s">
        <v>139</v>
      </c>
      <c r="B32" s="111" t="s">
        <v>140</v>
      </c>
      <c r="C32" s="116"/>
      <c r="D32" s="116"/>
      <c r="E32" s="116"/>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row>
    <row r="33" spans="1:49" s="118" customFormat="1" ht="36" hidden="1" customHeight="1">
      <c r="A33" s="115"/>
      <c r="B33" s="111" t="s">
        <v>82</v>
      </c>
      <c r="C33" s="116"/>
      <c r="D33" s="116"/>
      <c r="E33" s="116"/>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row>
    <row r="34" spans="1:49" ht="51" hidden="1" customHeight="1">
      <c r="A34" s="102" t="s">
        <v>139</v>
      </c>
      <c r="B34" s="103" t="s">
        <v>141</v>
      </c>
      <c r="C34" s="99"/>
      <c r="D34" s="99"/>
      <c r="E34" s="99"/>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row>
    <row r="35" spans="1:49" ht="29.25" hidden="1" customHeight="1">
      <c r="A35" s="97"/>
      <c r="B35" s="103" t="s">
        <v>82</v>
      </c>
      <c r="C35" s="99"/>
      <c r="D35" s="99"/>
      <c r="E35" s="99"/>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19"/>
    </row>
    <row r="36" spans="1:49" ht="8.25" customHeight="1">
      <c r="A36" s="97"/>
      <c r="B36" s="109"/>
      <c r="C36" s="99"/>
      <c r="D36" s="99"/>
      <c r="E36" s="99"/>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19"/>
    </row>
    <row r="37" spans="1:49" ht="11.25" customHeight="1">
      <c r="A37" s="120"/>
      <c r="B37" s="121"/>
      <c r="C37" s="122"/>
      <c r="D37" s="122"/>
      <c r="E37" s="122"/>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row>
    <row r="38" spans="1:49" ht="19.899999999999999" customHeight="1">
      <c r="A38" s="120"/>
      <c r="B38" s="77" t="s">
        <v>19</v>
      </c>
      <c r="C38" s="77"/>
      <c r="D38" s="77"/>
      <c r="E38" s="77"/>
      <c r="F38" s="77"/>
      <c r="G38" s="77"/>
      <c r="H38" s="77"/>
      <c r="I38" s="77"/>
      <c r="J38" s="77"/>
      <c r="K38" s="77"/>
      <c r="L38" s="77"/>
      <c r="M38" s="77"/>
      <c r="N38" s="77"/>
      <c r="O38" s="77"/>
      <c r="P38" s="77"/>
      <c r="Q38" s="77"/>
      <c r="R38" s="123"/>
      <c r="S38" s="123"/>
      <c r="T38" s="123"/>
      <c r="U38" s="123"/>
      <c r="V38" s="123"/>
      <c r="W38" s="123"/>
      <c r="X38" s="123"/>
      <c r="Y38" s="123"/>
      <c r="Z38" s="123"/>
      <c r="AA38" s="123"/>
      <c r="AB38" s="123"/>
      <c r="AC38" s="123"/>
      <c r="AD38" s="123"/>
      <c r="AE38" s="123"/>
      <c r="AF38" s="123"/>
      <c r="AG38" s="123"/>
      <c r="AH38" s="123"/>
      <c r="AI38" s="123"/>
      <c r="AJ38" s="123"/>
    </row>
    <row r="39" spans="1:49" ht="19.899999999999999" customHeight="1">
      <c r="A39" s="120"/>
      <c r="B39" s="1782" t="s">
        <v>20</v>
      </c>
      <c r="C39" s="1782"/>
      <c r="D39" s="1782"/>
      <c r="E39" s="1782"/>
      <c r="F39" s="1782"/>
      <c r="G39" s="1782"/>
      <c r="H39" s="1782"/>
      <c r="I39" s="1782"/>
      <c r="J39" s="1782"/>
      <c r="K39" s="1782"/>
      <c r="L39" s="1782"/>
      <c r="M39" s="1782"/>
      <c r="N39" s="1782"/>
      <c r="O39" s="1782"/>
      <c r="P39" s="1782"/>
      <c r="Q39" s="1782"/>
      <c r="R39" s="123"/>
      <c r="S39" s="123"/>
      <c r="T39" s="123"/>
      <c r="U39" s="123"/>
      <c r="V39" s="123"/>
      <c r="W39" s="123"/>
      <c r="X39" s="123"/>
      <c r="Y39" s="123"/>
      <c r="Z39" s="123"/>
      <c r="AA39" s="123"/>
      <c r="AB39" s="123"/>
      <c r="AC39" s="123"/>
      <c r="AD39" s="123"/>
      <c r="AE39" s="123"/>
      <c r="AF39" s="123"/>
      <c r="AG39" s="123"/>
      <c r="AH39" s="123"/>
      <c r="AI39" s="123"/>
      <c r="AJ39" s="123"/>
    </row>
    <row r="40" spans="1:49" ht="19.899999999999999" customHeight="1">
      <c r="A40" s="120"/>
      <c r="B40" s="121"/>
      <c r="C40" s="122"/>
      <c r="D40" s="122"/>
      <c r="E40" s="122"/>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row>
    <row r="41" spans="1:49" s="79" customFormat="1" ht="19.899999999999999" customHeight="1">
      <c r="A41" s="120"/>
      <c r="B41" s="121"/>
      <c r="C41" s="122"/>
      <c r="D41" s="122"/>
      <c r="E41" s="122"/>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L41" s="80"/>
      <c r="AM41" s="80"/>
      <c r="AN41" s="80"/>
      <c r="AO41" s="80"/>
      <c r="AP41" s="80"/>
      <c r="AQ41" s="80"/>
      <c r="AR41" s="80"/>
      <c r="AS41" s="80"/>
      <c r="AT41" s="80"/>
      <c r="AU41" s="80"/>
      <c r="AV41" s="80"/>
      <c r="AW41" s="80"/>
    </row>
    <row r="42" spans="1:49" s="79" customFormat="1" ht="19.899999999999999" customHeight="1">
      <c r="A42" s="120"/>
      <c r="B42" s="121"/>
      <c r="C42" s="122"/>
      <c r="D42" s="122"/>
      <c r="E42" s="122"/>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L42" s="80"/>
      <c r="AM42" s="80"/>
      <c r="AN42" s="80"/>
      <c r="AO42" s="80"/>
      <c r="AP42" s="80"/>
      <c r="AQ42" s="80"/>
      <c r="AR42" s="80"/>
      <c r="AS42" s="80"/>
      <c r="AT42" s="80"/>
      <c r="AU42" s="80"/>
      <c r="AV42" s="80"/>
      <c r="AW42" s="80"/>
    </row>
    <row r="43" spans="1:49" s="79" customFormat="1" ht="19.899999999999999" customHeight="1">
      <c r="A43" s="120"/>
      <c r="B43" s="121"/>
      <c r="C43" s="122"/>
      <c r="D43" s="122"/>
      <c r="E43" s="122"/>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L43" s="80"/>
      <c r="AM43" s="80"/>
      <c r="AN43" s="80"/>
      <c r="AO43" s="80"/>
      <c r="AP43" s="80"/>
      <c r="AQ43" s="80"/>
      <c r="AR43" s="80"/>
      <c r="AS43" s="80"/>
      <c r="AT43" s="80"/>
      <c r="AU43" s="80"/>
      <c r="AV43" s="80"/>
      <c r="AW43" s="80"/>
    </row>
    <row r="44" spans="1:49" s="79" customFormat="1" ht="19.899999999999999" customHeight="1">
      <c r="A44" s="120"/>
      <c r="B44" s="121"/>
      <c r="C44" s="122"/>
      <c r="D44" s="122"/>
      <c r="E44" s="122"/>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3"/>
      <c r="AL44" s="80"/>
      <c r="AM44" s="80"/>
      <c r="AN44" s="80"/>
      <c r="AO44" s="80"/>
      <c r="AP44" s="80"/>
      <c r="AQ44" s="80"/>
      <c r="AR44" s="80"/>
      <c r="AS44" s="80"/>
      <c r="AT44" s="80"/>
      <c r="AU44" s="80"/>
      <c r="AV44" s="80"/>
      <c r="AW44" s="80"/>
    </row>
    <row r="45" spans="1:49" s="79" customFormat="1" ht="19.899999999999999" customHeight="1">
      <c r="A45" s="120"/>
      <c r="B45" s="121"/>
      <c r="C45" s="122"/>
      <c r="D45" s="122"/>
      <c r="E45" s="122"/>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L45" s="80"/>
      <c r="AM45" s="80"/>
      <c r="AN45" s="80"/>
      <c r="AO45" s="80"/>
      <c r="AP45" s="80"/>
      <c r="AQ45" s="80"/>
      <c r="AR45" s="80"/>
      <c r="AS45" s="80"/>
      <c r="AT45" s="80"/>
      <c r="AU45" s="80"/>
      <c r="AV45" s="80"/>
      <c r="AW45" s="80"/>
    </row>
    <row r="46" spans="1:49" s="79" customFormat="1" ht="19.899999999999999" customHeight="1">
      <c r="A46" s="120"/>
      <c r="B46" s="121"/>
      <c r="C46" s="122"/>
      <c r="D46" s="122"/>
      <c r="E46" s="122"/>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L46" s="80"/>
      <c r="AM46" s="80"/>
      <c r="AN46" s="80"/>
      <c r="AO46" s="80"/>
      <c r="AP46" s="80"/>
      <c r="AQ46" s="80"/>
      <c r="AR46" s="80"/>
      <c r="AS46" s="80"/>
      <c r="AT46" s="80"/>
      <c r="AU46" s="80"/>
      <c r="AV46" s="80"/>
      <c r="AW46" s="80"/>
    </row>
    <row r="47" spans="1:49" s="79" customFormat="1" ht="19.899999999999999" customHeight="1">
      <c r="A47" s="120"/>
      <c r="B47" s="121"/>
      <c r="C47" s="122"/>
      <c r="D47" s="122"/>
      <c r="E47" s="122"/>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L47" s="80"/>
      <c r="AM47" s="80"/>
      <c r="AN47" s="80"/>
      <c r="AO47" s="80"/>
      <c r="AP47" s="80"/>
      <c r="AQ47" s="80"/>
      <c r="AR47" s="80"/>
      <c r="AS47" s="80"/>
      <c r="AT47" s="80"/>
      <c r="AU47" s="80"/>
      <c r="AV47" s="80"/>
      <c r="AW47" s="80"/>
    </row>
    <row r="48" spans="1:49" s="79" customFormat="1" ht="19.899999999999999" customHeight="1">
      <c r="A48" s="120"/>
      <c r="B48" s="121"/>
      <c r="C48" s="122"/>
      <c r="D48" s="122"/>
      <c r="E48" s="122"/>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L48" s="80"/>
      <c r="AM48" s="80"/>
      <c r="AN48" s="80"/>
      <c r="AO48" s="80"/>
      <c r="AP48" s="80"/>
      <c r="AQ48" s="80"/>
      <c r="AR48" s="80"/>
      <c r="AS48" s="80"/>
      <c r="AT48" s="80"/>
      <c r="AU48" s="80"/>
      <c r="AV48" s="80"/>
      <c r="AW48" s="80"/>
    </row>
    <row r="49" spans="1:49" s="79" customFormat="1" ht="19.899999999999999" customHeight="1">
      <c r="A49" s="120"/>
      <c r="B49" s="121"/>
      <c r="C49" s="122"/>
      <c r="D49" s="122"/>
      <c r="E49" s="122"/>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L49" s="80"/>
      <c r="AM49" s="80"/>
      <c r="AN49" s="80"/>
      <c r="AO49" s="80"/>
      <c r="AP49" s="80"/>
      <c r="AQ49" s="80"/>
      <c r="AR49" s="80"/>
      <c r="AS49" s="80"/>
      <c r="AT49" s="80"/>
      <c r="AU49" s="80"/>
      <c r="AV49" s="80"/>
      <c r="AW49" s="80"/>
    </row>
    <row r="50" spans="1:49" s="79" customFormat="1" ht="15.75">
      <c r="A50" s="120"/>
      <c r="B50" s="121"/>
      <c r="C50" s="122"/>
      <c r="D50" s="122"/>
      <c r="E50" s="122"/>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L50" s="80"/>
      <c r="AM50" s="80"/>
      <c r="AN50" s="80"/>
      <c r="AO50" s="80"/>
      <c r="AP50" s="80"/>
      <c r="AQ50" s="80"/>
      <c r="AR50" s="80"/>
      <c r="AS50" s="80"/>
      <c r="AT50" s="80"/>
      <c r="AU50" s="80"/>
      <c r="AV50" s="80"/>
      <c r="AW50" s="80"/>
    </row>
    <row r="51" spans="1:49" s="79" customFormat="1" ht="15.75">
      <c r="A51" s="120"/>
      <c r="B51" s="121"/>
      <c r="C51" s="122"/>
      <c r="D51" s="122"/>
      <c r="E51" s="122"/>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L51" s="80"/>
      <c r="AM51" s="80"/>
      <c r="AN51" s="80"/>
      <c r="AO51" s="80"/>
      <c r="AP51" s="80"/>
      <c r="AQ51" s="80"/>
      <c r="AR51" s="80"/>
      <c r="AS51" s="80"/>
      <c r="AT51" s="80"/>
      <c r="AU51" s="80"/>
      <c r="AV51" s="80"/>
      <c r="AW51" s="80"/>
    </row>
    <row r="52" spans="1:49" s="79" customFormat="1" ht="15.75">
      <c r="A52" s="120"/>
      <c r="B52" s="121"/>
      <c r="C52" s="122"/>
      <c r="D52" s="122"/>
      <c r="E52" s="122"/>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L52" s="80"/>
      <c r="AM52" s="80"/>
      <c r="AN52" s="80"/>
      <c r="AO52" s="80"/>
      <c r="AP52" s="80"/>
      <c r="AQ52" s="80"/>
      <c r="AR52" s="80"/>
      <c r="AS52" s="80"/>
      <c r="AT52" s="80"/>
      <c r="AU52" s="80"/>
      <c r="AV52" s="80"/>
      <c r="AW52" s="80"/>
    </row>
    <row r="53" spans="1:49" s="79" customFormat="1" ht="15.75">
      <c r="A53" s="120"/>
      <c r="B53" s="121"/>
      <c r="C53" s="122"/>
      <c r="D53" s="122"/>
      <c r="E53" s="122"/>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L53" s="80"/>
      <c r="AM53" s="80"/>
      <c r="AN53" s="80"/>
      <c r="AO53" s="80"/>
      <c r="AP53" s="80"/>
      <c r="AQ53" s="80"/>
      <c r="AR53" s="80"/>
      <c r="AS53" s="80"/>
      <c r="AT53" s="80"/>
      <c r="AU53" s="80"/>
      <c r="AV53" s="80"/>
      <c r="AW53" s="80"/>
    </row>
    <row r="54" spans="1:49" s="79" customFormat="1" ht="15.75">
      <c r="A54" s="120"/>
      <c r="B54" s="121"/>
      <c r="C54" s="122"/>
      <c r="D54" s="122"/>
      <c r="E54" s="122"/>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L54" s="80"/>
      <c r="AM54" s="80"/>
      <c r="AN54" s="80"/>
      <c r="AO54" s="80"/>
      <c r="AP54" s="80"/>
      <c r="AQ54" s="80"/>
      <c r="AR54" s="80"/>
      <c r="AS54" s="80"/>
      <c r="AT54" s="80"/>
      <c r="AU54" s="80"/>
      <c r="AV54" s="80"/>
      <c r="AW54" s="80"/>
    </row>
    <row r="55" spans="1:49" s="79" customFormat="1" ht="15.75">
      <c r="A55" s="120"/>
      <c r="B55" s="121"/>
      <c r="C55" s="122"/>
      <c r="D55" s="122"/>
      <c r="E55" s="122"/>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L55" s="80"/>
      <c r="AM55" s="80"/>
      <c r="AN55" s="80"/>
      <c r="AO55" s="80"/>
      <c r="AP55" s="80"/>
      <c r="AQ55" s="80"/>
      <c r="AR55" s="80"/>
      <c r="AS55" s="80"/>
      <c r="AT55" s="80"/>
      <c r="AU55" s="80"/>
      <c r="AV55" s="80"/>
      <c r="AW55" s="80"/>
    </row>
    <row r="56" spans="1:49" s="79" customFormat="1" ht="15.75">
      <c r="A56" s="120"/>
      <c r="B56" s="121"/>
      <c r="C56" s="122"/>
      <c r="D56" s="122"/>
      <c r="E56" s="122"/>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L56" s="80"/>
      <c r="AM56" s="80"/>
      <c r="AN56" s="80"/>
      <c r="AO56" s="80"/>
      <c r="AP56" s="80"/>
      <c r="AQ56" s="80"/>
      <c r="AR56" s="80"/>
      <c r="AS56" s="80"/>
      <c r="AT56" s="80"/>
      <c r="AU56" s="80"/>
      <c r="AV56" s="80"/>
      <c r="AW56" s="80"/>
    </row>
    <row r="57" spans="1:49" s="79" customFormat="1" ht="15.75">
      <c r="A57" s="120"/>
      <c r="B57" s="121"/>
      <c r="C57" s="122"/>
      <c r="D57" s="122"/>
      <c r="E57" s="122"/>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L57" s="80"/>
      <c r="AM57" s="80"/>
      <c r="AN57" s="80"/>
      <c r="AO57" s="80"/>
      <c r="AP57" s="80"/>
      <c r="AQ57" s="80"/>
      <c r="AR57" s="80"/>
      <c r="AS57" s="80"/>
      <c r="AT57" s="80"/>
      <c r="AU57" s="80"/>
      <c r="AV57" s="80"/>
      <c r="AW57" s="80"/>
    </row>
    <row r="58" spans="1:49" s="79" customFormat="1" ht="15.75">
      <c r="A58" s="120"/>
      <c r="B58" s="121"/>
      <c r="C58" s="122"/>
      <c r="D58" s="122"/>
      <c r="E58" s="122"/>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L58" s="80"/>
      <c r="AM58" s="80"/>
      <c r="AN58" s="80"/>
      <c r="AO58" s="80"/>
      <c r="AP58" s="80"/>
      <c r="AQ58" s="80"/>
      <c r="AR58" s="80"/>
      <c r="AS58" s="80"/>
      <c r="AT58" s="80"/>
      <c r="AU58" s="80"/>
      <c r="AV58" s="80"/>
      <c r="AW58" s="80"/>
    </row>
    <row r="59" spans="1:49" s="79" customFormat="1" ht="15.75">
      <c r="A59" s="120"/>
      <c r="B59" s="121"/>
      <c r="C59" s="122"/>
      <c r="D59" s="122"/>
      <c r="E59" s="122"/>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L59" s="80"/>
      <c r="AM59" s="80"/>
      <c r="AN59" s="80"/>
      <c r="AO59" s="80"/>
      <c r="AP59" s="80"/>
      <c r="AQ59" s="80"/>
      <c r="AR59" s="80"/>
      <c r="AS59" s="80"/>
      <c r="AT59" s="80"/>
      <c r="AU59" s="80"/>
      <c r="AV59" s="80"/>
      <c r="AW59" s="80"/>
    </row>
    <row r="60" spans="1:49" s="79" customFormat="1" ht="15.75">
      <c r="A60" s="120"/>
      <c r="B60" s="121"/>
      <c r="C60" s="122"/>
      <c r="D60" s="122"/>
      <c r="E60" s="122"/>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123"/>
      <c r="AL60" s="80"/>
      <c r="AM60" s="80"/>
      <c r="AN60" s="80"/>
      <c r="AO60" s="80"/>
      <c r="AP60" s="80"/>
      <c r="AQ60" s="80"/>
      <c r="AR60" s="80"/>
      <c r="AS60" s="80"/>
      <c r="AT60" s="80"/>
      <c r="AU60" s="80"/>
      <c r="AV60" s="80"/>
      <c r="AW60" s="80"/>
    </row>
    <row r="61" spans="1:49" s="79" customFormat="1" ht="15.75">
      <c r="A61" s="120"/>
      <c r="B61" s="121"/>
      <c r="C61" s="122"/>
      <c r="D61" s="122"/>
      <c r="E61" s="122"/>
      <c r="F61" s="123"/>
      <c r="G61" s="123"/>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c r="AH61" s="123"/>
      <c r="AI61" s="123"/>
      <c r="AJ61" s="123"/>
      <c r="AL61" s="80"/>
      <c r="AM61" s="80"/>
      <c r="AN61" s="80"/>
      <c r="AO61" s="80"/>
      <c r="AP61" s="80"/>
      <c r="AQ61" s="80"/>
      <c r="AR61" s="80"/>
      <c r="AS61" s="80"/>
      <c r="AT61" s="80"/>
      <c r="AU61" s="80"/>
      <c r="AV61" s="80"/>
      <c r="AW61" s="80"/>
    </row>
    <row r="62" spans="1:49" s="79" customFormat="1" ht="15.75">
      <c r="A62" s="120"/>
      <c r="B62" s="121"/>
      <c r="C62" s="122"/>
      <c r="D62" s="122"/>
      <c r="E62" s="122"/>
      <c r="F62" s="123"/>
      <c r="G62" s="123"/>
      <c r="H62" s="123"/>
      <c r="I62" s="123"/>
      <c r="J62" s="123"/>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23"/>
      <c r="AI62" s="123"/>
      <c r="AJ62" s="123"/>
      <c r="AL62" s="80"/>
      <c r="AM62" s="80"/>
      <c r="AN62" s="80"/>
      <c r="AO62" s="80"/>
      <c r="AP62" s="80"/>
      <c r="AQ62" s="80"/>
      <c r="AR62" s="80"/>
      <c r="AS62" s="80"/>
      <c r="AT62" s="80"/>
      <c r="AU62" s="80"/>
      <c r="AV62" s="80"/>
      <c r="AW62" s="80"/>
    </row>
    <row r="63" spans="1:49" s="79" customFormat="1" ht="15.75">
      <c r="A63" s="120"/>
      <c r="B63" s="121"/>
      <c r="C63" s="122"/>
      <c r="D63" s="122"/>
      <c r="E63" s="122"/>
      <c r="F63" s="123"/>
      <c r="G63" s="123"/>
      <c r="H63" s="123"/>
      <c r="I63" s="123"/>
      <c r="J63" s="123"/>
      <c r="K63" s="123"/>
      <c r="L63" s="123"/>
      <c r="M63" s="123"/>
      <c r="N63" s="123"/>
      <c r="O63" s="123"/>
      <c r="P63" s="123"/>
      <c r="Q63" s="123"/>
      <c r="R63" s="123"/>
      <c r="S63" s="123"/>
      <c r="T63" s="123"/>
      <c r="U63" s="123"/>
      <c r="V63" s="123"/>
      <c r="W63" s="123"/>
      <c r="X63" s="123"/>
      <c r="Y63" s="123"/>
      <c r="Z63" s="123"/>
      <c r="AA63" s="123"/>
      <c r="AB63" s="123"/>
      <c r="AC63" s="123"/>
      <c r="AD63" s="123"/>
      <c r="AE63" s="123"/>
      <c r="AF63" s="123"/>
      <c r="AG63" s="123"/>
      <c r="AH63" s="123"/>
      <c r="AI63" s="123"/>
      <c r="AJ63" s="123"/>
      <c r="AL63" s="80"/>
      <c r="AM63" s="80"/>
      <c r="AN63" s="80"/>
      <c r="AO63" s="80"/>
      <c r="AP63" s="80"/>
      <c r="AQ63" s="80"/>
      <c r="AR63" s="80"/>
      <c r="AS63" s="80"/>
      <c r="AT63" s="80"/>
      <c r="AU63" s="80"/>
      <c r="AV63" s="80"/>
      <c r="AW63" s="80"/>
    </row>
    <row r="64" spans="1:49" s="79" customFormat="1" ht="15.75">
      <c r="A64" s="120"/>
      <c r="B64" s="121"/>
      <c r="C64" s="122"/>
      <c r="D64" s="122"/>
      <c r="E64" s="122"/>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L64" s="80"/>
      <c r="AM64" s="80"/>
      <c r="AN64" s="80"/>
      <c r="AO64" s="80"/>
      <c r="AP64" s="80"/>
      <c r="AQ64" s="80"/>
      <c r="AR64" s="80"/>
      <c r="AS64" s="80"/>
      <c r="AT64" s="80"/>
      <c r="AU64" s="80"/>
      <c r="AV64" s="80"/>
      <c r="AW64" s="80"/>
    </row>
    <row r="65" spans="1:49" s="79" customFormat="1" ht="15.75">
      <c r="A65" s="120"/>
      <c r="B65" s="121"/>
      <c r="C65" s="122"/>
      <c r="D65" s="122"/>
      <c r="E65" s="122"/>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c r="AL65" s="80"/>
      <c r="AM65" s="80"/>
      <c r="AN65" s="80"/>
      <c r="AO65" s="80"/>
      <c r="AP65" s="80"/>
      <c r="AQ65" s="80"/>
      <c r="AR65" s="80"/>
      <c r="AS65" s="80"/>
      <c r="AT65" s="80"/>
      <c r="AU65" s="80"/>
      <c r="AV65" s="80"/>
      <c r="AW65" s="80"/>
    </row>
    <row r="66" spans="1:49" s="79" customFormat="1" ht="15.75">
      <c r="A66" s="120"/>
      <c r="B66" s="121"/>
      <c r="C66" s="122"/>
      <c r="D66" s="122"/>
      <c r="E66" s="122"/>
      <c r="F66" s="123"/>
      <c r="G66" s="123"/>
      <c r="H66" s="123"/>
      <c r="I66" s="123"/>
      <c r="J66" s="123"/>
      <c r="K66" s="123"/>
      <c r="L66" s="123"/>
      <c r="M66" s="123"/>
      <c r="N66" s="123"/>
      <c r="O66" s="123"/>
      <c r="P66" s="123"/>
      <c r="Q66" s="123"/>
      <c r="R66" s="123"/>
      <c r="S66" s="123"/>
      <c r="T66" s="123"/>
      <c r="U66" s="123"/>
      <c r="V66" s="123"/>
      <c r="W66" s="123"/>
      <c r="X66" s="123"/>
      <c r="Y66" s="123"/>
      <c r="Z66" s="123"/>
      <c r="AA66" s="123"/>
      <c r="AB66" s="123"/>
      <c r="AC66" s="123"/>
      <c r="AD66" s="123"/>
      <c r="AE66" s="123"/>
      <c r="AF66" s="123"/>
      <c r="AG66" s="123"/>
      <c r="AH66" s="123"/>
      <c r="AI66" s="123"/>
      <c r="AJ66" s="123"/>
      <c r="AL66" s="80"/>
      <c r="AM66" s="80"/>
      <c r="AN66" s="80"/>
      <c r="AO66" s="80"/>
      <c r="AP66" s="80"/>
      <c r="AQ66" s="80"/>
      <c r="AR66" s="80"/>
      <c r="AS66" s="80"/>
      <c r="AT66" s="80"/>
      <c r="AU66" s="80"/>
      <c r="AV66" s="80"/>
      <c r="AW66" s="80"/>
    </row>
    <row r="67" spans="1:49" s="79" customFormat="1" ht="15.75">
      <c r="A67" s="120"/>
      <c r="B67" s="121"/>
      <c r="C67" s="122"/>
      <c r="D67" s="122"/>
      <c r="E67" s="122"/>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123"/>
      <c r="AL67" s="80"/>
      <c r="AM67" s="80"/>
      <c r="AN67" s="80"/>
      <c r="AO67" s="80"/>
      <c r="AP67" s="80"/>
      <c r="AQ67" s="80"/>
      <c r="AR67" s="80"/>
      <c r="AS67" s="80"/>
      <c r="AT67" s="80"/>
      <c r="AU67" s="80"/>
      <c r="AV67" s="80"/>
      <c r="AW67" s="80"/>
    </row>
    <row r="68" spans="1:49" s="79" customFormat="1" ht="15.75">
      <c r="A68" s="120"/>
      <c r="B68" s="121"/>
      <c r="C68" s="122"/>
      <c r="D68" s="122"/>
      <c r="E68" s="122"/>
      <c r="F68" s="123"/>
      <c r="G68" s="123"/>
      <c r="H68" s="123"/>
      <c r="I68" s="123"/>
      <c r="J68" s="123"/>
      <c r="K68" s="123"/>
      <c r="L68" s="123"/>
      <c r="M68" s="123"/>
      <c r="N68" s="123"/>
      <c r="O68" s="123"/>
      <c r="P68" s="123"/>
      <c r="Q68" s="123"/>
      <c r="R68" s="123"/>
      <c r="S68" s="123"/>
      <c r="T68" s="123"/>
      <c r="U68" s="123"/>
      <c r="V68" s="123"/>
      <c r="W68" s="123"/>
      <c r="X68" s="123"/>
      <c r="Y68" s="123"/>
      <c r="Z68" s="123"/>
      <c r="AA68" s="123"/>
      <c r="AB68" s="123"/>
      <c r="AC68" s="123"/>
      <c r="AD68" s="123"/>
      <c r="AE68" s="123"/>
      <c r="AF68" s="123"/>
      <c r="AG68" s="123"/>
      <c r="AH68" s="123"/>
      <c r="AI68" s="123"/>
      <c r="AJ68" s="123"/>
      <c r="AL68" s="80"/>
      <c r="AM68" s="80"/>
      <c r="AN68" s="80"/>
      <c r="AO68" s="80"/>
      <c r="AP68" s="80"/>
      <c r="AQ68" s="80"/>
      <c r="AR68" s="80"/>
      <c r="AS68" s="80"/>
      <c r="AT68" s="80"/>
      <c r="AU68" s="80"/>
      <c r="AV68" s="80"/>
      <c r="AW68" s="80"/>
    </row>
    <row r="69" spans="1:49" s="79" customFormat="1" ht="15.75">
      <c r="A69" s="120"/>
      <c r="B69" s="121"/>
      <c r="C69" s="122"/>
      <c r="D69" s="122"/>
      <c r="E69" s="122"/>
      <c r="F69" s="123"/>
      <c r="G69" s="123"/>
      <c r="H69" s="123"/>
      <c r="I69" s="123"/>
      <c r="J69" s="123"/>
      <c r="K69" s="123"/>
      <c r="L69" s="123"/>
      <c r="M69" s="123"/>
      <c r="N69" s="123"/>
      <c r="O69" s="123"/>
      <c r="P69" s="123"/>
      <c r="Q69" s="123"/>
      <c r="R69" s="123"/>
      <c r="S69" s="123"/>
      <c r="T69" s="123"/>
      <c r="U69" s="123"/>
      <c r="V69" s="123"/>
      <c r="W69" s="123"/>
      <c r="X69" s="123"/>
      <c r="Y69" s="123"/>
      <c r="Z69" s="123"/>
      <c r="AA69" s="123"/>
      <c r="AB69" s="123"/>
      <c r="AC69" s="123"/>
      <c r="AD69" s="123"/>
      <c r="AE69" s="123"/>
      <c r="AF69" s="123"/>
      <c r="AG69" s="123"/>
      <c r="AH69" s="123"/>
      <c r="AI69" s="123"/>
      <c r="AJ69" s="123"/>
      <c r="AL69" s="80"/>
      <c r="AM69" s="80"/>
      <c r="AN69" s="80"/>
      <c r="AO69" s="80"/>
      <c r="AP69" s="80"/>
      <c r="AQ69" s="80"/>
      <c r="AR69" s="80"/>
      <c r="AS69" s="80"/>
      <c r="AT69" s="80"/>
      <c r="AU69" s="80"/>
      <c r="AV69" s="80"/>
      <c r="AW69" s="80"/>
    </row>
    <row r="70" spans="1:49" s="79" customFormat="1" ht="15.75">
      <c r="A70" s="120"/>
      <c r="B70" s="121"/>
      <c r="C70" s="122"/>
      <c r="D70" s="122"/>
      <c r="E70" s="122"/>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123"/>
      <c r="AI70" s="123"/>
      <c r="AJ70" s="123"/>
      <c r="AL70" s="80"/>
      <c r="AM70" s="80"/>
      <c r="AN70" s="80"/>
      <c r="AO70" s="80"/>
      <c r="AP70" s="80"/>
      <c r="AQ70" s="80"/>
      <c r="AR70" s="80"/>
      <c r="AS70" s="80"/>
      <c r="AT70" s="80"/>
      <c r="AU70" s="80"/>
      <c r="AV70" s="80"/>
      <c r="AW70" s="80"/>
    </row>
    <row r="71" spans="1:49" s="79" customFormat="1" ht="15.75">
      <c r="A71" s="120"/>
      <c r="B71" s="121"/>
      <c r="C71" s="122"/>
      <c r="D71" s="122"/>
      <c r="E71" s="122"/>
      <c r="F71" s="123"/>
      <c r="G71" s="123"/>
      <c r="H71" s="123"/>
      <c r="I71" s="123"/>
      <c r="J71" s="123"/>
      <c r="K71" s="123"/>
      <c r="L71" s="123"/>
      <c r="M71" s="123"/>
      <c r="N71" s="123"/>
      <c r="O71" s="123"/>
      <c r="P71" s="123"/>
      <c r="Q71" s="123"/>
      <c r="R71" s="123"/>
      <c r="S71" s="123"/>
      <c r="T71" s="123"/>
      <c r="U71" s="123"/>
      <c r="V71" s="123"/>
      <c r="W71" s="123"/>
      <c r="X71" s="123"/>
      <c r="Y71" s="123"/>
      <c r="Z71" s="123"/>
      <c r="AA71" s="123"/>
      <c r="AB71" s="123"/>
      <c r="AC71" s="123"/>
      <c r="AD71" s="123"/>
      <c r="AE71" s="123"/>
      <c r="AF71" s="123"/>
      <c r="AG71" s="123"/>
      <c r="AH71" s="123"/>
      <c r="AI71" s="123"/>
      <c r="AJ71" s="123"/>
      <c r="AL71" s="80"/>
      <c r="AM71" s="80"/>
      <c r="AN71" s="80"/>
      <c r="AO71" s="80"/>
      <c r="AP71" s="80"/>
      <c r="AQ71" s="80"/>
      <c r="AR71" s="80"/>
      <c r="AS71" s="80"/>
      <c r="AT71" s="80"/>
      <c r="AU71" s="80"/>
      <c r="AV71" s="80"/>
      <c r="AW71" s="80"/>
    </row>
    <row r="72" spans="1:49" s="79" customFormat="1" ht="15.75">
      <c r="A72" s="120"/>
      <c r="B72" s="121"/>
      <c r="C72" s="122"/>
      <c r="D72" s="122"/>
      <c r="E72" s="122"/>
      <c r="F72" s="123"/>
      <c r="G72" s="123"/>
      <c r="H72" s="123"/>
      <c r="I72" s="123"/>
      <c r="J72" s="123"/>
      <c r="K72" s="123"/>
      <c r="L72" s="123"/>
      <c r="M72" s="123"/>
      <c r="N72" s="123"/>
      <c r="O72" s="123"/>
      <c r="P72" s="123"/>
      <c r="Q72" s="123"/>
      <c r="R72" s="123"/>
      <c r="S72" s="123"/>
      <c r="T72" s="123"/>
      <c r="U72" s="123"/>
      <c r="V72" s="123"/>
      <c r="W72" s="123"/>
      <c r="X72" s="123"/>
      <c r="Y72" s="123"/>
      <c r="Z72" s="123"/>
      <c r="AA72" s="123"/>
      <c r="AB72" s="123"/>
      <c r="AC72" s="123"/>
      <c r="AD72" s="123"/>
      <c r="AE72" s="123"/>
      <c r="AF72" s="123"/>
      <c r="AG72" s="123"/>
      <c r="AH72" s="123"/>
      <c r="AI72" s="123"/>
      <c r="AJ72" s="123"/>
      <c r="AL72" s="80"/>
      <c r="AM72" s="80"/>
      <c r="AN72" s="80"/>
      <c r="AO72" s="80"/>
      <c r="AP72" s="80"/>
      <c r="AQ72" s="80"/>
      <c r="AR72" s="80"/>
      <c r="AS72" s="80"/>
      <c r="AT72" s="80"/>
      <c r="AU72" s="80"/>
      <c r="AV72" s="80"/>
      <c r="AW72" s="80"/>
    </row>
    <row r="73" spans="1:49" s="79" customFormat="1" ht="15.75">
      <c r="A73" s="120"/>
      <c r="B73" s="121"/>
      <c r="C73" s="122"/>
      <c r="D73" s="122"/>
      <c r="E73" s="122"/>
      <c r="F73" s="123"/>
      <c r="G73" s="123"/>
      <c r="H73" s="123"/>
      <c r="I73" s="123"/>
      <c r="J73" s="123"/>
      <c r="K73" s="123"/>
      <c r="L73" s="123"/>
      <c r="M73" s="123"/>
      <c r="N73" s="123"/>
      <c r="O73" s="123"/>
      <c r="P73" s="123"/>
      <c r="Q73" s="123"/>
      <c r="R73" s="123"/>
      <c r="S73" s="123"/>
      <c r="T73" s="123"/>
      <c r="U73" s="123"/>
      <c r="V73" s="123"/>
      <c r="W73" s="123"/>
      <c r="X73" s="123"/>
      <c r="Y73" s="123"/>
      <c r="Z73" s="123"/>
      <c r="AA73" s="123"/>
      <c r="AB73" s="123"/>
      <c r="AC73" s="123"/>
      <c r="AD73" s="123"/>
      <c r="AE73" s="123"/>
      <c r="AF73" s="123"/>
      <c r="AG73" s="123"/>
      <c r="AH73" s="123"/>
      <c r="AI73" s="123"/>
      <c r="AJ73" s="123"/>
      <c r="AL73" s="80"/>
      <c r="AM73" s="80"/>
      <c r="AN73" s="80"/>
      <c r="AO73" s="80"/>
      <c r="AP73" s="80"/>
      <c r="AQ73" s="80"/>
      <c r="AR73" s="80"/>
      <c r="AS73" s="80"/>
      <c r="AT73" s="80"/>
      <c r="AU73" s="80"/>
      <c r="AV73" s="80"/>
      <c r="AW73" s="80"/>
    </row>
    <row r="74" spans="1:49" s="79" customFormat="1" ht="15.75">
      <c r="A74" s="120"/>
      <c r="B74" s="121"/>
      <c r="C74" s="122"/>
      <c r="D74" s="122"/>
      <c r="E74" s="122"/>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123"/>
      <c r="AJ74" s="123"/>
      <c r="AL74" s="80"/>
      <c r="AM74" s="80"/>
      <c r="AN74" s="80"/>
      <c r="AO74" s="80"/>
      <c r="AP74" s="80"/>
      <c r="AQ74" s="80"/>
      <c r="AR74" s="80"/>
      <c r="AS74" s="80"/>
      <c r="AT74" s="80"/>
      <c r="AU74" s="80"/>
      <c r="AV74" s="80"/>
      <c r="AW74" s="80"/>
    </row>
    <row r="75" spans="1:49" s="79" customFormat="1" ht="15.75">
      <c r="A75" s="120"/>
      <c r="B75" s="121"/>
      <c r="C75" s="122"/>
      <c r="D75" s="122"/>
      <c r="E75" s="122"/>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123"/>
      <c r="AH75" s="123"/>
      <c r="AI75" s="123"/>
      <c r="AJ75" s="123"/>
      <c r="AL75" s="80"/>
      <c r="AM75" s="80"/>
      <c r="AN75" s="80"/>
      <c r="AO75" s="80"/>
      <c r="AP75" s="80"/>
      <c r="AQ75" s="80"/>
      <c r="AR75" s="80"/>
      <c r="AS75" s="80"/>
      <c r="AT75" s="80"/>
      <c r="AU75" s="80"/>
      <c r="AV75" s="80"/>
      <c r="AW75" s="80"/>
    </row>
    <row r="76" spans="1:49" s="79" customFormat="1" ht="15.75">
      <c r="A76" s="120"/>
      <c r="B76" s="121"/>
      <c r="C76" s="122"/>
      <c r="D76" s="122"/>
      <c r="E76" s="122"/>
      <c r="F76" s="123"/>
      <c r="G76" s="123"/>
      <c r="H76" s="123"/>
      <c r="I76" s="123"/>
      <c r="J76" s="123"/>
      <c r="K76" s="123"/>
      <c r="L76" s="123"/>
      <c r="M76" s="123"/>
      <c r="N76" s="123"/>
      <c r="O76" s="123"/>
      <c r="P76" s="123"/>
      <c r="Q76" s="123"/>
      <c r="R76" s="123"/>
      <c r="S76" s="123"/>
      <c r="T76" s="123"/>
      <c r="U76" s="123"/>
      <c r="V76" s="123"/>
      <c r="W76" s="123"/>
      <c r="X76" s="123"/>
      <c r="Y76" s="123"/>
      <c r="Z76" s="123"/>
      <c r="AA76" s="123"/>
      <c r="AB76" s="123"/>
      <c r="AC76" s="123"/>
      <c r="AD76" s="123"/>
      <c r="AE76" s="123"/>
      <c r="AF76" s="123"/>
      <c r="AG76" s="123"/>
      <c r="AH76" s="123"/>
      <c r="AI76" s="123"/>
      <c r="AJ76" s="123"/>
      <c r="AL76" s="80"/>
      <c r="AM76" s="80"/>
      <c r="AN76" s="80"/>
      <c r="AO76" s="80"/>
      <c r="AP76" s="80"/>
      <c r="AQ76" s="80"/>
      <c r="AR76" s="80"/>
      <c r="AS76" s="80"/>
      <c r="AT76" s="80"/>
      <c r="AU76" s="80"/>
      <c r="AV76" s="80"/>
      <c r="AW76" s="80"/>
    </row>
    <row r="77" spans="1:49" s="79" customFormat="1" ht="15.75">
      <c r="A77" s="120"/>
      <c r="B77" s="121"/>
      <c r="C77" s="122"/>
      <c r="D77" s="122"/>
      <c r="E77" s="122"/>
      <c r="F77" s="123"/>
      <c r="G77" s="123"/>
      <c r="H77" s="123"/>
      <c r="I77" s="123"/>
      <c r="J77" s="123"/>
      <c r="K77" s="123"/>
      <c r="L77" s="123"/>
      <c r="M77" s="123"/>
      <c r="N77" s="123"/>
      <c r="O77" s="123"/>
      <c r="P77" s="123"/>
      <c r="Q77" s="123"/>
      <c r="R77" s="123"/>
      <c r="S77" s="123"/>
      <c r="T77" s="123"/>
      <c r="U77" s="123"/>
      <c r="V77" s="123"/>
      <c r="W77" s="123"/>
      <c r="X77" s="123"/>
      <c r="Y77" s="123"/>
      <c r="Z77" s="123"/>
      <c r="AA77" s="123"/>
      <c r="AB77" s="123"/>
      <c r="AC77" s="123"/>
      <c r="AD77" s="123"/>
      <c r="AE77" s="123"/>
      <c r="AF77" s="123"/>
      <c r="AG77" s="123"/>
      <c r="AH77" s="123"/>
      <c r="AI77" s="123"/>
      <c r="AJ77" s="123"/>
      <c r="AL77" s="80"/>
      <c r="AM77" s="80"/>
      <c r="AN77" s="80"/>
      <c r="AO77" s="80"/>
      <c r="AP77" s="80"/>
      <c r="AQ77" s="80"/>
      <c r="AR77" s="80"/>
      <c r="AS77" s="80"/>
      <c r="AT77" s="80"/>
      <c r="AU77" s="80"/>
      <c r="AV77" s="80"/>
      <c r="AW77" s="80"/>
    </row>
    <row r="78" spans="1:49" s="79" customFormat="1" ht="15.75">
      <c r="A78" s="120"/>
      <c r="B78" s="121"/>
      <c r="C78" s="122"/>
      <c r="D78" s="122"/>
      <c r="E78" s="122"/>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c r="AI78" s="123"/>
      <c r="AJ78" s="123"/>
      <c r="AL78" s="80"/>
      <c r="AM78" s="80"/>
      <c r="AN78" s="80"/>
      <c r="AO78" s="80"/>
      <c r="AP78" s="80"/>
      <c r="AQ78" s="80"/>
      <c r="AR78" s="80"/>
      <c r="AS78" s="80"/>
      <c r="AT78" s="80"/>
      <c r="AU78" s="80"/>
      <c r="AV78" s="80"/>
      <c r="AW78" s="80"/>
    </row>
    <row r="79" spans="1:49" s="79" customFormat="1" ht="15.75">
      <c r="A79" s="120"/>
      <c r="B79" s="121"/>
      <c r="C79" s="122"/>
      <c r="D79" s="122"/>
      <c r="E79" s="122"/>
      <c r="F79" s="123"/>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D79" s="123"/>
      <c r="AE79" s="123"/>
      <c r="AF79" s="123"/>
      <c r="AG79" s="123"/>
      <c r="AH79" s="123"/>
      <c r="AI79" s="123"/>
      <c r="AJ79" s="123"/>
      <c r="AL79" s="80"/>
      <c r="AM79" s="80"/>
      <c r="AN79" s="80"/>
      <c r="AO79" s="80"/>
      <c r="AP79" s="80"/>
      <c r="AQ79" s="80"/>
      <c r="AR79" s="80"/>
      <c r="AS79" s="80"/>
      <c r="AT79" s="80"/>
      <c r="AU79" s="80"/>
      <c r="AV79" s="80"/>
      <c r="AW79" s="80"/>
    </row>
    <row r="80" spans="1:49" s="79" customFormat="1" ht="15.75">
      <c r="A80" s="120"/>
      <c r="B80" s="121"/>
      <c r="C80" s="122"/>
      <c r="D80" s="122"/>
      <c r="E80" s="122"/>
      <c r="F80" s="123"/>
      <c r="G80" s="123"/>
      <c r="H80" s="123"/>
      <c r="I80" s="123"/>
      <c r="J80" s="123"/>
      <c r="K80" s="123"/>
      <c r="L80" s="123"/>
      <c r="M80" s="123"/>
      <c r="N80" s="123"/>
      <c r="O80" s="123"/>
      <c r="P80" s="123"/>
      <c r="Q80" s="123"/>
      <c r="R80" s="123"/>
      <c r="S80" s="123"/>
      <c r="T80" s="123"/>
      <c r="U80" s="123"/>
      <c r="V80" s="123"/>
      <c r="W80" s="123"/>
      <c r="X80" s="123"/>
      <c r="Y80" s="123"/>
      <c r="Z80" s="123"/>
      <c r="AA80" s="123"/>
      <c r="AB80" s="123"/>
      <c r="AC80" s="123"/>
      <c r="AD80" s="123"/>
      <c r="AE80" s="123"/>
      <c r="AF80" s="123"/>
      <c r="AG80" s="123"/>
      <c r="AH80" s="123"/>
      <c r="AI80" s="123"/>
      <c r="AJ80" s="123"/>
      <c r="AL80" s="80"/>
      <c r="AM80" s="80"/>
      <c r="AN80" s="80"/>
      <c r="AO80" s="80"/>
      <c r="AP80" s="80"/>
      <c r="AQ80" s="80"/>
      <c r="AR80" s="80"/>
      <c r="AS80" s="80"/>
      <c r="AT80" s="80"/>
      <c r="AU80" s="80"/>
      <c r="AV80" s="80"/>
      <c r="AW80" s="80"/>
    </row>
    <row r="81" spans="1:49" s="79" customFormat="1" ht="15.75">
      <c r="A81" s="120"/>
      <c r="B81" s="121"/>
      <c r="C81" s="122"/>
      <c r="D81" s="122"/>
      <c r="E81" s="122"/>
      <c r="F81" s="123"/>
      <c r="G81" s="123"/>
      <c r="H81" s="123"/>
      <c r="I81" s="123"/>
      <c r="J81" s="123"/>
      <c r="K81" s="123"/>
      <c r="L81" s="123"/>
      <c r="M81" s="123"/>
      <c r="N81" s="123"/>
      <c r="O81" s="123"/>
      <c r="P81" s="123"/>
      <c r="Q81" s="123"/>
      <c r="R81" s="123"/>
      <c r="S81" s="123"/>
      <c r="T81" s="123"/>
      <c r="U81" s="123"/>
      <c r="V81" s="123"/>
      <c r="W81" s="123"/>
      <c r="X81" s="123"/>
      <c r="Y81" s="123"/>
      <c r="Z81" s="123"/>
      <c r="AA81" s="123"/>
      <c r="AB81" s="123"/>
      <c r="AC81" s="123"/>
      <c r="AD81" s="123"/>
      <c r="AE81" s="123"/>
      <c r="AF81" s="123"/>
      <c r="AG81" s="123"/>
      <c r="AH81" s="123"/>
      <c r="AI81" s="123"/>
      <c r="AJ81" s="123"/>
      <c r="AL81" s="80"/>
      <c r="AM81" s="80"/>
      <c r="AN81" s="80"/>
      <c r="AO81" s="80"/>
      <c r="AP81" s="80"/>
      <c r="AQ81" s="80"/>
      <c r="AR81" s="80"/>
      <c r="AS81" s="80"/>
      <c r="AT81" s="80"/>
      <c r="AU81" s="80"/>
      <c r="AV81" s="80"/>
      <c r="AW81" s="80"/>
    </row>
    <row r="82" spans="1:49" s="79" customFormat="1" ht="15.75">
      <c r="A82" s="120"/>
      <c r="B82" s="121"/>
      <c r="C82" s="122"/>
      <c r="D82" s="122"/>
      <c r="E82" s="122"/>
      <c r="F82" s="123"/>
      <c r="G82" s="123"/>
      <c r="H82" s="123"/>
      <c r="I82" s="123"/>
      <c r="J82" s="123"/>
      <c r="K82" s="123"/>
      <c r="L82" s="123"/>
      <c r="M82" s="123"/>
      <c r="N82" s="123"/>
      <c r="O82" s="123"/>
      <c r="P82" s="123"/>
      <c r="Q82" s="123"/>
      <c r="R82" s="123"/>
      <c r="S82" s="123"/>
      <c r="T82" s="123"/>
      <c r="U82" s="123"/>
      <c r="V82" s="123"/>
      <c r="W82" s="123"/>
      <c r="X82" s="123"/>
      <c r="Y82" s="123"/>
      <c r="Z82" s="123"/>
      <c r="AA82" s="123"/>
      <c r="AB82" s="123"/>
      <c r="AC82" s="123"/>
      <c r="AD82" s="123"/>
      <c r="AE82" s="123"/>
      <c r="AF82" s="123"/>
      <c r="AG82" s="123"/>
      <c r="AH82" s="123"/>
      <c r="AI82" s="123"/>
      <c r="AJ82" s="123"/>
      <c r="AL82" s="80"/>
      <c r="AM82" s="80"/>
      <c r="AN82" s="80"/>
      <c r="AO82" s="80"/>
      <c r="AP82" s="80"/>
      <c r="AQ82" s="80"/>
      <c r="AR82" s="80"/>
      <c r="AS82" s="80"/>
      <c r="AT82" s="80"/>
      <c r="AU82" s="80"/>
      <c r="AV82" s="80"/>
      <c r="AW82" s="80"/>
    </row>
    <row r="83" spans="1:49" s="79" customFormat="1" ht="15.75">
      <c r="A83" s="120"/>
      <c r="B83" s="121"/>
      <c r="C83" s="122"/>
      <c r="D83" s="122"/>
      <c r="E83" s="122"/>
      <c r="F83" s="123"/>
      <c r="G83" s="123"/>
      <c r="H83" s="123"/>
      <c r="I83" s="123"/>
      <c r="J83" s="123"/>
      <c r="K83" s="123"/>
      <c r="L83" s="123"/>
      <c r="M83" s="123"/>
      <c r="N83" s="123"/>
      <c r="O83" s="123"/>
      <c r="P83" s="123"/>
      <c r="Q83" s="123"/>
      <c r="R83" s="123"/>
      <c r="S83" s="123"/>
      <c r="T83" s="123"/>
      <c r="U83" s="123"/>
      <c r="V83" s="123"/>
      <c r="W83" s="123"/>
      <c r="X83" s="123"/>
      <c r="Y83" s="123"/>
      <c r="Z83" s="123"/>
      <c r="AA83" s="123"/>
      <c r="AB83" s="123"/>
      <c r="AC83" s="123"/>
      <c r="AD83" s="123"/>
      <c r="AE83" s="123"/>
      <c r="AF83" s="123"/>
      <c r="AG83" s="123"/>
      <c r="AH83" s="123"/>
      <c r="AI83" s="123"/>
      <c r="AJ83" s="123"/>
      <c r="AL83" s="80"/>
      <c r="AM83" s="80"/>
      <c r="AN83" s="80"/>
      <c r="AO83" s="80"/>
      <c r="AP83" s="80"/>
      <c r="AQ83" s="80"/>
      <c r="AR83" s="80"/>
      <c r="AS83" s="80"/>
      <c r="AT83" s="80"/>
      <c r="AU83" s="80"/>
      <c r="AV83" s="80"/>
      <c r="AW83" s="80"/>
    </row>
    <row r="84" spans="1:49" s="79" customFormat="1" ht="15.75">
      <c r="A84" s="120"/>
      <c r="B84" s="121"/>
      <c r="C84" s="122"/>
      <c r="D84" s="122"/>
      <c r="E84" s="122"/>
      <c r="F84" s="123"/>
      <c r="G84" s="123"/>
      <c r="H84" s="123"/>
      <c r="I84" s="123"/>
      <c r="J84" s="123"/>
      <c r="K84" s="123"/>
      <c r="L84" s="123"/>
      <c r="M84" s="123"/>
      <c r="N84" s="123"/>
      <c r="O84" s="123"/>
      <c r="P84" s="123"/>
      <c r="Q84" s="123"/>
      <c r="R84" s="123"/>
      <c r="S84" s="123"/>
      <c r="T84" s="123"/>
      <c r="U84" s="123"/>
      <c r="V84" s="123"/>
      <c r="W84" s="123"/>
      <c r="X84" s="123"/>
      <c r="Y84" s="123"/>
      <c r="Z84" s="123"/>
      <c r="AA84" s="123"/>
      <c r="AB84" s="123"/>
      <c r="AC84" s="123"/>
      <c r="AD84" s="123"/>
      <c r="AE84" s="123"/>
      <c r="AF84" s="123"/>
      <c r="AG84" s="123"/>
      <c r="AH84" s="123"/>
      <c r="AI84" s="123"/>
      <c r="AJ84" s="123"/>
      <c r="AL84" s="80"/>
      <c r="AM84" s="80"/>
      <c r="AN84" s="80"/>
      <c r="AO84" s="80"/>
      <c r="AP84" s="80"/>
      <c r="AQ84" s="80"/>
      <c r="AR84" s="80"/>
      <c r="AS84" s="80"/>
      <c r="AT84" s="80"/>
      <c r="AU84" s="80"/>
      <c r="AV84" s="80"/>
      <c r="AW84" s="80"/>
    </row>
    <row r="85" spans="1:49" s="79" customFormat="1" ht="15.75">
      <c r="A85" s="120"/>
      <c r="B85" s="121"/>
      <c r="C85" s="122"/>
      <c r="D85" s="122"/>
      <c r="E85" s="122"/>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c r="AI85" s="123"/>
      <c r="AJ85" s="123"/>
      <c r="AL85" s="80"/>
      <c r="AM85" s="80"/>
      <c r="AN85" s="80"/>
      <c r="AO85" s="80"/>
      <c r="AP85" s="80"/>
      <c r="AQ85" s="80"/>
      <c r="AR85" s="80"/>
      <c r="AS85" s="80"/>
      <c r="AT85" s="80"/>
      <c r="AU85" s="80"/>
      <c r="AV85" s="80"/>
      <c r="AW85" s="80"/>
    </row>
    <row r="86" spans="1:49" s="79" customFormat="1" ht="15.75">
      <c r="A86" s="120"/>
      <c r="B86" s="121"/>
      <c r="C86" s="122"/>
      <c r="D86" s="122"/>
      <c r="E86" s="122"/>
      <c r="F86" s="123"/>
      <c r="G86" s="123"/>
      <c r="H86" s="123"/>
      <c r="I86" s="123"/>
      <c r="J86" s="123"/>
      <c r="K86" s="123"/>
      <c r="L86" s="123"/>
      <c r="M86" s="123"/>
      <c r="N86" s="123"/>
      <c r="O86" s="123"/>
      <c r="P86" s="123"/>
      <c r="Q86" s="123"/>
      <c r="R86" s="123"/>
      <c r="S86" s="123"/>
      <c r="T86" s="123"/>
      <c r="U86" s="123"/>
      <c r="V86" s="123"/>
      <c r="W86" s="123"/>
      <c r="X86" s="123"/>
      <c r="Y86" s="123"/>
      <c r="Z86" s="123"/>
      <c r="AA86" s="123"/>
      <c r="AB86" s="123"/>
      <c r="AC86" s="123"/>
      <c r="AD86" s="123"/>
      <c r="AE86" s="123"/>
      <c r="AF86" s="123"/>
      <c r="AG86" s="123"/>
      <c r="AH86" s="123"/>
      <c r="AI86" s="123"/>
      <c r="AJ86" s="123"/>
      <c r="AL86" s="80"/>
      <c r="AM86" s="80"/>
      <c r="AN86" s="80"/>
      <c r="AO86" s="80"/>
      <c r="AP86" s="80"/>
      <c r="AQ86" s="80"/>
      <c r="AR86" s="80"/>
      <c r="AS86" s="80"/>
      <c r="AT86" s="80"/>
      <c r="AU86" s="80"/>
      <c r="AV86" s="80"/>
      <c r="AW86" s="80"/>
    </row>
    <row r="87" spans="1:49" s="79" customFormat="1" ht="15.75">
      <c r="A87" s="120"/>
      <c r="B87" s="121"/>
      <c r="C87" s="122"/>
      <c r="D87" s="122"/>
      <c r="E87" s="122"/>
      <c r="F87" s="123"/>
      <c r="G87" s="123"/>
      <c r="H87" s="123"/>
      <c r="I87" s="123"/>
      <c r="J87" s="123"/>
      <c r="K87" s="123"/>
      <c r="L87" s="123"/>
      <c r="M87" s="123"/>
      <c r="N87" s="123"/>
      <c r="O87" s="123"/>
      <c r="P87" s="123"/>
      <c r="Q87" s="123"/>
      <c r="R87" s="123"/>
      <c r="S87" s="123"/>
      <c r="T87" s="123"/>
      <c r="U87" s="123"/>
      <c r="V87" s="123"/>
      <c r="W87" s="123"/>
      <c r="X87" s="123"/>
      <c r="Y87" s="123"/>
      <c r="Z87" s="123"/>
      <c r="AA87" s="123"/>
      <c r="AB87" s="123"/>
      <c r="AC87" s="123"/>
      <c r="AD87" s="123"/>
      <c r="AE87" s="123"/>
      <c r="AF87" s="123"/>
      <c r="AG87" s="123"/>
      <c r="AH87" s="123"/>
      <c r="AI87" s="123"/>
      <c r="AJ87" s="123"/>
      <c r="AL87" s="80"/>
      <c r="AM87" s="80"/>
      <c r="AN87" s="80"/>
      <c r="AO87" s="80"/>
      <c r="AP87" s="80"/>
      <c r="AQ87" s="80"/>
      <c r="AR87" s="80"/>
      <c r="AS87" s="80"/>
      <c r="AT87" s="80"/>
      <c r="AU87" s="80"/>
      <c r="AV87" s="80"/>
      <c r="AW87" s="80"/>
    </row>
    <row r="88" spans="1:49" s="79" customFormat="1" ht="15.75">
      <c r="A88" s="120"/>
      <c r="B88" s="121"/>
      <c r="C88" s="122"/>
      <c r="D88" s="122"/>
      <c r="E88" s="122"/>
      <c r="F88" s="123"/>
      <c r="G88" s="123"/>
      <c r="H88" s="123"/>
      <c r="I88" s="123"/>
      <c r="J88" s="123"/>
      <c r="K88" s="123"/>
      <c r="L88" s="123"/>
      <c r="M88" s="123"/>
      <c r="N88" s="123"/>
      <c r="O88" s="123"/>
      <c r="P88" s="123"/>
      <c r="Q88" s="123"/>
      <c r="R88" s="123"/>
      <c r="S88" s="123"/>
      <c r="T88" s="123"/>
      <c r="U88" s="123"/>
      <c r="V88" s="123"/>
      <c r="W88" s="123"/>
      <c r="X88" s="123"/>
      <c r="Y88" s="123"/>
      <c r="Z88" s="123"/>
      <c r="AA88" s="123"/>
      <c r="AB88" s="123"/>
      <c r="AC88" s="123"/>
      <c r="AD88" s="123"/>
      <c r="AE88" s="123"/>
      <c r="AF88" s="123"/>
      <c r="AG88" s="123"/>
      <c r="AH88" s="123"/>
      <c r="AI88" s="123"/>
      <c r="AJ88" s="123"/>
      <c r="AL88" s="80"/>
      <c r="AM88" s="80"/>
      <c r="AN88" s="80"/>
      <c r="AO88" s="80"/>
      <c r="AP88" s="80"/>
      <c r="AQ88" s="80"/>
      <c r="AR88" s="80"/>
      <c r="AS88" s="80"/>
      <c r="AT88" s="80"/>
      <c r="AU88" s="80"/>
      <c r="AV88" s="80"/>
      <c r="AW88" s="80"/>
    </row>
    <row r="89" spans="1:49" s="79" customFormat="1" ht="15.75">
      <c r="A89" s="120"/>
      <c r="B89" s="121"/>
      <c r="C89" s="122"/>
      <c r="D89" s="122"/>
      <c r="E89" s="122"/>
      <c r="F89" s="123"/>
      <c r="G89" s="123"/>
      <c r="H89" s="123"/>
      <c r="I89" s="123"/>
      <c r="J89" s="123"/>
      <c r="K89" s="123"/>
      <c r="L89" s="123"/>
      <c r="M89" s="123"/>
      <c r="N89" s="123"/>
      <c r="O89" s="123"/>
      <c r="P89" s="123"/>
      <c r="Q89" s="123"/>
      <c r="R89" s="123"/>
      <c r="S89" s="123"/>
      <c r="T89" s="123"/>
      <c r="U89" s="123"/>
      <c r="V89" s="123"/>
      <c r="W89" s="123"/>
      <c r="X89" s="123"/>
      <c r="Y89" s="123"/>
      <c r="Z89" s="123"/>
      <c r="AA89" s="123"/>
      <c r="AB89" s="123"/>
      <c r="AC89" s="123"/>
      <c r="AD89" s="123"/>
      <c r="AE89" s="123"/>
      <c r="AF89" s="123"/>
      <c r="AG89" s="123"/>
      <c r="AH89" s="123"/>
      <c r="AI89" s="123"/>
      <c r="AJ89" s="123"/>
      <c r="AL89" s="80"/>
      <c r="AM89" s="80"/>
      <c r="AN89" s="80"/>
      <c r="AO89" s="80"/>
      <c r="AP89" s="80"/>
      <c r="AQ89" s="80"/>
      <c r="AR89" s="80"/>
      <c r="AS89" s="80"/>
      <c r="AT89" s="80"/>
      <c r="AU89" s="80"/>
      <c r="AV89" s="80"/>
      <c r="AW89" s="80"/>
    </row>
    <row r="90" spans="1:49" s="79" customFormat="1" ht="15.75">
      <c r="A90" s="120"/>
      <c r="B90" s="121"/>
      <c r="C90" s="122"/>
      <c r="D90" s="122"/>
      <c r="E90" s="122"/>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123"/>
      <c r="AD90" s="123"/>
      <c r="AE90" s="123"/>
      <c r="AF90" s="123"/>
      <c r="AG90" s="123"/>
      <c r="AH90" s="123"/>
      <c r="AI90" s="123"/>
      <c r="AJ90" s="123"/>
      <c r="AL90" s="80"/>
      <c r="AM90" s="80"/>
      <c r="AN90" s="80"/>
      <c r="AO90" s="80"/>
      <c r="AP90" s="80"/>
      <c r="AQ90" s="80"/>
      <c r="AR90" s="80"/>
      <c r="AS90" s="80"/>
      <c r="AT90" s="80"/>
      <c r="AU90" s="80"/>
      <c r="AV90" s="80"/>
      <c r="AW90" s="80"/>
    </row>
    <row r="91" spans="1:49" s="79" customFormat="1" ht="15.75">
      <c r="A91" s="120"/>
      <c r="B91" s="121"/>
      <c r="C91" s="122"/>
      <c r="D91" s="122"/>
      <c r="E91" s="122"/>
      <c r="F91" s="123"/>
      <c r="G91" s="123"/>
      <c r="H91" s="123"/>
      <c r="I91" s="123"/>
      <c r="J91" s="123"/>
      <c r="K91" s="123"/>
      <c r="L91" s="123"/>
      <c r="M91" s="123"/>
      <c r="N91" s="123"/>
      <c r="O91" s="123"/>
      <c r="P91" s="123"/>
      <c r="Q91" s="123"/>
      <c r="R91" s="123"/>
      <c r="S91" s="123"/>
      <c r="T91" s="123"/>
      <c r="U91" s="123"/>
      <c r="V91" s="123"/>
      <c r="W91" s="123"/>
      <c r="X91" s="123"/>
      <c r="Y91" s="123"/>
      <c r="Z91" s="123"/>
      <c r="AA91" s="123"/>
      <c r="AB91" s="123"/>
      <c r="AC91" s="123"/>
      <c r="AD91" s="123"/>
      <c r="AE91" s="123"/>
      <c r="AF91" s="123"/>
      <c r="AG91" s="123"/>
      <c r="AH91" s="123"/>
      <c r="AI91" s="123"/>
      <c r="AJ91" s="123"/>
      <c r="AL91" s="80"/>
      <c r="AM91" s="80"/>
      <c r="AN91" s="80"/>
      <c r="AO91" s="80"/>
      <c r="AP91" s="80"/>
      <c r="AQ91" s="80"/>
      <c r="AR91" s="80"/>
      <c r="AS91" s="80"/>
      <c r="AT91" s="80"/>
      <c r="AU91" s="80"/>
      <c r="AV91" s="80"/>
      <c r="AW91" s="80"/>
    </row>
    <row r="92" spans="1:49" s="79" customFormat="1" ht="15.75">
      <c r="A92" s="120"/>
      <c r="B92" s="121"/>
      <c r="C92" s="122"/>
      <c r="D92" s="122"/>
      <c r="E92" s="122"/>
      <c r="F92" s="123"/>
      <c r="G92" s="123"/>
      <c r="H92" s="123"/>
      <c r="I92" s="123"/>
      <c r="J92" s="123"/>
      <c r="K92" s="123"/>
      <c r="L92" s="123"/>
      <c r="M92" s="123"/>
      <c r="N92" s="123"/>
      <c r="O92" s="123"/>
      <c r="P92" s="123"/>
      <c r="Q92" s="123"/>
      <c r="R92" s="123"/>
      <c r="S92" s="123"/>
      <c r="T92" s="123"/>
      <c r="U92" s="123"/>
      <c r="V92" s="123"/>
      <c r="W92" s="123"/>
      <c r="X92" s="123"/>
      <c r="Y92" s="123"/>
      <c r="Z92" s="123"/>
      <c r="AA92" s="123"/>
      <c r="AB92" s="123"/>
      <c r="AC92" s="123"/>
      <c r="AD92" s="123"/>
      <c r="AE92" s="123"/>
      <c r="AF92" s="123"/>
      <c r="AG92" s="123"/>
      <c r="AH92" s="123"/>
      <c r="AI92" s="123"/>
      <c r="AJ92" s="123"/>
      <c r="AL92" s="80"/>
      <c r="AM92" s="80"/>
      <c r="AN92" s="80"/>
      <c r="AO92" s="80"/>
      <c r="AP92" s="80"/>
      <c r="AQ92" s="80"/>
      <c r="AR92" s="80"/>
      <c r="AS92" s="80"/>
      <c r="AT92" s="80"/>
      <c r="AU92" s="80"/>
      <c r="AV92" s="80"/>
      <c r="AW92" s="80"/>
    </row>
    <row r="93" spans="1:49" s="79" customFormat="1" ht="15.75">
      <c r="A93" s="120"/>
      <c r="B93" s="121"/>
      <c r="C93" s="122"/>
      <c r="D93" s="122"/>
      <c r="E93" s="122"/>
      <c r="F93" s="123"/>
      <c r="G93" s="123"/>
      <c r="H93" s="123"/>
      <c r="I93" s="123"/>
      <c r="J93" s="123"/>
      <c r="K93" s="123"/>
      <c r="L93" s="123"/>
      <c r="M93" s="123"/>
      <c r="N93" s="123"/>
      <c r="O93" s="123"/>
      <c r="P93" s="123"/>
      <c r="Q93" s="123"/>
      <c r="R93" s="123"/>
      <c r="S93" s="123"/>
      <c r="T93" s="123"/>
      <c r="U93" s="123"/>
      <c r="V93" s="123"/>
      <c r="W93" s="123"/>
      <c r="X93" s="123"/>
      <c r="Y93" s="123"/>
      <c r="Z93" s="123"/>
      <c r="AA93" s="123"/>
      <c r="AB93" s="123"/>
      <c r="AC93" s="123"/>
      <c r="AD93" s="123"/>
      <c r="AE93" s="123"/>
      <c r="AF93" s="123"/>
      <c r="AG93" s="123"/>
      <c r="AH93" s="123"/>
      <c r="AI93" s="123"/>
      <c r="AJ93" s="123"/>
      <c r="AL93" s="80"/>
      <c r="AM93" s="80"/>
      <c r="AN93" s="80"/>
      <c r="AO93" s="80"/>
      <c r="AP93" s="80"/>
      <c r="AQ93" s="80"/>
      <c r="AR93" s="80"/>
      <c r="AS93" s="80"/>
      <c r="AT93" s="80"/>
      <c r="AU93" s="80"/>
      <c r="AV93" s="80"/>
      <c r="AW93" s="80"/>
    </row>
    <row r="94" spans="1:49" s="79" customFormat="1" ht="15.75">
      <c r="A94" s="120"/>
      <c r="B94" s="121"/>
      <c r="C94" s="122"/>
      <c r="D94" s="122"/>
      <c r="E94" s="122"/>
      <c r="F94" s="123"/>
      <c r="G94" s="123"/>
      <c r="H94" s="123"/>
      <c r="I94" s="123"/>
      <c r="J94" s="123"/>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c r="AJ94" s="123"/>
      <c r="AL94" s="80"/>
      <c r="AM94" s="80"/>
      <c r="AN94" s="80"/>
      <c r="AO94" s="80"/>
      <c r="AP94" s="80"/>
      <c r="AQ94" s="80"/>
      <c r="AR94" s="80"/>
      <c r="AS94" s="80"/>
      <c r="AT94" s="80"/>
      <c r="AU94" s="80"/>
      <c r="AV94" s="80"/>
      <c r="AW94" s="80"/>
    </row>
    <row r="95" spans="1:49" s="79" customFormat="1" ht="15.75">
      <c r="A95" s="120"/>
      <c r="B95" s="121"/>
      <c r="C95" s="122"/>
      <c r="D95" s="122"/>
      <c r="E95" s="122"/>
      <c r="F95" s="123"/>
      <c r="G95" s="123"/>
      <c r="H95" s="123"/>
      <c r="I95" s="123"/>
      <c r="J95" s="123"/>
      <c r="K95" s="123"/>
      <c r="L95" s="123"/>
      <c r="M95" s="123"/>
      <c r="N95" s="123"/>
      <c r="O95" s="123"/>
      <c r="P95" s="123"/>
      <c r="Q95" s="123"/>
      <c r="R95" s="123"/>
      <c r="S95" s="123"/>
      <c r="T95" s="123"/>
      <c r="U95" s="123"/>
      <c r="V95" s="123"/>
      <c r="W95" s="123"/>
      <c r="X95" s="123"/>
      <c r="Y95" s="123"/>
      <c r="Z95" s="123"/>
      <c r="AA95" s="123"/>
      <c r="AB95" s="123"/>
      <c r="AC95" s="123"/>
      <c r="AD95" s="123"/>
      <c r="AE95" s="123"/>
      <c r="AF95" s="123"/>
      <c r="AG95" s="123"/>
      <c r="AH95" s="123"/>
      <c r="AI95" s="123"/>
      <c r="AJ95" s="123"/>
      <c r="AL95" s="80"/>
      <c r="AM95" s="80"/>
      <c r="AN95" s="80"/>
      <c r="AO95" s="80"/>
      <c r="AP95" s="80"/>
      <c r="AQ95" s="80"/>
      <c r="AR95" s="80"/>
      <c r="AS95" s="80"/>
      <c r="AT95" s="80"/>
      <c r="AU95" s="80"/>
      <c r="AV95" s="80"/>
      <c r="AW95" s="80"/>
    </row>
    <row r="96" spans="1:49" s="79" customFormat="1" ht="15.75">
      <c r="A96" s="120"/>
      <c r="B96" s="121"/>
      <c r="C96" s="122"/>
      <c r="D96" s="122"/>
      <c r="E96" s="122"/>
      <c r="F96" s="123"/>
      <c r="G96" s="123"/>
      <c r="H96" s="123"/>
      <c r="I96" s="123"/>
      <c r="J96" s="123"/>
      <c r="K96" s="123"/>
      <c r="L96" s="123"/>
      <c r="M96" s="123"/>
      <c r="N96" s="123"/>
      <c r="O96" s="123"/>
      <c r="P96" s="123"/>
      <c r="Q96" s="123"/>
      <c r="R96" s="123"/>
      <c r="S96" s="123"/>
      <c r="T96" s="123"/>
      <c r="U96" s="123"/>
      <c r="V96" s="123"/>
      <c r="W96" s="123"/>
      <c r="X96" s="123"/>
      <c r="Y96" s="123"/>
      <c r="Z96" s="123"/>
      <c r="AA96" s="123"/>
      <c r="AB96" s="123"/>
      <c r="AC96" s="123"/>
      <c r="AD96" s="123"/>
      <c r="AE96" s="123"/>
      <c r="AF96" s="123"/>
      <c r="AG96" s="123"/>
      <c r="AH96" s="123"/>
      <c r="AI96" s="123"/>
      <c r="AJ96" s="123"/>
      <c r="AL96" s="80"/>
      <c r="AM96" s="80"/>
      <c r="AN96" s="80"/>
      <c r="AO96" s="80"/>
      <c r="AP96" s="80"/>
      <c r="AQ96" s="80"/>
      <c r="AR96" s="80"/>
      <c r="AS96" s="80"/>
      <c r="AT96" s="80"/>
      <c r="AU96" s="80"/>
      <c r="AV96" s="80"/>
      <c r="AW96" s="80"/>
    </row>
    <row r="97" spans="1:49" s="79" customFormat="1" ht="15.75">
      <c r="A97" s="120"/>
      <c r="B97" s="121"/>
      <c r="C97" s="122"/>
      <c r="D97" s="122"/>
      <c r="E97" s="122"/>
      <c r="F97" s="123"/>
      <c r="G97" s="123"/>
      <c r="H97" s="123"/>
      <c r="I97" s="123"/>
      <c r="J97" s="123"/>
      <c r="K97" s="123"/>
      <c r="L97" s="123"/>
      <c r="M97" s="123"/>
      <c r="N97" s="123"/>
      <c r="O97" s="123"/>
      <c r="P97" s="123"/>
      <c r="Q97" s="123"/>
      <c r="R97" s="123"/>
      <c r="S97" s="123"/>
      <c r="T97" s="123"/>
      <c r="U97" s="123"/>
      <c r="V97" s="123"/>
      <c r="W97" s="123"/>
      <c r="X97" s="123"/>
      <c r="Y97" s="123"/>
      <c r="Z97" s="123"/>
      <c r="AA97" s="123"/>
      <c r="AB97" s="123"/>
      <c r="AC97" s="123"/>
      <c r="AD97" s="123"/>
      <c r="AE97" s="123"/>
      <c r="AF97" s="123"/>
      <c r="AG97" s="123"/>
      <c r="AH97" s="123"/>
      <c r="AI97" s="123"/>
      <c r="AJ97" s="123"/>
      <c r="AL97" s="80"/>
      <c r="AM97" s="80"/>
      <c r="AN97" s="80"/>
      <c r="AO97" s="80"/>
      <c r="AP97" s="80"/>
      <c r="AQ97" s="80"/>
      <c r="AR97" s="80"/>
      <c r="AS97" s="80"/>
      <c r="AT97" s="80"/>
      <c r="AU97" s="80"/>
      <c r="AV97" s="80"/>
      <c r="AW97" s="80"/>
    </row>
    <row r="98" spans="1:49" s="79" customFormat="1" ht="15.75">
      <c r="A98" s="120"/>
      <c r="B98" s="121"/>
      <c r="C98" s="122"/>
      <c r="D98" s="122"/>
      <c r="E98" s="122"/>
      <c r="F98" s="123"/>
      <c r="G98" s="123"/>
      <c r="H98" s="123"/>
      <c r="I98" s="123"/>
      <c r="J98" s="123"/>
      <c r="K98" s="123"/>
      <c r="L98" s="123"/>
      <c r="M98" s="123"/>
      <c r="N98" s="123"/>
      <c r="O98" s="123"/>
      <c r="P98" s="123"/>
      <c r="Q98" s="123"/>
      <c r="R98" s="123"/>
      <c r="S98" s="123"/>
      <c r="T98" s="123"/>
      <c r="U98" s="123"/>
      <c r="V98" s="123"/>
      <c r="W98" s="123"/>
      <c r="X98" s="123"/>
      <c r="Y98" s="123"/>
      <c r="Z98" s="123"/>
      <c r="AA98" s="123"/>
      <c r="AB98" s="123"/>
      <c r="AC98" s="123"/>
      <c r="AD98" s="123"/>
      <c r="AE98" s="123"/>
      <c r="AF98" s="123"/>
      <c r="AG98" s="123"/>
      <c r="AH98" s="123"/>
      <c r="AI98" s="123"/>
      <c r="AJ98" s="123"/>
      <c r="AL98" s="80"/>
      <c r="AM98" s="80"/>
      <c r="AN98" s="80"/>
      <c r="AO98" s="80"/>
      <c r="AP98" s="80"/>
      <c r="AQ98" s="80"/>
      <c r="AR98" s="80"/>
      <c r="AS98" s="80"/>
      <c r="AT98" s="80"/>
      <c r="AU98" s="80"/>
      <c r="AV98" s="80"/>
      <c r="AW98" s="80"/>
    </row>
    <row r="99" spans="1:49" s="79" customFormat="1" ht="15.75">
      <c r="A99" s="120"/>
      <c r="B99" s="121"/>
      <c r="C99" s="122"/>
      <c r="D99" s="122"/>
      <c r="E99" s="122"/>
      <c r="F99" s="123"/>
      <c r="G99" s="123"/>
      <c r="H99" s="123"/>
      <c r="I99" s="123"/>
      <c r="J99" s="123"/>
      <c r="K99" s="123"/>
      <c r="L99" s="123"/>
      <c r="M99" s="123"/>
      <c r="N99" s="123"/>
      <c r="O99" s="123"/>
      <c r="P99" s="123"/>
      <c r="Q99" s="123"/>
      <c r="R99" s="123"/>
      <c r="S99" s="123"/>
      <c r="T99" s="123"/>
      <c r="U99" s="123"/>
      <c r="V99" s="123"/>
      <c r="W99" s="123"/>
      <c r="X99" s="123"/>
      <c r="Y99" s="123"/>
      <c r="Z99" s="123"/>
      <c r="AA99" s="123"/>
      <c r="AB99" s="123"/>
      <c r="AC99" s="123"/>
      <c r="AD99" s="123"/>
      <c r="AE99" s="123"/>
      <c r="AF99" s="123"/>
      <c r="AG99" s="123"/>
      <c r="AH99" s="123"/>
      <c r="AI99" s="123"/>
      <c r="AJ99" s="123"/>
      <c r="AL99" s="80"/>
      <c r="AM99" s="80"/>
      <c r="AN99" s="80"/>
      <c r="AO99" s="80"/>
      <c r="AP99" s="80"/>
      <c r="AQ99" s="80"/>
      <c r="AR99" s="80"/>
      <c r="AS99" s="80"/>
      <c r="AT99" s="80"/>
      <c r="AU99" s="80"/>
      <c r="AV99" s="80"/>
      <c r="AW99" s="80"/>
    </row>
    <row r="100" spans="1:49" s="79" customFormat="1" ht="15.75">
      <c r="A100" s="120"/>
      <c r="B100" s="121"/>
      <c r="C100" s="122"/>
      <c r="D100" s="122"/>
      <c r="E100" s="122"/>
      <c r="F100" s="123"/>
      <c r="G100" s="123"/>
      <c r="H100" s="123"/>
      <c r="I100" s="123"/>
      <c r="J100" s="123"/>
      <c r="K100" s="123"/>
      <c r="L100" s="123"/>
      <c r="M100" s="123"/>
      <c r="N100" s="123"/>
      <c r="O100" s="123"/>
      <c r="P100" s="123"/>
      <c r="Q100" s="123"/>
      <c r="R100" s="123"/>
      <c r="S100" s="123"/>
      <c r="T100" s="123"/>
      <c r="U100" s="123"/>
      <c r="V100" s="123"/>
      <c r="W100" s="123"/>
      <c r="X100" s="123"/>
      <c r="Y100" s="123"/>
      <c r="Z100" s="123"/>
      <c r="AA100" s="123"/>
      <c r="AB100" s="123"/>
      <c r="AC100" s="123"/>
      <c r="AD100" s="123"/>
      <c r="AE100" s="123"/>
      <c r="AF100" s="123"/>
      <c r="AG100" s="123"/>
      <c r="AH100" s="123"/>
      <c r="AI100" s="123"/>
      <c r="AJ100" s="123"/>
      <c r="AL100" s="80"/>
      <c r="AM100" s="80"/>
      <c r="AN100" s="80"/>
      <c r="AO100" s="80"/>
      <c r="AP100" s="80"/>
      <c r="AQ100" s="80"/>
      <c r="AR100" s="80"/>
      <c r="AS100" s="80"/>
      <c r="AT100" s="80"/>
      <c r="AU100" s="80"/>
      <c r="AV100" s="80"/>
      <c r="AW100" s="80"/>
    </row>
    <row r="101" spans="1:49" s="79" customFormat="1" ht="15.75">
      <c r="A101" s="120"/>
      <c r="B101" s="121"/>
      <c r="C101" s="122"/>
      <c r="D101" s="122"/>
      <c r="E101" s="122"/>
      <c r="F101" s="123"/>
      <c r="G101" s="123"/>
      <c r="H101" s="123"/>
      <c r="I101" s="123"/>
      <c r="J101" s="123"/>
      <c r="K101" s="123"/>
      <c r="L101" s="123"/>
      <c r="M101" s="123"/>
      <c r="N101" s="123"/>
      <c r="O101" s="123"/>
      <c r="P101" s="123"/>
      <c r="Q101" s="123"/>
      <c r="R101" s="123"/>
      <c r="S101" s="123"/>
      <c r="T101" s="123"/>
      <c r="U101" s="123"/>
      <c r="V101" s="123"/>
      <c r="W101" s="123"/>
      <c r="X101" s="123"/>
      <c r="Y101" s="123"/>
      <c r="Z101" s="123"/>
      <c r="AA101" s="123"/>
      <c r="AB101" s="123"/>
      <c r="AC101" s="123"/>
      <c r="AD101" s="123"/>
      <c r="AE101" s="123"/>
      <c r="AF101" s="123"/>
      <c r="AG101" s="123"/>
      <c r="AH101" s="123"/>
      <c r="AI101" s="123"/>
      <c r="AJ101" s="123"/>
      <c r="AL101" s="80"/>
      <c r="AM101" s="80"/>
      <c r="AN101" s="80"/>
      <c r="AO101" s="80"/>
      <c r="AP101" s="80"/>
      <c r="AQ101" s="80"/>
      <c r="AR101" s="80"/>
      <c r="AS101" s="80"/>
      <c r="AT101" s="80"/>
      <c r="AU101" s="80"/>
      <c r="AV101" s="80"/>
      <c r="AW101" s="80"/>
    </row>
    <row r="102" spans="1:49" s="79" customFormat="1" ht="15.75">
      <c r="A102" s="120"/>
      <c r="B102" s="121"/>
      <c r="C102" s="122"/>
      <c r="D102" s="122"/>
      <c r="E102" s="122"/>
      <c r="F102" s="123"/>
      <c r="G102" s="123"/>
      <c r="H102" s="123"/>
      <c r="I102" s="123"/>
      <c r="J102" s="123"/>
      <c r="K102" s="123"/>
      <c r="L102" s="123"/>
      <c r="M102" s="123"/>
      <c r="N102" s="123"/>
      <c r="O102" s="123"/>
      <c r="P102" s="123"/>
      <c r="Q102" s="123"/>
      <c r="R102" s="123"/>
      <c r="S102" s="123"/>
      <c r="T102" s="123"/>
      <c r="U102" s="123"/>
      <c r="V102" s="123"/>
      <c r="W102" s="123"/>
      <c r="X102" s="123"/>
      <c r="Y102" s="123"/>
      <c r="Z102" s="123"/>
      <c r="AA102" s="123"/>
      <c r="AB102" s="123"/>
      <c r="AC102" s="123"/>
      <c r="AD102" s="123"/>
      <c r="AE102" s="123"/>
      <c r="AF102" s="123"/>
      <c r="AG102" s="123"/>
      <c r="AH102" s="123"/>
      <c r="AI102" s="123"/>
      <c r="AJ102" s="123"/>
      <c r="AL102" s="80"/>
      <c r="AM102" s="80"/>
      <c r="AN102" s="80"/>
      <c r="AO102" s="80"/>
      <c r="AP102" s="80"/>
      <c r="AQ102" s="80"/>
      <c r="AR102" s="80"/>
      <c r="AS102" s="80"/>
      <c r="AT102" s="80"/>
      <c r="AU102" s="80"/>
      <c r="AV102" s="80"/>
      <c r="AW102" s="80"/>
    </row>
    <row r="103" spans="1:49" s="79" customFormat="1" ht="15.75">
      <c r="A103" s="120"/>
      <c r="B103" s="121"/>
      <c r="C103" s="122"/>
      <c r="D103" s="122"/>
      <c r="E103" s="122"/>
      <c r="F103" s="123"/>
      <c r="G103" s="123"/>
      <c r="H103" s="123"/>
      <c r="I103" s="123"/>
      <c r="J103" s="123"/>
      <c r="K103" s="123"/>
      <c r="L103" s="123"/>
      <c r="M103" s="123"/>
      <c r="N103" s="123"/>
      <c r="O103" s="123"/>
      <c r="P103" s="123"/>
      <c r="Q103" s="123"/>
      <c r="R103" s="123"/>
      <c r="S103" s="123"/>
      <c r="T103" s="123"/>
      <c r="U103" s="123"/>
      <c r="V103" s="123"/>
      <c r="W103" s="123"/>
      <c r="X103" s="123"/>
      <c r="Y103" s="123"/>
      <c r="Z103" s="123"/>
      <c r="AA103" s="123"/>
      <c r="AB103" s="123"/>
      <c r="AC103" s="123"/>
      <c r="AD103" s="123"/>
      <c r="AE103" s="123"/>
      <c r="AF103" s="123"/>
      <c r="AG103" s="123"/>
      <c r="AH103" s="123"/>
      <c r="AI103" s="123"/>
      <c r="AJ103" s="123"/>
      <c r="AL103" s="80"/>
      <c r="AM103" s="80"/>
      <c r="AN103" s="80"/>
      <c r="AO103" s="80"/>
      <c r="AP103" s="80"/>
      <c r="AQ103" s="80"/>
      <c r="AR103" s="80"/>
      <c r="AS103" s="80"/>
      <c r="AT103" s="80"/>
      <c r="AU103" s="80"/>
      <c r="AV103" s="80"/>
      <c r="AW103" s="80"/>
    </row>
    <row r="104" spans="1:49" s="79" customFormat="1" ht="15.75">
      <c r="A104" s="120"/>
      <c r="B104" s="121"/>
      <c r="C104" s="122"/>
      <c r="D104" s="122"/>
      <c r="E104" s="122"/>
      <c r="F104" s="123"/>
      <c r="G104" s="123"/>
      <c r="H104" s="123"/>
      <c r="I104" s="123"/>
      <c r="J104" s="123"/>
      <c r="K104" s="123"/>
      <c r="L104" s="123"/>
      <c r="M104" s="123"/>
      <c r="N104" s="123"/>
      <c r="O104" s="123"/>
      <c r="P104" s="123"/>
      <c r="Q104" s="123"/>
      <c r="R104" s="123"/>
      <c r="S104" s="123"/>
      <c r="T104" s="123"/>
      <c r="U104" s="123"/>
      <c r="V104" s="123"/>
      <c r="W104" s="123"/>
      <c r="X104" s="123"/>
      <c r="Y104" s="123"/>
      <c r="Z104" s="123"/>
      <c r="AA104" s="123"/>
      <c r="AB104" s="123"/>
      <c r="AC104" s="123"/>
      <c r="AD104" s="123"/>
      <c r="AE104" s="123"/>
      <c r="AF104" s="123"/>
      <c r="AG104" s="123"/>
      <c r="AH104" s="123"/>
      <c r="AI104" s="123"/>
      <c r="AJ104" s="123"/>
      <c r="AL104" s="80"/>
      <c r="AM104" s="80"/>
      <c r="AN104" s="80"/>
      <c r="AO104" s="80"/>
      <c r="AP104" s="80"/>
      <c r="AQ104" s="80"/>
      <c r="AR104" s="80"/>
      <c r="AS104" s="80"/>
      <c r="AT104" s="80"/>
      <c r="AU104" s="80"/>
      <c r="AV104" s="80"/>
      <c r="AW104" s="80"/>
    </row>
    <row r="105" spans="1:49" s="79" customFormat="1" ht="15.75">
      <c r="A105" s="120"/>
      <c r="B105" s="121"/>
      <c r="C105" s="122"/>
      <c r="D105" s="122"/>
      <c r="E105" s="122"/>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L105" s="80"/>
      <c r="AM105" s="80"/>
      <c r="AN105" s="80"/>
      <c r="AO105" s="80"/>
      <c r="AP105" s="80"/>
      <c r="AQ105" s="80"/>
      <c r="AR105" s="80"/>
      <c r="AS105" s="80"/>
      <c r="AT105" s="80"/>
      <c r="AU105" s="80"/>
      <c r="AV105" s="80"/>
      <c r="AW105" s="80"/>
    </row>
    <row r="106" spans="1:49" s="79" customFormat="1" ht="15.75">
      <c r="A106" s="120"/>
      <c r="B106" s="121"/>
      <c r="C106" s="122"/>
      <c r="D106" s="122"/>
      <c r="E106" s="122"/>
      <c r="F106" s="123"/>
      <c r="G106" s="123"/>
      <c r="H106" s="123"/>
      <c r="I106" s="123"/>
      <c r="J106" s="123"/>
      <c r="K106" s="123"/>
      <c r="L106" s="123"/>
      <c r="M106" s="123"/>
      <c r="N106" s="123"/>
      <c r="O106" s="123"/>
      <c r="P106" s="123"/>
      <c r="Q106" s="123"/>
      <c r="R106" s="123"/>
      <c r="S106" s="123"/>
      <c r="T106" s="123"/>
      <c r="U106" s="123"/>
      <c r="V106" s="123"/>
      <c r="W106" s="123"/>
      <c r="X106" s="123"/>
      <c r="Y106" s="123"/>
      <c r="Z106" s="123"/>
      <c r="AA106" s="123"/>
      <c r="AB106" s="123"/>
      <c r="AC106" s="123"/>
      <c r="AD106" s="123"/>
      <c r="AE106" s="123"/>
      <c r="AF106" s="123"/>
      <c r="AG106" s="123"/>
      <c r="AH106" s="123"/>
      <c r="AI106" s="123"/>
      <c r="AJ106" s="123"/>
      <c r="AL106" s="80"/>
      <c r="AM106" s="80"/>
      <c r="AN106" s="80"/>
      <c r="AO106" s="80"/>
      <c r="AP106" s="80"/>
      <c r="AQ106" s="80"/>
      <c r="AR106" s="80"/>
      <c r="AS106" s="80"/>
      <c r="AT106" s="80"/>
      <c r="AU106" s="80"/>
      <c r="AV106" s="80"/>
      <c r="AW106" s="80"/>
    </row>
    <row r="107" spans="1:49" s="79" customFormat="1" ht="15.75">
      <c r="A107" s="120"/>
      <c r="B107" s="121"/>
      <c r="C107" s="122"/>
      <c r="D107" s="122"/>
      <c r="E107" s="122"/>
      <c r="F107" s="123"/>
      <c r="G107" s="123"/>
      <c r="H107" s="123"/>
      <c r="I107" s="123"/>
      <c r="J107" s="123"/>
      <c r="K107" s="123"/>
      <c r="L107" s="123"/>
      <c r="M107" s="123"/>
      <c r="N107" s="123"/>
      <c r="O107" s="123"/>
      <c r="P107" s="123"/>
      <c r="Q107" s="123"/>
      <c r="R107" s="123"/>
      <c r="S107" s="123"/>
      <c r="T107" s="123"/>
      <c r="U107" s="123"/>
      <c r="V107" s="123"/>
      <c r="W107" s="123"/>
      <c r="X107" s="123"/>
      <c r="Y107" s="123"/>
      <c r="Z107" s="123"/>
      <c r="AA107" s="123"/>
      <c r="AB107" s="123"/>
      <c r="AC107" s="123"/>
      <c r="AD107" s="123"/>
      <c r="AE107" s="123"/>
      <c r="AF107" s="123"/>
      <c r="AG107" s="123"/>
      <c r="AH107" s="123"/>
      <c r="AI107" s="123"/>
      <c r="AJ107" s="123"/>
      <c r="AL107" s="80"/>
      <c r="AM107" s="80"/>
      <c r="AN107" s="80"/>
      <c r="AO107" s="80"/>
      <c r="AP107" s="80"/>
      <c r="AQ107" s="80"/>
      <c r="AR107" s="80"/>
      <c r="AS107" s="80"/>
      <c r="AT107" s="80"/>
      <c r="AU107" s="80"/>
      <c r="AV107" s="80"/>
      <c r="AW107" s="80"/>
    </row>
    <row r="108" spans="1:49" s="79" customFormat="1" ht="15.75">
      <c r="A108" s="120"/>
      <c r="B108" s="121"/>
      <c r="C108" s="122"/>
      <c r="D108" s="122"/>
      <c r="E108" s="122"/>
      <c r="F108" s="123"/>
      <c r="G108" s="123"/>
      <c r="H108" s="123"/>
      <c r="I108" s="123"/>
      <c r="J108" s="123"/>
      <c r="K108" s="123"/>
      <c r="L108" s="123"/>
      <c r="M108" s="123"/>
      <c r="N108" s="123"/>
      <c r="O108" s="123"/>
      <c r="P108" s="123"/>
      <c r="Q108" s="123"/>
      <c r="R108" s="123"/>
      <c r="S108" s="123"/>
      <c r="T108" s="123"/>
      <c r="U108" s="123"/>
      <c r="V108" s="123"/>
      <c r="W108" s="123"/>
      <c r="X108" s="123"/>
      <c r="Y108" s="123"/>
      <c r="Z108" s="123"/>
      <c r="AA108" s="123"/>
      <c r="AB108" s="123"/>
      <c r="AC108" s="123"/>
      <c r="AD108" s="123"/>
      <c r="AE108" s="123"/>
      <c r="AF108" s="123"/>
      <c r="AG108" s="123"/>
      <c r="AH108" s="123"/>
      <c r="AI108" s="123"/>
      <c r="AJ108" s="123"/>
      <c r="AL108" s="80"/>
      <c r="AM108" s="80"/>
      <c r="AN108" s="80"/>
      <c r="AO108" s="80"/>
      <c r="AP108" s="80"/>
      <c r="AQ108" s="80"/>
      <c r="AR108" s="80"/>
      <c r="AS108" s="80"/>
      <c r="AT108" s="80"/>
      <c r="AU108" s="80"/>
      <c r="AV108" s="80"/>
      <c r="AW108" s="80"/>
    </row>
    <row r="109" spans="1:49" s="79" customFormat="1" ht="15.75">
      <c r="A109" s="120"/>
      <c r="B109" s="121"/>
      <c r="C109" s="122"/>
      <c r="D109" s="122"/>
      <c r="E109" s="122"/>
      <c r="F109" s="123"/>
      <c r="G109" s="123"/>
      <c r="H109" s="123"/>
      <c r="I109" s="123"/>
      <c r="J109" s="123"/>
      <c r="K109" s="123"/>
      <c r="L109" s="123"/>
      <c r="M109" s="123"/>
      <c r="N109" s="123"/>
      <c r="O109" s="123"/>
      <c r="P109" s="123"/>
      <c r="Q109" s="123"/>
      <c r="R109" s="123"/>
      <c r="S109" s="123"/>
      <c r="T109" s="123"/>
      <c r="U109" s="123"/>
      <c r="V109" s="123"/>
      <c r="W109" s="123"/>
      <c r="X109" s="123"/>
      <c r="Y109" s="123"/>
      <c r="Z109" s="123"/>
      <c r="AA109" s="123"/>
      <c r="AB109" s="123"/>
      <c r="AC109" s="123"/>
      <c r="AD109" s="123"/>
      <c r="AE109" s="123"/>
      <c r="AF109" s="123"/>
      <c r="AG109" s="123"/>
      <c r="AH109" s="123"/>
      <c r="AI109" s="123"/>
      <c r="AJ109" s="123"/>
      <c r="AL109" s="80"/>
      <c r="AM109" s="80"/>
      <c r="AN109" s="80"/>
      <c r="AO109" s="80"/>
      <c r="AP109" s="80"/>
      <c r="AQ109" s="80"/>
      <c r="AR109" s="80"/>
      <c r="AS109" s="80"/>
      <c r="AT109" s="80"/>
      <c r="AU109" s="80"/>
      <c r="AV109" s="80"/>
      <c r="AW109" s="80"/>
    </row>
    <row r="110" spans="1:49" s="79" customFormat="1" ht="15.75">
      <c r="A110" s="120"/>
      <c r="B110" s="121"/>
      <c r="C110" s="122"/>
      <c r="D110" s="122"/>
      <c r="E110" s="122"/>
      <c r="F110" s="123"/>
      <c r="G110" s="123"/>
      <c r="H110" s="123"/>
      <c r="I110" s="123"/>
      <c r="J110" s="123"/>
      <c r="K110" s="123"/>
      <c r="L110" s="123"/>
      <c r="M110" s="123"/>
      <c r="N110" s="123"/>
      <c r="O110" s="123"/>
      <c r="P110" s="123"/>
      <c r="Q110" s="123"/>
      <c r="R110" s="123"/>
      <c r="S110" s="123"/>
      <c r="T110" s="123"/>
      <c r="U110" s="123"/>
      <c r="V110" s="123"/>
      <c r="W110" s="123"/>
      <c r="X110" s="123"/>
      <c r="Y110" s="123"/>
      <c r="Z110" s="123"/>
      <c r="AA110" s="123"/>
      <c r="AB110" s="123"/>
      <c r="AC110" s="123"/>
      <c r="AD110" s="123"/>
      <c r="AE110" s="123"/>
      <c r="AF110" s="123"/>
      <c r="AG110" s="123"/>
      <c r="AH110" s="123"/>
      <c r="AI110" s="123"/>
      <c r="AJ110" s="123"/>
      <c r="AL110" s="80"/>
      <c r="AM110" s="80"/>
      <c r="AN110" s="80"/>
      <c r="AO110" s="80"/>
      <c r="AP110" s="80"/>
      <c r="AQ110" s="80"/>
      <c r="AR110" s="80"/>
      <c r="AS110" s="80"/>
      <c r="AT110" s="80"/>
      <c r="AU110" s="80"/>
      <c r="AV110" s="80"/>
      <c r="AW110" s="80"/>
    </row>
    <row r="111" spans="1:49" s="79" customFormat="1" ht="15.75">
      <c r="A111" s="120"/>
      <c r="B111" s="121"/>
      <c r="C111" s="122"/>
      <c r="D111" s="122"/>
      <c r="E111" s="122"/>
      <c r="F111" s="123"/>
      <c r="G111" s="123"/>
      <c r="H111" s="123"/>
      <c r="I111" s="123"/>
      <c r="J111" s="123"/>
      <c r="K111" s="123"/>
      <c r="L111" s="123"/>
      <c r="M111" s="123"/>
      <c r="N111" s="123"/>
      <c r="O111" s="123"/>
      <c r="P111" s="123"/>
      <c r="Q111" s="123"/>
      <c r="R111" s="123"/>
      <c r="S111" s="123"/>
      <c r="T111" s="123"/>
      <c r="U111" s="123"/>
      <c r="V111" s="123"/>
      <c r="W111" s="123"/>
      <c r="X111" s="123"/>
      <c r="Y111" s="123"/>
      <c r="Z111" s="123"/>
      <c r="AA111" s="123"/>
      <c r="AB111" s="123"/>
      <c r="AC111" s="123"/>
      <c r="AD111" s="123"/>
      <c r="AE111" s="123"/>
      <c r="AF111" s="123"/>
      <c r="AG111" s="123"/>
      <c r="AH111" s="123"/>
      <c r="AI111" s="123"/>
      <c r="AJ111" s="123"/>
      <c r="AL111" s="80"/>
      <c r="AM111" s="80"/>
      <c r="AN111" s="80"/>
      <c r="AO111" s="80"/>
      <c r="AP111" s="80"/>
      <c r="AQ111" s="80"/>
      <c r="AR111" s="80"/>
      <c r="AS111" s="80"/>
      <c r="AT111" s="80"/>
      <c r="AU111" s="80"/>
      <c r="AV111" s="80"/>
      <c r="AW111" s="80"/>
    </row>
    <row r="112" spans="1:49" s="79" customFormat="1" ht="15.75">
      <c r="A112" s="120"/>
      <c r="B112" s="121"/>
      <c r="C112" s="122"/>
      <c r="D112" s="122"/>
      <c r="E112" s="122"/>
      <c r="F112" s="123"/>
      <c r="G112" s="123"/>
      <c r="H112" s="123"/>
      <c r="I112" s="123"/>
      <c r="J112" s="123"/>
      <c r="K112" s="123"/>
      <c r="L112" s="123"/>
      <c r="M112" s="123"/>
      <c r="N112" s="123"/>
      <c r="O112" s="123"/>
      <c r="P112" s="123"/>
      <c r="Q112" s="123"/>
      <c r="R112" s="123"/>
      <c r="S112" s="123"/>
      <c r="T112" s="123"/>
      <c r="U112" s="123"/>
      <c r="V112" s="123"/>
      <c r="W112" s="123"/>
      <c r="X112" s="123"/>
      <c r="Y112" s="123"/>
      <c r="Z112" s="123"/>
      <c r="AA112" s="123"/>
      <c r="AB112" s="123"/>
      <c r="AC112" s="123"/>
      <c r="AD112" s="123"/>
      <c r="AE112" s="123"/>
      <c r="AF112" s="123"/>
      <c r="AG112" s="123"/>
      <c r="AH112" s="123"/>
      <c r="AI112" s="123"/>
      <c r="AJ112" s="123"/>
      <c r="AL112" s="80"/>
      <c r="AM112" s="80"/>
      <c r="AN112" s="80"/>
      <c r="AO112" s="80"/>
      <c r="AP112" s="80"/>
      <c r="AQ112" s="80"/>
      <c r="AR112" s="80"/>
      <c r="AS112" s="80"/>
      <c r="AT112" s="80"/>
      <c r="AU112" s="80"/>
      <c r="AV112" s="80"/>
      <c r="AW112" s="80"/>
    </row>
    <row r="113" spans="1:49" s="79" customFormat="1" ht="15.75">
      <c r="A113" s="120"/>
      <c r="B113" s="121"/>
      <c r="C113" s="122"/>
      <c r="D113" s="122"/>
      <c r="E113" s="122"/>
      <c r="F113" s="123"/>
      <c r="G113" s="123"/>
      <c r="H113" s="123"/>
      <c r="I113" s="123"/>
      <c r="J113" s="123"/>
      <c r="K113" s="123"/>
      <c r="L113" s="123"/>
      <c r="M113" s="123"/>
      <c r="N113" s="123"/>
      <c r="O113" s="123"/>
      <c r="P113" s="123"/>
      <c r="Q113" s="123"/>
      <c r="R113" s="123"/>
      <c r="S113" s="123"/>
      <c r="T113" s="123"/>
      <c r="U113" s="123"/>
      <c r="V113" s="123"/>
      <c r="W113" s="123"/>
      <c r="X113" s="123"/>
      <c r="Y113" s="123"/>
      <c r="Z113" s="123"/>
      <c r="AA113" s="123"/>
      <c r="AB113" s="123"/>
      <c r="AC113" s="123"/>
      <c r="AD113" s="123"/>
      <c r="AE113" s="123"/>
      <c r="AF113" s="123"/>
      <c r="AG113" s="123"/>
      <c r="AH113" s="123"/>
      <c r="AI113" s="123"/>
      <c r="AJ113" s="123"/>
      <c r="AL113" s="80"/>
      <c r="AM113" s="80"/>
      <c r="AN113" s="80"/>
      <c r="AO113" s="80"/>
      <c r="AP113" s="80"/>
      <c r="AQ113" s="80"/>
      <c r="AR113" s="80"/>
      <c r="AS113" s="80"/>
      <c r="AT113" s="80"/>
      <c r="AU113" s="80"/>
      <c r="AV113" s="80"/>
      <c r="AW113" s="80"/>
    </row>
    <row r="114" spans="1:49" s="79" customFormat="1" ht="15.75">
      <c r="A114" s="120"/>
      <c r="B114" s="121"/>
      <c r="C114" s="122"/>
      <c r="D114" s="122"/>
      <c r="E114" s="122"/>
      <c r="F114" s="123"/>
      <c r="G114" s="123"/>
      <c r="H114" s="123"/>
      <c r="I114" s="123"/>
      <c r="J114" s="123"/>
      <c r="K114" s="123"/>
      <c r="L114" s="123"/>
      <c r="M114" s="123"/>
      <c r="N114" s="123"/>
      <c r="O114" s="123"/>
      <c r="P114" s="123"/>
      <c r="Q114" s="123"/>
      <c r="R114" s="123"/>
      <c r="S114" s="123"/>
      <c r="T114" s="123"/>
      <c r="U114" s="123"/>
      <c r="V114" s="123"/>
      <c r="W114" s="123"/>
      <c r="X114" s="123"/>
      <c r="Y114" s="123"/>
      <c r="Z114" s="123"/>
      <c r="AA114" s="123"/>
      <c r="AB114" s="123"/>
      <c r="AC114" s="123"/>
      <c r="AD114" s="123"/>
      <c r="AE114" s="123"/>
      <c r="AF114" s="123"/>
      <c r="AG114" s="123"/>
      <c r="AH114" s="123"/>
      <c r="AI114" s="123"/>
      <c r="AJ114" s="123"/>
      <c r="AL114" s="80"/>
      <c r="AM114" s="80"/>
      <c r="AN114" s="80"/>
      <c r="AO114" s="80"/>
      <c r="AP114" s="80"/>
      <c r="AQ114" s="80"/>
      <c r="AR114" s="80"/>
      <c r="AS114" s="80"/>
      <c r="AT114" s="80"/>
      <c r="AU114" s="80"/>
      <c r="AV114" s="80"/>
      <c r="AW114" s="80"/>
    </row>
    <row r="115" spans="1:49" s="79" customFormat="1" ht="15.75">
      <c r="A115" s="120"/>
      <c r="B115" s="121"/>
      <c r="C115" s="122"/>
      <c r="D115" s="122"/>
      <c r="E115" s="122"/>
      <c r="F115" s="123"/>
      <c r="G115" s="123"/>
      <c r="H115" s="123"/>
      <c r="I115" s="123"/>
      <c r="J115" s="123"/>
      <c r="K115" s="123"/>
      <c r="L115" s="123"/>
      <c r="M115" s="123"/>
      <c r="N115" s="123"/>
      <c r="O115" s="123"/>
      <c r="P115" s="123"/>
      <c r="Q115" s="123"/>
      <c r="R115" s="123"/>
      <c r="S115" s="123"/>
      <c r="T115" s="123"/>
      <c r="U115" s="123"/>
      <c r="V115" s="123"/>
      <c r="W115" s="123"/>
      <c r="X115" s="123"/>
      <c r="Y115" s="123"/>
      <c r="Z115" s="123"/>
      <c r="AA115" s="123"/>
      <c r="AB115" s="123"/>
      <c r="AC115" s="123"/>
      <c r="AD115" s="123"/>
      <c r="AE115" s="123"/>
      <c r="AF115" s="123"/>
      <c r="AG115" s="123"/>
      <c r="AH115" s="123"/>
      <c r="AI115" s="123"/>
      <c r="AJ115" s="123"/>
      <c r="AL115" s="80"/>
      <c r="AM115" s="80"/>
      <c r="AN115" s="80"/>
      <c r="AO115" s="80"/>
      <c r="AP115" s="80"/>
      <c r="AQ115" s="80"/>
      <c r="AR115" s="80"/>
      <c r="AS115" s="80"/>
      <c r="AT115" s="80"/>
      <c r="AU115" s="80"/>
      <c r="AV115" s="80"/>
      <c r="AW115" s="80"/>
    </row>
    <row r="116" spans="1:49" s="79" customFormat="1" ht="15.75">
      <c r="A116" s="120"/>
      <c r="B116" s="121"/>
      <c r="C116" s="122"/>
      <c r="D116" s="122"/>
      <c r="E116" s="122"/>
      <c r="F116" s="123"/>
      <c r="G116" s="123"/>
      <c r="H116" s="123"/>
      <c r="I116" s="123"/>
      <c r="J116" s="123"/>
      <c r="K116" s="123"/>
      <c r="L116" s="123"/>
      <c r="M116" s="123"/>
      <c r="N116" s="123"/>
      <c r="O116" s="123"/>
      <c r="P116" s="123"/>
      <c r="Q116" s="123"/>
      <c r="R116" s="123"/>
      <c r="S116" s="123"/>
      <c r="T116" s="123"/>
      <c r="U116" s="123"/>
      <c r="V116" s="123"/>
      <c r="W116" s="123"/>
      <c r="X116" s="123"/>
      <c r="Y116" s="123"/>
      <c r="Z116" s="123"/>
      <c r="AA116" s="123"/>
      <c r="AB116" s="123"/>
      <c r="AC116" s="123"/>
      <c r="AD116" s="123"/>
      <c r="AE116" s="123"/>
      <c r="AF116" s="123"/>
      <c r="AG116" s="123"/>
      <c r="AH116" s="123"/>
      <c r="AI116" s="123"/>
      <c r="AJ116" s="123"/>
      <c r="AL116" s="80"/>
      <c r="AM116" s="80"/>
      <c r="AN116" s="80"/>
      <c r="AO116" s="80"/>
      <c r="AP116" s="80"/>
      <c r="AQ116" s="80"/>
      <c r="AR116" s="80"/>
      <c r="AS116" s="80"/>
      <c r="AT116" s="80"/>
      <c r="AU116" s="80"/>
      <c r="AV116" s="80"/>
      <c r="AW116" s="80"/>
    </row>
    <row r="117" spans="1:49" s="79" customFormat="1" ht="15.75">
      <c r="A117" s="120"/>
      <c r="B117" s="121"/>
      <c r="C117" s="122"/>
      <c r="D117" s="122"/>
      <c r="E117" s="122"/>
      <c r="F117" s="123"/>
      <c r="G117" s="123"/>
      <c r="H117" s="123"/>
      <c r="I117" s="123"/>
      <c r="J117" s="123"/>
      <c r="K117" s="123"/>
      <c r="L117" s="123"/>
      <c r="M117" s="123"/>
      <c r="N117" s="123"/>
      <c r="O117" s="123"/>
      <c r="P117" s="123"/>
      <c r="Q117" s="123"/>
      <c r="R117" s="123"/>
      <c r="S117" s="123"/>
      <c r="T117" s="123"/>
      <c r="U117" s="123"/>
      <c r="V117" s="123"/>
      <c r="W117" s="123"/>
      <c r="X117" s="123"/>
      <c r="Y117" s="123"/>
      <c r="Z117" s="123"/>
      <c r="AA117" s="123"/>
      <c r="AB117" s="123"/>
      <c r="AC117" s="123"/>
      <c r="AD117" s="123"/>
      <c r="AE117" s="123"/>
      <c r="AF117" s="123"/>
      <c r="AG117" s="123"/>
      <c r="AH117" s="123"/>
      <c r="AI117" s="123"/>
      <c r="AJ117" s="123"/>
      <c r="AL117" s="80"/>
      <c r="AM117" s="80"/>
      <c r="AN117" s="80"/>
      <c r="AO117" s="80"/>
      <c r="AP117" s="80"/>
      <c r="AQ117" s="80"/>
      <c r="AR117" s="80"/>
      <c r="AS117" s="80"/>
      <c r="AT117" s="80"/>
      <c r="AU117" s="80"/>
      <c r="AV117" s="80"/>
      <c r="AW117" s="80"/>
    </row>
    <row r="118" spans="1:49" s="79" customFormat="1" ht="15.75">
      <c r="A118" s="120"/>
      <c r="B118" s="121"/>
      <c r="C118" s="122"/>
      <c r="D118" s="122"/>
      <c r="E118" s="122"/>
      <c r="F118" s="123"/>
      <c r="G118" s="123"/>
      <c r="H118" s="123"/>
      <c r="I118" s="123"/>
      <c r="J118" s="123"/>
      <c r="K118" s="123"/>
      <c r="L118" s="123"/>
      <c r="M118" s="123"/>
      <c r="N118" s="123"/>
      <c r="O118" s="123"/>
      <c r="P118" s="123"/>
      <c r="Q118" s="123"/>
      <c r="R118" s="123"/>
      <c r="S118" s="123"/>
      <c r="T118" s="123"/>
      <c r="U118" s="123"/>
      <c r="V118" s="123"/>
      <c r="W118" s="123"/>
      <c r="X118" s="123"/>
      <c r="Y118" s="123"/>
      <c r="Z118" s="123"/>
      <c r="AA118" s="123"/>
      <c r="AB118" s="123"/>
      <c r="AC118" s="123"/>
      <c r="AD118" s="123"/>
      <c r="AE118" s="123"/>
      <c r="AF118" s="123"/>
      <c r="AG118" s="123"/>
      <c r="AH118" s="123"/>
      <c r="AI118" s="123"/>
      <c r="AJ118" s="123"/>
      <c r="AL118" s="80"/>
      <c r="AM118" s="80"/>
      <c r="AN118" s="80"/>
      <c r="AO118" s="80"/>
      <c r="AP118" s="80"/>
      <c r="AQ118" s="80"/>
      <c r="AR118" s="80"/>
      <c r="AS118" s="80"/>
      <c r="AT118" s="80"/>
      <c r="AU118" s="80"/>
      <c r="AV118" s="80"/>
      <c r="AW118" s="80"/>
    </row>
    <row r="119" spans="1:49" s="79" customFormat="1" ht="15.75">
      <c r="A119" s="120"/>
      <c r="B119" s="121"/>
      <c r="C119" s="122"/>
      <c r="D119" s="122"/>
      <c r="E119" s="122"/>
      <c r="F119" s="123"/>
      <c r="G119" s="123"/>
      <c r="H119" s="123"/>
      <c r="I119" s="123"/>
      <c r="J119" s="123"/>
      <c r="K119" s="123"/>
      <c r="L119" s="123"/>
      <c r="M119" s="123"/>
      <c r="N119" s="123"/>
      <c r="O119" s="123"/>
      <c r="P119" s="123"/>
      <c r="Q119" s="123"/>
      <c r="R119" s="123"/>
      <c r="S119" s="123"/>
      <c r="T119" s="123"/>
      <c r="U119" s="123"/>
      <c r="V119" s="123"/>
      <c r="W119" s="123"/>
      <c r="X119" s="123"/>
      <c r="Y119" s="123"/>
      <c r="Z119" s="123"/>
      <c r="AA119" s="123"/>
      <c r="AB119" s="123"/>
      <c r="AC119" s="123"/>
      <c r="AD119" s="123"/>
      <c r="AE119" s="123"/>
      <c r="AF119" s="123"/>
      <c r="AG119" s="123"/>
      <c r="AH119" s="123"/>
      <c r="AI119" s="123"/>
      <c r="AJ119" s="123"/>
      <c r="AL119" s="80"/>
      <c r="AM119" s="80"/>
      <c r="AN119" s="80"/>
      <c r="AO119" s="80"/>
      <c r="AP119" s="80"/>
      <c r="AQ119" s="80"/>
      <c r="AR119" s="80"/>
      <c r="AS119" s="80"/>
      <c r="AT119" s="80"/>
      <c r="AU119" s="80"/>
      <c r="AV119" s="80"/>
      <c r="AW119" s="80"/>
    </row>
    <row r="120" spans="1:49" s="79" customFormat="1" ht="15.75">
      <c r="A120" s="120"/>
      <c r="B120" s="121"/>
      <c r="C120" s="122"/>
      <c r="D120" s="122"/>
      <c r="E120" s="122"/>
      <c r="F120" s="123"/>
      <c r="G120" s="123"/>
      <c r="H120" s="123"/>
      <c r="I120" s="123"/>
      <c r="J120" s="123"/>
      <c r="K120" s="123"/>
      <c r="L120" s="123"/>
      <c r="M120" s="123"/>
      <c r="N120" s="123"/>
      <c r="O120" s="123"/>
      <c r="P120" s="123"/>
      <c r="Q120" s="123"/>
      <c r="R120" s="123"/>
      <c r="S120" s="123"/>
      <c r="T120" s="123"/>
      <c r="U120" s="123"/>
      <c r="V120" s="123"/>
      <c r="W120" s="123"/>
      <c r="X120" s="123"/>
      <c r="Y120" s="123"/>
      <c r="Z120" s="123"/>
      <c r="AA120" s="123"/>
      <c r="AB120" s="123"/>
      <c r="AC120" s="123"/>
      <c r="AD120" s="123"/>
      <c r="AE120" s="123"/>
      <c r="AF120" s="123"/>
      <c r="AG120" s="123"/>
      <c r="AH120" s="123"/>
      <c r="AI120" s="123"/>
      <c r="AJ120" s="123"/>
      <c r="AL120" s="80"/>
      <c r="AM120" s="80"/>
      <c r="AN120" s="80"/>
      <c r="AO120" s="80"/>
      <c r="AP120" s="80"/>
      <c r="AQ120" s="80"/>
      <c r="AR120" s="80"/>
      <c r="AS120" s="80"/>
      <c r="AT120" s="80"/>
      <c r="AU120" s="80"/>
      <c r="AV120" s="80"/>
      <c r="AW120" s="80"/>
    </row>
    <row r="121" spans="1:49" s="79" customFormat="1" ht="15.75">
      <c r="A121" s="120"/>
      <c r="B121" s="121"/>
      <c r="C121" s="122"/>
      <c r="D121" s="122"/>
      <c r="E121" s="122"/>
      <c r="F121" s="123"/>
      <c r="G121" s="123"/>
      <c r="H121" s="123"/>
      <c r="I121" s="123"/>
      <c r="J121" s="123"/>
      <c r="K121" s="123"/>
      <c r="L121" s="123"/>
      <c r="M121" s="123"/>
      <c r="N121" s="123"/>
      <c r="O121" s="123"/>
      <c r="P121" s="123"/>
      <c r="Q121" s="123"/>
      <c r="R121" s="123"/>
      <c r="S121" s="123"/>
      <c r="T121" s="123"/>
      <c r="U121" s="123"/>
      <c r="V121" s="123"/>
      <c r="W121" s="123"/>
      <c r="X121" s="123"/>
      <c r="Y121" s="123"/>
      <c r="Z121" s="123"/>
      <c r="AA121" s="123"/>
      <c r="AB121" s="123"/>
      <c r="AC121" s="123"/>
      <c r="AD121" s="123"/>
      <c r="AE121" s="123"/>
      <c r="AF121" s="123"/>
      <c r="AG121" s="123"/>
      <c r="AH121" s="123"/>
      <c r="AI121" s="123"/>
      <c r="AJ121" s="123"/>
      <c r="AL121" s="80"/>
      <c r="AM121" s="80"/>
      <c r="AN121" s="80"/>
      <c r="AO121" s="80"/>
      <c r="AP121" s="80"/>
      <c r="AQ121" s="80"/>
      <c r="AR121" s="80"/>
      <c r="AS121" s="80"/>
      <c r="AT121" s="80"/>
      <c r="AU121" s="80"/>
      <c r="AV121" s="80"/>
      <c r="AW121" s="80"/>
    </row>
    <row r="122" spans="1:49" s="79" customFormat="1" ht="15.75">
      <c r="A122" s="120"/>
      <c r="B122" s="121"/>
      <c r="C122" s="122"/>
      <c r="D122" s="122"/>
      <c r="E122" s="122"/>
      <c r="F122" s="123"/>
      <c r="G122" s="123"/>
      <c r="H122" s="123"/>
      <c r="I122" s="123"/>
      <c r="J122" s="123"/>
      <c r="K122" s="123"/>
      <c r="L122" s="123"/>
      <c r="M122" s="123"/>
      <c r="N122" s="123"/>
      <c r="O122" s="123"/>
      <c r="P122" s="123"/>
      <c r="Q122" s="123"/>
      <c r="R122" s="123"/>
      <c r="S122" s="123"/>
      <c r="T122" s="123"/>
      <c r="U122" s="123"/>
      <c r="V122" s="123"/>
      <c r="W122" s="123"/>
      <c r="X122" s="123"/>
      <c r="Y122" s="123"/>
      <c r="Z122" s="123"/>
      <c r="AA122" s="123"/>
      <c r="AB122" s="123"/>
      <c r="AC122" s="123"/>
      <c r="AD122" s="123"/>
      <c r="AE122" s="123"/>
      <c r="AF122" s="123"/>
      <c r="AG122" s="123"/>
      <c r="AH122" s="123"/>
      <c r="AI122" s="123"/>
      <c r="AJ122" s="123"/>
      <c r="AL122" s="80"/>
      <c r="AM122" s="80"/>
      <c r="AN122" s="80"/>
      <c r="AO122" s="80"/>
      <c r="AP122" s="80"/>
      <c r="AQ122" s="80"/>
      <c r="AR122" s="80"/>
      <c r="AS122" s="80"/>
      <c r="AT122" s="80"/>
      <c r="AU122" s="80"/>
      <c r="AV122" s="80"/>
      <c r="AW122" s="80"/>
    </row>
    <row r="123" spans="1:49" s="79" customFormat="1" ht="15.75">
      <c r="A123" s="120"/>
      <c r="B123" s="121"/>
      <c r="C123" s="122"/>
      <c r="D123" s="122"/>
      <c r="E123" s="122"/>
      <c r="F123" s="123"/>
      <c r="G123" s="123"/>
      <c r="H123" s="123"/>
      <c r="I123" s="123"/>
      <c r="J123" s="123"/>
      <c r="K123" s="123"/>
      <c r="L123" s="123"/>
      <c r="M123" s="123"/>
      <c r="N123" s="123"/>
      <c r="O123" s="123"/>
      <c r="P123" s="123"/>
      <c r="Q123" s="123"/>
      <c r="R123" s="123"/>
      <c r="S123" s="123"/>
      <c r="T123" s="123"/>
      <c r="U123" s="123"/>
      <c r="V123" s="123"/>
      <c r="W123" s="123"/>
      <c r="X123" s="123"/>
      <c r="Y123" s="123"/>
      <c r="Z123" s="123"/>
      <c r="AA123" s="123"/>
      <c r="AB123" s="123"/>
      <c r="AC123" s="123"/>
      <c r="AD123" s="123"/>
      <c r="AE123" s="123"/>
      <c r="AF123" s="123"/>
      <c r="AG123" s="123"/>
      <c r="AH123" s="123"/>
      <c r="AI123" s="123"/>
      <c r="AJ123" s="123"/>
      <c r="AL123" s="80"/>
      <c r="AM123" s="80"/>
      <c r="AN123" s="80"/>
      <c r="AO123" s="80"/>
      <c r="AP123" s="80"/>
      <c r="AQ123" s="80"/>
      <c r="AR123" s="80"/>
      <c r="AS123" s="80"/>
      <c r="AT123" s="80"/>
      <c r="AU123" s="80"/>
      <c r="AV123" s="80"/>
      <c r="AW123" s="80"/>
    </row>
    <row r="124" spans="1:49" s="79" customFormat="1" ht="15.75">
      <c r="A124" s="120"/>
      <c r="B124" s="121"/>
      <c r="C124" s="122"/>
      <c r="D124" s="122"/>
      <c r="E124" s="122"/>
      <c r="F124" s="123"/>
      <c r="G124" s="123"/>
      <c r="H124" s="123"/>
      <c r="I124" s="123"/>
      <c r="J124" s="123"/>
      <c r="K124" s="123"/>
      <c r="L124" s="123"/>
      <c r="M124" s="123"/>
      <c r="N124" s="123"/>
      <c r="O124" s="123"/>
      <c r="P124" s="123"/>
      <c r="Q124" s="123"/>
      <c r="R124" s="123"/>
      <c r="S124" s="123"/>
      <c r="T124" s="123"/>
      <c r="U124" s="123"/>
      <c r="V124" s="123"/>
      <c r="W124" s="123"/>
      <c r="X124" s="123"/>
      <c r="Y124" s="123"/>
      <c r="Z124" s="123"/>
      <c r="AA124" s="123"/>
      <c r="AB124" s="123"/>
      <c r="AC124" s="123"/>
      <c r="AD124" s="123"/>
      <c r="AE124" s="123"/>
      <c r="AF124" s="123"/>
      <c r="AG124" s="123"/>
      <c r="AH124" s="123"/>
      <c r="AI124" s="123"/>
      <c r="AJ124" s="123"/>
      <c r="AL124" s="80"/>
      <c r="AM124" s="80"/>
      <c r="AN124" s="80"/>
      <c r="AO124" s="80"/>
      <c r="AP124" s="80"/>
      <c r="AQ124" s="80"/>
      <c r="AR124" s="80"/>
      <c r="AS124" s="80"/>
      <c r="AT124" s="80"/>
      <c r="AU124" s="80"/>
      <c r="AV124" s="80"/>
      <c r="AW124" s="80"/>
    </row>
    <row r="125" spans="1:49" s="79" customFormat="1" ht="15.75">
      <c r="A125" s="120"/>
      <c r="B125" s="121"/>
      <c r="C125" s="122"/>
      <c r="D125" s="122"/>
      <c r="E125" s="122"/>
      <c r="F125" s="123"/>
      <c r="G125" s="123"/>
      <c r="H125" s="123"/>
      <c r="I125" s="123"/>
      <c r="J125" s="123"/>
      <c r="K125" s="123"/>
      <c r="L125" s="123"/>
      <c r="M125" s="123"/>
      <c r="N125" s="123"/>
      <c r="O125" s="123"/>
      <c r="P125" s="123"/>
      <c r="Q125" s="123"/>
      <c r="R125" s="123"/>
      <c r="S125" s="123"/>
      <c r="T125" s="123"/>
      <c r="U125" s="123"/>
      <c r="V125" s="123"/>
      <c r="W125" s="123"/>
      <c r="X125" s="123"/>
      <c r="Y125" s="123"/>
      <c r="Z125" s="123"/>
      <c r="AA125" s="123"/>
      <c r="AB125" s="123"/>
      <c r="AC125" s="123"/>
      <c r="AD125" s="123"/>
      <c r="AE125" s="123"/>
      <c r="AF125" s="123"/>
      <c r="AG125" s="123"/>
      <c r="AH125" s="123"/>
      <c r="AI125" s="123"/>
      <c r="AJ125" s="123"/>
      <c r="AL125" s="80"/>
      <c r="AM125" s="80"/>
      <c r="AN125" s="80"/>
      <c r="AO125" s="80"/>
      <c r="AP125" s="80"/>
      <c r="AQ125" s="80"/>
      <c r="AR125" s="80"/>
      <c r="AS125" s="80"/>
      <c r="AT125" s="80"/>
      <c r="AU125" s="80"/>
      <c r="AV125" s="80"/>
      <c r="AW125" s="80"/>
    </row>
    <row r="126" spans="1:49" s="79" customFormat="1" ht="15.75">
      <c r="A126" s="120"/>
      <c r="B126" s="121"/>
      <c r="C126" s="122"/>
      <c r="D126" s="122"/>
      <c r="E126" s="122"/>
      <c r="F126" s="123"/>
      <c r="G126" s="123"/>
      <c r="H126" s="123"/>
      <c r="I126" s="123"/>
      <c r="J126" s="123"/>
      <c r="K126" s="123"/>
      <c r="L126" s="123"/>
      <c r="M126" s="123"/>
      <c r="N126" s="123"/>
      <c r="O126" s="123"/>
      <c r="P126" s="123"/>
      <c r="Q126" s="123"/>
      <c r="R126" s="123"/>
      <c r="S126" s="123"/>
      <c r="T126" s="123"/>
      <c r="U126" s="123"/>
      <c r="V126" s="123"/>
      <c r="W126" s="123"/>
      <c r="X126" s="123"/>
      <c r="Y126" s="123"/>
      <c r="Z126" s="123"/>
      <c r="AA126" s="123"/>
      <c r="AB126" s="123"/>
      <c r="AC126" s="123"/>
      <c r="AD126" s="123"/>
      <c r="AE126" s="123"/>
      <c r="AF126" s="123"/>
      <c r="AG126" s="123"/>
      <c r="AH126" s="123"/>
      <c r="AI126" s="123"/>
      <c r="AJ126" s="123"/>
      <c r="AL126" s="80"/>
      <c r="AM126" s="80"/>
      <c r="AN126" s="80"/>
      <c r="AO126" s="80"/>
      <c r="AP126" s="80"/>
      <c r="AQ126" s="80"/>
      <c r="AR126" s="80"/>
      <c r="AS126" s="80"/>
      <c r="AT126" s="80"/>
      <c r="AU126" s="80"/>
      <c r="AV126" s="80"/>
      <c r="AW126" s="80"/>
    </row>
    <row r="127" spans="1:49" s="79" customFormat="1" ht="15.75">
      <c r="A127" s="120"/>
      <c r="B127" s="121"/>
      <c r="C127" s="122"/>
      <c r="D127" s="122"/>
      <c r="E127" s="122"/>
      <c r="F127" s="123"/>
      <c r="G127" s="123"/>
      <c r="H127" s="123"/>
      <c r="I127" s="123"/>
      <c r="J127" s="123"/>
      <c r="K127" s="123"/>
      <c r="L127" s="123"/>
      <c r="M127" s="123"/>
      <c r="N127" s="123"/>
      <c r="O127" s="123"/>
      <c r="P127" s="123"/>
      <c r="Q127" s="123"/>
      <c r="R127" s="123"/>
      <c r="S127" s="123"/>
      <c r="T127" s="123"/>
      <c r="U127" s="123"/>
      <c r="V127" s="123"/>
      <c r="W127" s="123"/>
      <c r="X127" s="123"/>
      <c r="Y127" s="123"/>
      <c r="Z127" s="123"/>
      <c r="AA127" s="123"/>
      <c r="AB127" s="123"/>
      <c r="AC127" s="123"/>
      <c r="AD127" s="123"/>
      <c r="AE127" s="123"/>
      <c r="AF127" s="123"/>
      <c r="AG127" s="123"/>
      <c r="AH127" s="123"/>
      <c r="AI127" s="123"/>
      <c r="AJ127" s="123"/>
      <c r="AL127" s="80"/>
      <c r="AM127" s="80"/>
      <c r="AN127" s="80"/>
      <c r="AO127" s="80"/>
      <c r="AP127" s="80"/>
      <c r="AQ127" s="80"/>
      <c r="AR127" s="80"/>
      <c r="AS127" s="80"/>
      <c r="AT127" s="80"/>
      <c r="AU127" s="80"/>
      <c r="AV127" s="80"/>
      <c r="AW127" s="80"/>
    </row>
    <row r="128" spans="1:49" s="79" customFormat="1" ht="15.75">
      <c r="A128" s="120"/>
      <c r="B128" s="121"/>
      <c r="C128" s="122"/>
      <c r="D128" s="122"/>
      <c r="E128" s="122"/>
      <c r="F128" s="123"/>
      <c r="G128" s="123"/>
      <c r="H128" s="123"/>
      <c r="I128" s="123"/>
      <c r="J128" s="123"/>
      <c r="K128" s="123"/>
      <c r="L128" s="123"/>
      <c r="M128" s="123"/>
      <c r="N128" s="123"/>
      <c r="O128" s="123"/>
      <c r="P128" s="123"/>
      <c r="Q128" s="123"/>
      <c r="R128" s="123"/>
      <c r="S128" s="123"/>
      <c r="T128" s="123"/>
      <c r="U128" s="123"/>
      <c r="V128" s="123"/>
      <c r="W128" s="123"/>
      <c r="X128" s="123"/>
      <c r="Y128" s="123"/>
      <c r="Z128" s="123"/>
      <c r="AA128" s="123"/>
      <c r="AB128" s="123"/>
      <c r="AC128" s="123"/>
      <c r="AD128" s="123"/>
      <c r="AE128" s="123"/>
      <c r="AF128" s="123"/>
      <c r="AG128" s="123"/>
      <c r="AH128" s="123"/>
      <c r="AI128" s="123"/>
      <c r="AJ128" s="123"/>
      <c r="AL128" s="80"/>
      <c r="AM128" s="80"/>
      <c r="AN128" s="80"/>
      <c r="AO128" s="80"/>
      <c r="AP128" s="80"/>
      <c r="AQ128" s="80"/>
      <c r="AR128" s="80"/>
      <c r="AS128" s="80"/>
      <c r="AT128" s="80"/>
      <c r="AU128" s="80"/>
      <c r="AV128" s="80"/>
      <c r="AW128" s="80"/>
    </row>
    <row r="129" spans="1:49" s="79" customFormat="1" ht="15.75">
      <c r="A129" s="120"/>
      <c r="B129" s="121"/>
      <c r="C129" s="122"/>
      <c r="D129" s="122"/>
      <c r="E129" s="122"/>
      <c r="F129" s="123"/>
      <c r="G129" s="123"/>
      <c r="H129" s="123"/>
      <c r="I129" s="123"/>
      <c r="J129" s="123"/>
      <c r="K129" s="123"/>
      <c r="L129" s="123"/>
      <c r="M129" s="123"/>
      <c r="N129" s="123"/>
      <c r="O129" s="123"/>
      <c r="P129" s="123"/>
      <c r="Q129" s="123"/>
      <c r="R129" s="123"/>
      <c r="S129" s="123"/>
      <c r="T129" s="123"/>
      <c r="U129" s="123"/>
      <c r="V129" s="123"/>
      <c r="W129" s="123"/>
      <c r="X129" s="123"/>
      <c r="Y129" s="123"/>
      <c r="Z129" s="123"/>
      <c r="AA129" s="123"/>
      <c r="AB129" s="123"/>
      <c r="AC129" s="123"/>
      <c r="AD129" s="123"/>
      <c r="AE129" s="123"/>
      <c r="AF129" s="123"/>
      <c r="AG129" s="123"/>
      <c r="AH129" s="123"/>
      <c r="AI129" s="123"/>
      <c r="AJ129" s="123"/>
      <c r="AL129" s="80"/>
      <c r="AM129" s="80"/>
      <c r="AN129" s="80"/>
      <c r="AO129" s="80"/>
      <c r="AP129" s="80"/>
      <c r="AQ129" s="80"/>
      <c r="AR129" s="80"/>
      <c r="AS129" s="80"/>
      <c r="AT129" s="80"/>
      <c r="AU129" s="80"/>
      <c r="AV129" s="80"/>
      <c r="AW129" s="80"/>
    </row>
    <row r="130" spans="1:49" s="79" customFormat="1" ht="15.75">
      <c r="A130" s="120"/>
      <c r="B130" s="121"/>
      <c r="C130" s="122"/>
      <c r="D130" s="122"/>
      <c r="E130" s="122"/>
      <c r="F130" s="123"/>
      <c r="G130" s="123"/>
      <c r="H130" s="123"/>
      <c r="I130" s="123"/>
      <c r="J130" s="123"/>
      <c r="K130" s="123"/>
      <c r="L130" s="123"/>
      <c r="M130" s="123"/>
      <c r="N130" s="123"/>
      <c r="O130" s="123"/>
      <c r="P130" s="123"/>
      <c r="Q130" s="123"/>
      <c r="R130" s="123"/>
      <c r="S130" s="123"/>
      <c r="T130" s="123"/>
      <c r="U130" s="123"/>
      <c r="V130" s="123"/>
      <c r="W130" s="123"/>
      <c r="X130" s="123"/>
      <c r="Y130" s="123"/>
      <c r="Z130" s="123"/>
      <c r="AA130" s="123"/>
      <c r="AB130" s="123"/>
      <c r="AC130" s="123"/>
      <c r="AD130" s="123"/>
      <c r="AE130" s="123"/>
      <c r="AF130" s="123"/>
      <c r="AG130" s="123"/>
      <c r="AH130" s="123"/>
      <c r="AI130" s="123"/>
      <c r="AJ130" s="123"/>
      <c r="AL130" s="80"/>
      <c r="AM130" s="80"/>
      <c r="AN130" s="80"/>
      <c r="AO130" s="80"/>
      <c r="AP130" s="80"/>
      <c r="AQ130" s="80"/>
      <c r="AR130" s="80"/>
      <c r="AS130" s="80"/>
      <c r="AT130" s="80"/>
      <c r="AU130" s="80"/>
      <c r="AV130" s="80"/>
      <c r="AW130" s="80"/>
    </row>
    <row r="131" spans="1:49" s="79" customFormat="1" ht="15.75">
      <c r="A131" s="120"/>
      <c r="B131" s="121"/>
      <c r="C131" s="122"/>
      <c r="D131" s="122"/>
      <c r="E131" s="122"/>
      <c r="F131" s="123"/>
      <c r="G131" s="123"/>
      <c r="H131" s="123"/>
      <c r="I131" s="123"/>
      <c r="J131" s="123"/>
      <c r="K131" s="123"/>
      <c r="L131" s="123"/>
      <c r="M131" s="123"/>
      <c r="N131" s="123"/>
      <c r="O131" s="123"/>
      <c r="P131" s="123"/>
      <c r="Q131" s="123"/>
      <c r="R131" s="123"/>
      <c r="S131" s="123"/>
      <c r="T131" s="123"/>
      <c r="U131" s="123"/>
      <c r="V131" s="123"/>
      <c r="W131" s="123"/>
      <c r="X131" s="123"/>
      <c r="Y131" s="123"/>
      <c r="Z131" s="123"/>
      <c r="AA131" s="123"/>
      <c r="AB131" s="123"/>
      <c r="AC131" s="123"/>
      <c r="AD131" s="123"/>
      <c r="AE131" s="123"/>
      <c r="AF131" s="123"/>
      <c r="AG131" s="123"/>
      <c r="AH131" s="123"/>
      <c r="AI131" s="123"/>
      <c r="AJ131" s="123"/>
      <c r="AL131" s="80"/>
      <c r="AM131" s="80"/>
      <c r="AN131" s="80"/>
      <c r="AO131" s="80"/>
      <c r="AP131" s="80"/>
      <c r="AQ131" s="80"/>
      <c r="AR131" s="80"/>
      <c r="AS131" s="80"/>
      <c r="AT131" s="80"/>
      <c r="AU131" s="80"/>
      <c r="AV131" s="80"/>
      <c r="AW131" s="80"/>
    </row>
    <row r="132" spans="1:49" s="79" customFormat="1" ht="15.75">
      <c r="A132" s="120"/>
      <c r="B132" s="121"/>
      <c r="C132" s="122"/>
      <c r="D132" s="122"/>
      <c r="E132" s="122"/>
      <c r="F132" s="123"/>
      <c r="G132" s="123"/>
      <c r="H132" s="123"/>
      <c r="I132" s="123"/>
      <c r="J132" s="123"/>
      <c r="K132" s="123"/>
      <c r="L132" s="123"/>
      <c r="M132" s="123"/>
      <c r="N132" s="123"/>
      <c r="O132" s="123"/>
      <c r="P132" s="123"/>
      <c r="Q132" s="123"/>
      <c r="R132" s="123"/>
      <c r="S132" s="123"/>
      <c r="T132" s="123"/>
      <c r="U132" s="123"/>
      <c r="V132" s="123"/>
      <c r="W132" s="123"/>
      <c r="X132" s="123"/>
      <c r="Y132" s="123"/>
      <c r="Z132" s="123"/>
      <c r="AA132" s="123"/>
      <c r="AB132" s="123"/>
      <c r="AC132" s="123"/>
      <c r="AD132" s="123"/>
      <c r="AE132" s="123"/>
      <c r="AF132" s="123"/>
      <c r="AG132" s="123"/>
      <c r="AH132" s="123"/>
      <c r="AI132" s="123"/>
      <c r="AJ132" s="123"/>
      <c r="AL132" s="80"/>
      <c r="AM132" s="80"/>
      <c r="AN132" s="80"/>
      <c r="AO132" s="80"/>
      <c r="AP132" s="80"/>
      <c r="AQ132" s="80"/>
      <c r="AR132" s="80"/>
      <c r="AS132" s="80"/>
      <c r="AT132" s="80"/>
      <c r="AU132" s="80"/>
      <c r="AV132" s="80"/>
      <c r="AW132" s="80"/>
    </row>
    <row r="133" spans="1:49" s="79" customFormat="1" ht="15.75">
      <c r="A133" s="120"/>
      <c r="B133" s="121"/>
      <c r="C133" s="122"/>
      <c r="D133" s="122"/>
      <c r="E133" s="122"/>
      <c r="F133" s="123"/>
      <c r="G133" s="123"/>
      <c r="H133" s="123"/>
      <c r="I133" s="123"/>
      <c r="J133" s="123"/>
      <c r="K133" s="123"/>
      <c r="L133" s="123"/>
      <c r="M133" s="123"/>
      <c r="N133" s="123"/>
      <c r="O133" s="123"/>
      <c r="P133" s="123"/>
      <c r="Q133" s="123"/>
      <c r="R133" s="123"/>
      <c r="S133" s="123"/>
      <c r="T133" s="123"/>
      <c r="U133" s="123"/>
      <c r="V133" s="123"/>
      <c r="W133" s="123"/>
      <c r="X133" s="123"/>
      <c r="Y133" s="123"/>
      <c r="Z133" s="123"/>
      <c r="AA133" s="123"/>
      <c r="AB133" s="123"/>
      <c r="AC133" s="123"/>
      <c r="AD133" s="123"/>
      <c r="AE133" s="123"/>
      <c r="AF133" s="123"/>
      <c r="AG133" s="123"/>
      <c r="AH133" s="123"/>
      <c r="AI133" s="123"/>
      <c r="AJ133" s="123"/>
      <c r="AL133" s="80"/>
      <c r="AM133" s="80"/>
      <c r="AN133" s="80"/>
      <c r="AO133" s="80"/>
      <c r="AP133" s="80"/>
      <c r="AQ133" s="80"/>
      <c r="AR133" s="80"/>
      <c r="AS133" s="80"/>
      <c r="AT133" s="80"/>
      <c r="AU133" s="80"/>
      <c r="AV133" s="80"/>
      <c r="AW133" s="80"/>
    </row>
    <row r="134" spans="1:49" s="79" customFormat="1" ht="15.75">
      <c r="A134" s="120"/>
      <c r="B134" s="121"/>
      <c r="C134" s="122"/>
      <c r="D134" s="122"/>
      <c r="E134" s="122"/>
      <c r="F134" s="123"/>
      <c r="G134" s="123"/>
      <c r="H134" s="123"/>
      <c r="I134" s="123"/>
      <c r="J134" s="123"/>
      <c r="K134" s="123"/>
      <c r="L134" s="123"/>
      <c r="M134" s="123"/>
      <c r="N134" s="123"/>
      <c r="O134" s="123"/>
      <c r="P134" s="123"/>
      <c r="Q134" s="123"/>
      <c r="R134" s="123"/>
      <c r="S134" s="123"/>
      <c r="T134" s="123"/>
      <c r="U134" s="123"/>
      <c r="V134" s="123"/>
      <c r="W134" s="123"/>
      <c r="X134" s="123"/>
      <c r="Y134" s="123"/>
      <c r="Z134" s="123"/>
      <c r="AA134" s="123"/>
      <c r="AB134" s="123"/>
      <c r="AC134" s="123"/>
      <c r="AD134" s="123"/>
      <c r="AE134" s="123"/>
      <c r="AF134" s="123"/>
      <c r="AG134" s="123"/>
      <c r="AH134" s="123"/>
      <c r="AI134" s="123"/>
      <c r="AJ134" s="123"/>
      <c r="AL134" s="80"/>
      <c r="AM134" s="80"/>
      <c r="AN134" s="80"/>
      <c r="AO134" s="80"/>
      <c r="AP134" s="80"/>
      <c r="AQ134" s="80"/>
      <c r="AR134" s="80"/>
      <c r="AS134" s="80"/>
      <c r="AT134" s="80"/>
      <c r="AU134" s="80"/>
      <c r="AV134" s="80"/>
      <c r="AW134" s="80"/>
    </row>
    <row r="135" spans="1:49" s="79" customFormat="1" ht="15.75">
      <c r="A135" s="120"/>
      <c r="B135" s="121"/>
      <c r="C135" s="122"/>
      <c r="D135" s="122"/>
      <c r="E135" s="122"/>
      <c r="F135" s="123"/>
      <c r="G135" s="123"/>
      <c r="H135" s="123"/>
      <c r="I135" s="123"/>
      <c r="J135" s="123"/>
      <c r="K135" s="123"/>
      <c r="L135" s="123"/>
      <c r="M135" s="123"/>
      <c r="N135" s="123"/>
      <c r="O135" s="123"/>
      <c r="P135" s="123"/>
      <c r="Q135" s="123"/>
      <c r="R135" s="123"/>
      <c r="S135" s="123"/>
      <c r="T135" s="123"/>
      <c r="U135" s="123"/>
      <c r="V135" s="123"/>
      <c r="W135" s="123"/>
      <c r="X135" s="123"/>
      <c r="Y135" s="123"/>
      <c r="Z135" s="123"/>
      <c r="AA135" s="123"/>
      <c r="AB135" s="123"/>
      <c r="AC135" s="123"/>
      <c r="AD135" s="123"/>
      <c r="AE135" s="123"/>
      <c r="AF135" s="123"/>
      <c r="AG135" s="123"/>
      <c r="AH135" s="123"/>
      <c r="AI135" s="123"/>
      <c r="AJ135" s="123"/>
      <c r="AL135" s="80"/>
      <c r="AM135" s="80"/>
      <c r="AN135" s="80"/>
      <c r="AO135" s="80"/>
      <c r="AP135" s="80"/>
      <c r="AQ135" s="80"/>
      <c r="AR135" s="80"/>
      <c r="AS135" s="80"/>
      <c r="AT135" s="80"/>
      <c r="AU135" s="80"/>
      <c r="AV135" s="80"/>
      <c r="AW135" s="80"/>
    </row>
    <row r="136" spans="1:49" s="79" customFormat="1" ht="15.75">
      <c r="A136" s="120"/>
      <c r="B136" s="121"/>
      <c r="C136" s="122"/>
      <c r="D136" s="122"/>
      <c r="E136" s="122"/>
      <c r="F136" s="123"/>
      <c r="G136" s="123"/>
      <c r="H136" s="123"/>
      <c r="I136" s="123"/>
      <c r="J136" s="123"/>
      <c r="K136" s="123"/>
      <c r="L136" s="123"/>
      <c r="M136" s="123"/>
      <c r="N136" s="123"/>
      <c r="O136" s="123"/>
      <c r="P136" s="123"/>
      <c r="Q136" s="123"/>
      <c r="R136" s="123"/>
      <c r="S136" s="123"/>
      <c r="T136" s="123"/>
      <c r="U136" s="123"/>
      <c r="V136" s="123"/>
      <c r="W136" s="123"/>
      <c r="X136" s="123"/>
      <c r="Y136" s="123"/>
      <c r="Z136" s="123"/>
      <c r="AA136" s="123"/>
      <c r="AB136" s="123"/>
      <c r="AC136" s="123"/>
      <c r="AD136" s="123"/>
      <c r="AE136" s="123"/>
      <c r="AF136" s="123"/>
      <c r="AG136" s="123"/>
      <c r="AH136" s="123"/>
      <c r="AI136" s="123"/>
      <c r="AJ136" s="123"/>
      <c r="AL136" s="80"/>
      <c r="AM136" s="80"/>
      <c r="AN136" s="80"/>
      <c r="AO136" s="80"/>
      <c r="AP136" s="80"/>
      <c r="AQ136" s="80"/>
      <c r="AR136" s="80"/>
      <c r="AS136" s="80"/>
      <c r="AT136" s="80"/>
      <c r="AU136" s="80"/>
      <c r="AV136" s="80"/>
      <c r="AW136" s="80"/>
    </row>
    <row r="137" spans="1:49" s="79" customFormat="1" ht="15.75">
      <c r="A137" s="120"/>
      <c r="B137" s="121"/>
      <c r="C137" s="122"/>
      <c r="D137" s="122"/>
      <c r="E137" s="122"/>
      <c r="F137" s="123"/>
      <c r="G137" s="123"/>
      <c r="H137" s="123"/>
      <c r="I137" s="123"/>
      <c r="J137" s="123"/>
      <c r="K137" s="123"/>
      <c r="L137" s="123"/>
      <c r="M137" s="123"/>
      <c r="N137" s="123"/>
      <c r="O137" s="123"/>
      <c r="P137" s="123"/>
      <c r="Q137" s="123"/>
      <c r="R137" s="123"/>
      <c r="S137" s="123"/>
      <c r="T137" s="123"/>
      <c r="U137" s="123"/>
      <c r="V137" s="123"/>
      <c r="W137" s="123"/>
      <c r="X137" s="123"/>
      <c r="Y137" s="123"/>
      <c r="Z137" s="123"/>
      <c r="AA137" s="123"/>
      <c r="AB137" s="123"/>
      <c r="AC137" s="123"/>
      <c r="AD137" s="123"/>
      <c r="AE137" s="123"/>
      <c r="AF137" s="123"/>
      <c r="AG137" s="123"/>
      <c r="AH137" s="123"/>
      <c r="AI137" s="123"/>
      <c r="AJ137" s="123"/>
      <c r="AL137" s="80"/>
      <c r="AM137" s="80"/>
      <c r="AN137" s="80"/>
      <c r="AO137" s="80"/>
      <c r="AP137" s="80"/>
      <c r="AQ137" s="80"/>
      <c r="AR137" s="80"/>
      <c r="AS137" s="80"/>
      <c r="AT137" s="80"/>
      <c r="AU137" s="80"/>
      <c r="AV137" s="80"/>
      <c r="AW137" s="80"/>
    </row>
    <row r="138" spans="1:49" s="79" customFormat="1" ht="15.75">
      <c r="A138" s="120"/>
      <c r="B138" s="121"/>
      <c r="C138" s="122"/>
      <c r="D138" s="122"/>
      <c r="E138" s="122"/>
      <c r="F138" s="123"/>
      <c r="G138" s="123"/>
      <c r="H138" s="123"/>
      <c r="I138" s="123"/>
      <c r="J138" s="123"/>
      <c r="K138" s="123"/>
      <c r="L138" s="123"/>
      <c r="M138" s="123"/>
      <c r="N138" s="123"/>
      <c r="O138" s="123"/>
      <c r="P138" s="123"/>
      <c r="Q138" s="123"/>
      <c r="R138" s="123"/>
      <c r="S138" s="123"/>
      <c r="T138" s="123"/>
      <c r="U138" s="123"/>
      <c r="V138" s="123"/>
      <c r="W138" s="123"/>
      <c r="X138" s="123"/>
      <c r="Y138" s="123"/>
      <c r="Z138" s="123"/>
      <c r="AA138" s="123"/>
      <c r="AB138" s="123"/>
      <c r="AC138" s="123"/>
      <c r="AD138" s="123"/>
      <c r="AE138" s="123"/>
      <c r="AF138" s="123"/>
      <c r="AG138" s="123"/>
      <c r="AH138" s="123"/>
      <c r="AI138" s="123"/>
      <c r="AJ138" s="123"/>
      <c r="AL138" s="80"/>
      <c r="AM138" s="80"/>
      <c r="AN138" s="80"/>
      <c r="AO138" s="80"/>
      <c r="AP138" s="80"/>
      <c r="AQ138" s="80"/>
      <c r="AR138" s="80"/>
      <c r="AS138" s="80"/>
      <c r="AT138" s="80"/>
      <c r="AU138" s="80"/>
      <c r="AV138" s="80"/>
      <c r="AW138" s="80"/>
    </row>
    <row r="139" spans="1:49" s="79" customFormat="1" ht="15.75">
      <c r="A139" s="120"/>
      <c r="B139" s="121"/>
      <c r="C139" s="122"/>
      <c r="D139" s="122"/>
      <c r="E139" s="122"/>
      <c r="F139" s="123"/>
      <c r="G139" s="123"/>
      <c r="H139" s="123"/>
      <c r="I139" s="123"/>
      <c r="J139" s="123"/>
      <c r="K139" s="123"/>
      <c r="L139" s="123"/>
      <c r="M139" s="123"/>
      <c r="N139" s="123"/>
      <c r="O139" s="123"/>
      <c r="P139" s="123"/>
      <c r="Q139" s="123"/>
      <c r="R139" s="123"/>
      <c r="S139" s="123"/>
      <c r="T139" s="123"/>
      <c r="U139" s="123"/>
      <c r="V139" s="123"/>
      <c r="W139" s="123"/>
      <c r="X139" s="123"/>
      <c r="Y139" s="123"/>
      <c r="Z139" s="123"/>
      <c r="AA139" s="123"/>
      <c r="AB139" s="123"/>
      <c r="AC139" s="123"/>
      <c r="AD139" s="123"/>
      <c r="AE139" s="123"/>
      <c r="AF139" s="123"/>
      <c r="AG139" s="123"/>
      <c r="AH139" s="123"/>
      <c r="AI139" s="123"/>
      <c r="AJ139" s="123"/>
      <c r="AL139" s="80"/>
      <c r="AM139" s="80"/>
      <c r="AN139" s="80"/>
      <c r="AO139" s="80"/>
      <c r="AP139" s="80"/>
      <c r="AQ139" s="80"/>
      <c r="AR139" s="80"/>
      <c r="AS139" s="80"/>
      <c r="AT139" s="80"/>
      <c r="AU139" s="80"/>
      <c r="AV139" s="80"/>
      <c r="AW139" s="80"/>
    </row>
    <row r="140" spans="1:49" s="79" customFormat="1" ht="15.75">
      <c r="A140" s="120"/>
      <c r="B140" s="121"/>
      <c r="C140" s="122"/>
      <c r="D140" s="122"/>
      <c r="E140" s="122"/>
      <c r="F140" s="123"/>
      <c r="G140" s="123"/>
      <c r="H140" s="123"/>
      <c r="I140" s="123"/>
      <c r="J140" s="123"/>
      <c r="K140" s="123"/>
      <c r="L140" s="123"/>
      <c r="M140" s="123"/>
      <c r="N140" s="123"/>
      <c r="O140" s="123"/>
      <c r="P140" s="123"/>
      <c r="Q140" s="123"/>
      <c r="R140" s="123"/>
      <c r="S140" s="123"/>
      <c r="T140" s="123"/>
      <c r="U140" s="123"/>
      <c r="V140" s="123"/>
      <c r="W140" s="123"/>
      <c r="X140" s="123"/>
      <c r="Y140" s="123"/>
      <c r="Z140" s="123"/>
      <c r="AA140" s="123"/>
      <c r="AB140" s="123"/>
      <c r="AC140" s="123"/>
      <c r="AD140" s="123"/>
      <c r="AE140" s="123"/>
      <c r="AF140" s="123"/>
      <c r="AG140" s="123"/>
      <c r="AH140" s="123"/>
      <c r="AI140" s="123"/>
      <c r="AJ140" s="123"/>
      <c r="AL140" s="80"/>
      <c r="AM140" s="80"/>
      <c r="AN140" s="80"/>
      <c r="AO140" s="80"/>
      <c r="AP140" s="80"/>
      <c r="AQ140" s="80"/>
      <c r="AR140" s="80"/>
      <c r="AS140" s="80"/>
      <c r="AT140" s="80"/>
      <c r="AU140" s="80"/>
      <c r="AV140" s="80"/>
      <c r="AW140" s="80"/>
    </row>
    <row r="141" spans="1:49" s="79" customFormat="1" ht="15.75">
      <c r="A141" s="120"/>
      <c r="B141" s="121"/>
      <c r="C141" s="122"/>
      <c r="D141" s="122"/>
      <c r="E141" s="122"/>
      <c r="F141" s="123"/>
      <c r="G141" s="123"/>
      <c r="H141" s="123"/>
      <c r="I141" s="123"/>
      <c r="J141" s="123"/>
      <c r="K141" s="123"/>
      <c r="L141" s="123"/>
      <c r="M141" s="123"/>
      <c r="N141" s="123"/>
      <c r="O141" s="123"/>
      <c r="P141" s="123"/>
      <c r="Q141" s="123"/>
      <c r="R141" s="123"/>
      <c r="S141" s="123"/>
      <c r="T141" s="123"/>
      <c r="U141" s="123"/>
      <c r="V141" s="123"/>
      <c r="W141" s="123"/>
      <c r="X141" s="123"/>
      <c r="Y141" s="123"/>
      <c r="Z141" s="123"/>
      <c r="AA141" s="123"/>
      <c r="AB141" s="123"/>
      <c r="AC141" s="123"/>
      <c r="AD141" s="123"/>
      <c r="AE141" s="123"/>
      <c r="AF141" s="123"/>
      <c r="AG141" s="123"/>
      <c r="AH141" s="123"/>
      <c r="AI141" s="123"/>
      <c r="AJ141" s="123"/>
      <c r="AL141" s="80"/>
      <c r="AM141" s="80"/>
      <c r="AN141" s="80"/>
      <c r="AO141" s="80"/>
      <c r="AP141" s="80"/>
      <c r="AQ141" s="80"/>
      <c r="AR141" s="80"/>
      <c r="AS141" s="80"/>
      <c r="AT141" s="80"/>
      <c r="AU141" s="80"/>
      <c r="AV141" s="80"/>
      <c r="AW141" s="80"/>
    </row>
    <row r="142" spans="1:49" s="79" customFormat="1" ht="15.75">
      <c r="A142" s="120"/>
      <c r="B142" s="121"/>
      <c r="C142" s="122"/>
      <c r="D142" s="122"/>
      <c r="E142" s="122"/>
      <c r="F142" s="123"/>
      <c r="G142" s="123"/>
      <c r="H142" s="123"/>
      <c r="I142" s="123"/>
      <c r="J142" s="123"/>
      <c r="K142" s="123"/>
      <c r="L142" s="123"/>
      <c r="M142" s="123"/>
      <c r="N142" s="123"/>
      <c r="O142" s="123"/>
      <c r="P142" s="123"/>
      <c r="Q142" s="123"/>
      <c r="R142" s="123"/>
      <c r="S142" s="123"/>
      <c r="T142" s="123"/>
      <c r="U142" s="123"/>
      <c r="V142" s="123"/>
      <c r="W142" s="123"/>
      <c r="X142" s="123"/>
      <c r="Y142" s="123"/>
      <c r="Z142" s="123"/>
      <c r="AA142" s="123"/>
      <c r="AB142" s="123"/>
      <c r="AC142" s="123"/>
      <c r="AD142" s="123"/>
      <c r="AE142" s="123"/>
      <c r="AF142" s="123"/>
      <c r="AG142" s="123"/>
      <c r="AH142" s="123"/>
      <c r="AI142" s="123"/>
      <c r="AJ142" s="123"/>
      <c r="AL142" s="80"/>
      <c r="AM142" s="80"/>
      <c r="AN142" s="80"/>
      <c r="AO142" s="80"/>
      <c r="AP142" s="80"/>
      <c r="AQ142" s="80"/>
      <c r="AR142" s="80"/>
      <c r="AS142" s="80"/>
      <c r="AT142" s="80"/>
      <c r="AU142" s="80"/>
      <c r="AV142" s="80"/>
      <c r="AW142" s="80"/>
    </row>
    <row r="143" spans="1:49" s="79" customFormat="1" ht="15.75">
      <c r="A143" s="120"/>
      <c r="B143" s="121"/>
      <c r="C143" s="122"/>
      <c r="D143" s="122"/>
      <c r="E143" s="122"/>
      <c r="F143" s="123"/>
      <c r="G143" s="123"/>
      <c r="H143" s="123"/>
      <c r="I143" s="123"/>
      <c r="J143" s="123"/>
      <c r="K143" s="123"/>
      <c r="L143" s="123"/>
      <c r="M143" s="123"/>
      <c r="N143" s="123"/>
      <c r="O143" s="123"/>
      <c r="P143" s="123"/>
      <c r="Q143" s="123"/>
      <c r="R143" s="123"/>
      <c r="S143" s="123"/>
      <c r="T143" s="123"/>
      <c r="U143" s="123"/>
      <c r="V143" s="123"/>
      <c r="W143" s="123"/>
      <c r="X143" s="123"/>
      <c r="Y143" s="123"/>
      <c r="Z143" s="123"/>
      <c r="AA143" s="123"/>
      <c r="AB143" s="123"/>
      <c r="AC143" s="123"/>
      <c r="AD143" s="123"/>
      <c r="AE143" s="123"/>
      <c r="AF143" s="123"/>
      <c r="AG143" s="123"/>
      <c r="AH143" s="123"/>
      <c r="AI143" s="123"/>
      <c r="AJ143" s="123"/>
      <c r="AL143" s="80"/>
      <c r="AM143" s="80"/>
      <c r="AN143" s="80"/>
      <c r="AO143" s="80"/>
      <c r="AP143" s="80"/>
      <c r="AQ143" s="80"/>
      <c r="AR143" s="80"/>
      <c r="AS143" s="80"/>
      <c r="AT143" s="80"/>
      <c r="AU143" s="80"/>
      <c r="AV143" s="80"/>
      <c r="AW143" s="80"/>
    </row>
    <row r="144" spans="1:49" s="79" customFormat="1" ht="15.75">
      <c r="A144" s="120"/>
      <c r="B144" s="121"/>
      <c r="C144" s="122"/>
      <c r="D144" s="122"/>
      <c r="E144" s="122"/>
      <c r="F144" s="123"/>
      <c r="G144" s="123"/>
      <c r="H144" s="123"/>
      <c r="I144" s="123"/>
      <c r="J144" s="123"/>
      <c r="K144" s="123"/>
      <c r="L144" s="123"/>
      <c r="M144" s="123"/>
      <c r="N144" s="123"/>
      <c r="O144" s="123"/>
      <c r="P144" s="123"/>
      <c r="Q144" s="123"/>
      <c r="R144" s="123"/>
      <c r="S144" s="123"/>
      <c r="T144" s="123"/>
      <c r="U144" s="123"/>
      <c r="V144" s="123"/>
      <c r="W144" s="123"/>
      <c r="X144" s="123"/>
      <c r="Y144" s="123"/>
      <c r="Z144" s="123"/>
      <c r="AA144" s="123"/>
      <c r="AB144" s="123"/>
      <c r="AC144" s="123"/>
      <c r="AD144" s="123"/>
      <c r="AE144" s="123"/>
      <c r="AF144" s="123"/>
      <c r="AG144" s="123"/>
      <c r="AH144" s="123"/>
      <c r="AI144" s="123"/>
      <c r="AJ144" s="123"/>
      <c r="AL144" s="80"/>
      <c r="AM144" s="80"/>
      <c r="AN144" s="80"/>
      <c r="AO144" s="80"/>
      <c r="AP144" s="80"/>
      <c r="AQ144" s="80"/>
      <c r="AR144" s="80"/>
      <c r="AS144" s="80"/>
      <c r="AT144" s="80"/>
      <c r="AU144" s="80"/>
      <c r="AV144" s="80"/>
      <c r="AW144" s="80"/>
    </row>
    <row r="145" spans="1:49" s="79" customFormat="1" ht="15.75">
      <c r="A145" s="120"/>
      <c r="B145" s="121"/>
      <c r="C145" s="122"/>
      <c r="D145" s="122"/>
      <c r="E145" s="122"/>
      <c r="F145" s="123"/>
      <c r="G145" s="123"/>
      <c r="H145" s="123"/>
      <c r="I145" s="123"/>
      <c r="J145" s="123"/>
      <c r="K145" s="123"/>
      <c r="L145" s="123"/>
      <c r="M145" s="123"/>
      <c r="N145" s="123"/>
      <c r="O145" s="123"/>
      <c r="P145" s="123"/>
      <c r="Q145" s="123"/>
      <c r="R145" s="123"/>
      <c r="S145" s="123"/>
      <c r="T145" s="123"/>
      <c r="U145" s="123"/>
      <c r="V145" s="123"/>
      <c r="W145" s="123"/>
      <c r="X145" s="123"/>
      <c r="Y145" s="123"/>
      <c r="Z145" s="123"/>
      <c r="AA145" s="123"/>
      <c r="AB145" s="123"/>
      <c r="AC145" s="123"/>
      <c r="AD145" s="123"/>
      <c r="AE145" s="123"/>
      <c r="AF145" s="123"/>
      <c r="AG145" s="123"/>
      <c r="AH145" s="123"/>
      <c r="AI145" s="123"/>
      <c r="AJ145" s="123"/>
      <c r="AL145" s="80"/>
      <c r="AM145" s="80"/>
      <c r="AN145" s="80"/>
      <c r="AO145" s="80"/>
      <c r="AP145" s="80"/>
      <c r="AQ145" s="80"/>
      <c r="AR145" s="80"/>
      <c r="AS145" s="80"/>
      <c r="AT145" s="80"/>
      <c r="AU145" s="80"/>
      <c r="AV145" s="80"/>
      <c r="AW145" s="80"/>
    </row>
    <row r="146" spans="1:49" s="79" customFormat="1" ht="15.75">
      <c r="A146" s="120"/>
      <c r="B146" s="121"/>
      <c r="C146" s="122"/>
      <c r="D146" s="122"/>
      <c r="E146" s="122"/>
      <c r="F146" s="123"/>
      <c r="G146" s="123"/>
      <c r="H146" s="123"/>
      <c r="I146" s="123"/>
      <c r="J146" s="123"/>
      <c r="K146" s="123"/>
      <c r="L146" s="123"/>
      <c r="M146" s="123"/>
      <c r="N146" s="123"/>
      <c r="O146" s="123"/>
      <c r="P146" s="123"/>
      <c r="Q146" s="123"/>
      <c r="R146" s="123"/>
      <c r="S146" s="123"/>
      <c r="T146" s="123"/>
      <c r="U146" s="123"/>
      <c r="V146" s="123"/>
      <c r="W146" s="123"/>
      <c r="X146" s="123"/>
      <c r="Y146" s="123"/>
      <c r="Z146" s="123"/>
      <c r="AA146" s="123"/>
      <c r="AB146" s="123"/>
      <c r="AC146" s="123"/>
      <c r="AD146" s="123"/>
      <c r="AE146" s="123"/>
      <c r="AF146" s="123"/>
      <c r="AG146" s="123"/>
      <c r="AH146" s="123"/>
      <c r="AI146" s="123"/>
      <c r="AJ146" s="123"/>
      <c r="AL146" s="80"/>
      <c r="AM146" s="80"/>
      <c r="AN146" s="80"/>
      <c r="AO146" s="80"/>
      <c r="AP146" s="80"/>
      <c r="AQ146" s="80"/>
      <c r="AR146" s="80"/>
      <c r="AS146" s="80"/>
      <c r="AT146" s="80"/>
      <c r="AU146" s="80"/>
      <c r="AV146" s="80"/>
      <c r="AW146" s="80"/>
    </row>
    <row r="147" spans="1:49" s="79" customFormat="1" ht="15.75">
      <c r="A147" s="120"/>
      <c r="B147" s="121"/>
      <c r="C147" s="122"/>
      <c r="D147" s="122"/>
      <c r="E147" s="122"/>
      <c r="F147" s="123"/>
      <c r="G147" s="123"/>
      <c r="H147" s="123"/>
      <c r="I147" s="123"/>
      <c r="J147" s="123"/>
      <c r="K147" s="123"/>
      <c r="L147" s="123"/>
      <c r="M147" s="123"/>
      <c r="N147" s="123"/>
      <c r="O147" s="123"/>
      <c r="P147" s="123"/>
      <c r="Q147" s="123"/>
      <c r="R147" s="123"/>
      <c r="S147" s="123"/>
      <c r="T147" s="123"/>
      <c r="U147" s="123"/>
      <c r="V147" s="123"/>
      <c r="W147" s="123"/>
      <c r="X147" s="123"/>
      <c r="Y147" s="123"/>
      <c r="Z147" s="123"/>
      <c r="AA147" s="123"/>
      <c r="AB147" s="123"/>
      <c r="AC147" s="123"/>
      <c r="AD147" s="123"/>
      <c r="AE147" s="123"/>
      <c r="AF147" s="123"/>
      <c r="AG147" s="123"/>
      <c r="AH147" s="123"/>
      <c r="AI147" s="123"/>
      <c r="AJ147" s="123"/>
      <c r="AL147" s="80"/>
      <c r="AM147" s="80"/>
      <c r="AN147" s="80"/>
      <c r="AO147" s="80"/>
      <c r="AP147" s="80"/>
      <c r="AQ147" s="80"/>
      <c r="AR147" s="80"/>
      <c r="AS147" s="80"/>
      <c r="AT147" s="80"/>
      <c r="AU147" s="80"/>
      <c r="AV147" s="80"/>
      <c r="AW147" s="80"/>
    </row>
    <row r="148" spans="1:49" s="79" customFormat="1" ht="15.75">
      <c r="A148" s="120"/>
      <c r="B148" s="121"/>
      <c r="C148" s="122"/>
      <c r="D148" s="122"/>
      <c r="E148" s="122"/>
      <c r="F148" s="123"/>
      <c r="G148" s="123"/>
      <c r="H148" s="123"/>
      <c r="I148" s="123"/>
      <c r="J148" s="123"/>
      <c r="K148" s="123"/>
      <c r="L148" s="123"/>
      <c r="M148" s="123"/>
      <c r="N148" s="123"/>
      <c r="O148" s="123"/>
      <c r="P148" s="123"/>
      <c r="Q148" s="123"/>
      <c r="R148" s="123"/>
      <c r="S148" s="123"/>
      <c r="T148" s="123"/>
      <c r="U148" s="123"/>
      <c r="V148" s="123"/>
      <c r="W148" s="123"/>
      <c r="X148" s="123"/>
      <c r="Y148" s="123"/>
      <c r="Z148" s="123"/>
      <c r="AA148" s="123"/>
      <c r="AB148" s="123"/>
      <c r="AC148" s="123"/>
      <c r="AD148" s="123"/>
      <c r="AE148" s="123"/>
      <c r="AF148" s="123"/>
      <c r="AG148" s="123"/>
      <c r="AH148" s="123"/>
      <c r="AI148" s="123"/>
      <c r="AJ148" s="123"/>
      <c r="AL148" s="80"/>
      <c r="AM148" s="80"/>
      <c r="AN148" s="80"/>
      <c r="AO148" s="80"/>
      <c r="AP148" s="80"/>
      <c r="AQ148" s="80"/>
      <c r="AR148" s="80"/>
      <c r="AS148" s="80"/>
      <c r="AT148" s="80"/>
      <c r="AU148" s="80"/>
      <c r="AV148" s="80"/>
      <c r="AW148" s="80"/>
    </row>
    <row r="149" spans="1:49" s="79" customFormat="1" ht="15.75">
      <c r="A149" s="120"/>
      <c r="B149" s="121"/>
      <c r="C149" s="122"/>
      <c r="D149" s="122"/>
      <c r="E149" s="122"/>
      <c r="F149" s="123"/>
      <c r="G149" s="123"/>
      <c r="H149" s="123"/>
      <c r="I149" s="123"/>
      <c r="J149" s="123"/>
      <c r="K149" s="123"/>
      <c r="L149" s="123"/>
      <c r="M149" s="123"/>
      <c r="N149" s="123"/>
      <c r="O149" s="123"/>
      <c r="P149" s="123"/>
      <c r="Q149" s="123"/>
      <c r="R149" s="123"/>
      <c r="S149" s="123"/>
      <c r="T149" s="123"/>
      <c r="U149" s="123"/>
      <c r="V149" s="123"/>
      <c r="W149" s="123"/>
      <c r="X149" s="123"/>
      <c r="Y149" s="123"/>
      <c r="Z149" s="123"/>
      <c r="AA149" s="123"/>
      <c r="AB149" s="123"/>
      <c r="AC149" s="123"/>
      <c r="AD149" s="123"/>
      <c r="AE149" s="123"/>
      <c r="AF149" s="123"/>
      <c r="AG149" s="123"/>
      <c r="AH149" s="123"/>
      <c r="AI149" s="123"/>
      <c r="AJ149" s="123"/>
      <c r="AL149" s="80"/>
      <c r="AM149" s="80"/>
      <c r="AN149" s="80"/>
      <c r="AO149" s="80"/>
      <c r="AP149" s="80"/>
      <c r="AQ149" s="80"/>
      <c r="AR149" s="80"/>
      <c r="AS149" s="80"/>
      <c r="AT149" s="80"/>
      <c r="AU149" s="80"/>
      <c r="AV149" s="80"/>
      <c r="AW149" s="80"/>
    </row>
    <row r="150" spans="1:49" s="79" customFormat="1" ht="15.75">
      <c r="A150" s="120"/>
      <c r="B150" s="121"/>
      <c r="C150" s="122"/>
      <c r="D150" s="122"/>
      <c r="E150" s="122"/>
      <c r="F150" s="123"/>
      <c r="G150" s="123"/>
      <c r="H150" s="123"/>
      <c r="I150" s="123"/>
      <c r="J150" s="123"/>
      <c r="K150" s="123"/>
      <c r="L150" s="123"/>
      <c r="M150" s="123"/>
      <c r="N150" s="123"/>
      <c r="O150" s="123"/>
      <c r="P150" s="123"/>
      <c r="Q150" s="123"/>
      <c r="R150" s="123"/>
      <c r="S150" s="123"/>
      <c r="T150" s="123"/>
      <c r="U150" s="123"/>
      <c r="V150" s="123"/>
      <c r="W150" s="123"/>
      <c r="X150" s="123"/>
      <c r="Y150" s="123"/>
      <c r="Z150" s="123"/>
      <c r="AA150" s="123"/>
      <c r="AB150" s="123"/>
      <c r="AC150" s="123"/>
      <c r="AD150" s="123"/>
      <c r="AE150" s="123"/>
      <c r="AF150" s="123"/>
      <c r="AG150" s="123"/>
      <c r="AH150" s="123"/>
      <c r="AI150" s="123"/>
      <c r="AJ150" s="123"/>
      <c r="AL150" s="80"/>
      <c r="AM150" s="80"/>
      <c r="AN150" s="80"/>
      <c r="AO150" s="80"/>
      <c r="AP150" s="80"/>
      <c r="AQ150" s="80"/>
      <c r="AR150" s="80"/>
      <c r="AS150" s="80"/>
      <c r="AT150" s="80"/>
      <c r="AU150" s="80"/>
      <c r="AV150" s="80"/>
      <c r="AW150" s="80"/>
    </row>
    <row r="151" spans="1:49" s="79" customFormat="1" ht="15.75">
      <c r="A151" s="120"/>
      <c r="B151" s="121"/>
      <c r="C151" s="122"/>
      <c r="D151" s="122"/>
      <c r="E151" s="122"/>
      <c r="F151" s="123"/>
      <c r="G151" s="123"/>
      <c r="H151" s="123"/>
      <c r="I151" s="123"/>
      <c r="J151" s="123"/>
      <c r="K151" s="123"/>
      <c r="L151" s="123"/>
      <c r="M151" s="123"/>
      <c r="N151" s="123"/>
      <c r="O151" s="123"/>
      <c r="P151" s="123"/>
      <c r="Q151" s="123"/>
      <c r="R151" s="123"/>
      <c r="S151" s="123"/>
      <c r="T151" s="123"/>
      <c r="U151" s="123"/>
      <c r="V151" s="123"/>
      <c r="W151" s="123"/>
      <c r="X151" s="123"/>
      <c r="Y151" s="123"/>
      <c r="Z151" s="123"/>
      <c r="AA151" s="123"/>
      <c r="AB151" s="123"/>
      <c r="AC151" s="123"/>
      <c r="AD151" s="123"/>
      <c r="AE151" s="123"/>
      <c r="AF151" s="123"/>
      <c r="AG151" s="123"/>
      <c r="AH151" s="123"/>
      <c r="AI151" s="123"/>
      <c r="AJ151" s="123"/>
      <c r="AL151" s="80"/>
      <c r="AM151" s="80"/>
      <c r="AN151" s="80"/>
      <c r="AO151" s="80"/>
      <c r="AP151" s="80"/>
      <c r="AQ151" s="80"/>
      <c r="AR151" s="80"/>
      <c r="AS151" s="80"/>
      <c r="AT151" s="80"/>
      <c r="AU151" s="80"/>
      <c r="AV151" s="80"/>
      <c r="AW151" s="80"/>
    </row>
    <row r="152" spans="1:49" s="79" customFormat="1" ht="15.75">
      <c r="A152" s="120"/>
      <c r="B152" s="121"/>
      <c r="C152" s="122"/>
      <c r="D152" s="122"/>
      <c r="E152" s="122"/>
      <c r="F152" s="123"/>
      <c r="G152" s="123"/>
      <c r="H152" s="123"/>
      <c r="I152" s="123"/>
      <c r="J152" s="123"/>
      <c r="K152" s="123"/>
      <c r="L152" s="123"/>
      <c r="M152" s="123"/>
      <c r="N152" s="123"/>
      <c r="O152" s="123"/>
      <c r="P152" s="123"/>
      <c r="Q152" s="123"/>
      <c r="R152" s="123"/>
      <c r="S152" s="123"/>
      <c r="T152" s="123"/>
      <c r="U152" s="123"/>
      <c r="V152" s="123"/>
      <c r="W152" s="123"/>
      <c r="X152" s="123"/>
      <c r="Y152" s="123"/>
      <c r="Z152" s="123"/>
      <c r="AA152" s="123"/>
      <c r="AB152" s="123"/>
      <c r="AC152" s="123"/>
      <c r="AD152" s="123"/>
      <c r="AE152" s="123"/>
      <c r="AF152" s="123"/>
      <c r="AG152" s="123"/>
      <c r="AH152" s="123"/>
      <c r="AI152" s="123"/>
      <c r="AJ152" s="123"/>
      <c r="AL152" s="80"/>
      <c r="AM152" s="80"/>
      <c r="AN152" s="80"/>
      <c r="AO152" s="80"/>
      <c r="AP152" s="80"/>
      <c r="AQ152" s="80"/>
      <c r="AR152" s="80"/>
      <c r="AS152" s="80"/>
      <c r="AT152" s="80"/>
      <c r="AU152" s="80"/>
      <c r="AV152" s="80"/>
      <c r="AW152" s="80"/>
    </row>
    <row r="153" spans="1:49" s="79" customFormat="1" ht="15.75">
      <c r="A153" s="120"/>
      <c r="B153" s="121"/>
      <c r="C153" s="122"/>
      <c r="D153" s="122"/>
      <c r="E153" s="122"/>
      <c r="F153" s="123"/>
      <c r="G153" s="123"/>
      <c r="H153" s="123"/>
      <c r="I153" s="123"/>
      <c r="J153" s="123"/>
      <c r="K153" s="123"/>
      <c r="L153" s="123"/>
      <c r="M153" s="123"/>
      <c r="N153" s="123"/>
      <c r="O153" s="123"/>
      <c r="P153" s="123"/>
      <c r="Q153" s="123"/>
      <c r="R153" s="123"/>
      <c r="S153" s="123"/>
      <c r="T153" s="123"/>
      <c r="U153" s="123"/>
      <c r="V153" s="123"/>
      <c r="W153" s="123"/>
      <c r="X153" s="123"/>
      <c r="Y153" s="123"/>
      <c r="Z153" s="123"/>
      <c r="AA153" s="123"/>
      <c r="AB153" s="123"/>
      <c r="AC153" s="123"/>
      <c r="AD153" s="123"/>
      <c r="AE153" s="123"/>
      <c r="AF153" s="123"/>
      <c r="AG153" s="123"/>
      <c r="AH153" s="123"/>
      <c r="AI153" s="123"/>
      <c r="AJ153" s="123"/>
      <c r="AL153" s="80"/>
      <c r="AM153" s="80"/>
      <c r="AN153" s="80"/>
      <c r="AO153" s="80"/>
      <c r="AP153" s="80"/>
      <c r="AQ153" s="80"/>
      <c r="AR153" s="80"/>
      <c r="AS153" s="80"/>
      <c r="AT153" s="80"/>
      <c r="AU153" s="80"/>
      <c r="AV153" s="80"/>
      <c r="AW153" s="80"/>
    </row>
    <row r="154" spans="1:49" s="79" customFormat="1" ht="15.75">
      <c r="A154" s="120"/>
      <c r="B154" s="121"/>
      <c r="C154" s="122"/>
      <c r="D154" s="122"/>
      <c r="E154" s="122"/>
      <c r="F154" s="123"/>
      <c r="G154" s="123"/>
      <c r="H154" s="123"/>
      <c r="I154" s="123"/>
      <c r="J154" s="123"/>
      <c r="K154" s="123"/>
      <c r="L154" s="123"/>
      <c r="M154" s="123"/>
      <c r="N154" s="123"/>
      <c r="O154" s="123"/>
      <c r="P154" s="123"/>
      <c r="Q154" s="123"/>
      <c r="R154" s="123"/>
      <c r="S154" s="123"/>
      <c r="T154" s="123"/>
      <c r="U154" s="123"/>
      <c r="V154" s="123"/>
      <c r="W154" s="123"/>
      <c r="X154" s="123"/>
      <c r="Y154" s="123"/>
      <c r="Z154" s="123"/>
      <c r="AA154" s="123"/>
      <c r="AB154" s="123"/>
      <c r="AC154" s="123"/>
      <c r="AD154" s="123"/>
      <c r="AE154" s="123"/>
      <c r="AF154" s="123"/>
      <c r="AG154" s="123"/>
      <c r="AH154" s="123"/>
      <c r="AI154" s="123"/>
      <c r="AJ154" s="123"/>
      <c r="AL154" s="80"/>
      <c r="AM154" s="80"/>
      <c r="AN154" s="80"/>
      <c r="AO154" s="80"/>
      <c r="AP154" s="80"/>
      <c r="AQ154" s="80"/>
      <c r="AR154" s="80"/>
      <c r="AS154" s="80"/>
      <c r="AT154" s="80"/>
      <c r="AU154" s="80"/>
      <c r="AV154" s="80"/>
      <c r="AW154" s="80"/>
    </row>
    <row r="155" spans="1:49" s="79" customFormat="1" ht="15.75">
      <c r="A155" s="120"/>
      <c r="B155" s="121"/>
      <c r="C155" s="122"/>
      <c r="D155" s="122"/>
      <c r="E155" s="122"/>
      <c r="F155" s="123"/>
      <c r="G155" s="123"/>
      <c r="H155" s="123"/>
      <c r="I155" s="123"/>
      <c r="J155" s="123"/>
      <c r="K155" s="123"/>
      <c r="L155" s="123"/>
      <c r="M155" s="123"/>
      <c r="N155" s="123"/>
      <c r="O155" s="123"/>
      <c r="P155" s="123"/>
      <c r="Q155" s="123"/>
      <c r="R155" s="123"/>
      <c r="S155" s="123"/>
      <c r="T155" s="123"/>
      <c r="U155" s="123"/>
      <c r="V155" s="123"/>
      <c r="W155" s="123"/>
      <c r="X155" s="123"/>
      <c r="Y155" s="123"/>
      <c r="Z155" s="123"/>
      <c r="AA155" s="123"/>
      <c r="AB155" s="123"/>
      <c r="AC155" s="123"/>
      <c r="AD155" s="123"/>
      <c r="AE155" s="123"/>
      <c r="AF155" s="123"/>
      <c r="AG155" s="123"/>
      <c r="AH155" s="123"/>
      <c r="AI155" s="123"/>
      <c r="AJ155" s="123"/>
      <c r="AL155" s="80"/>
      <c r="AM155" s="80"/>
      <c r="AN155" s="80"/>
      <c r="AO155" s="80"/>
      <c r="AP155" s="80"/>
      <c r="AQ155" s="80"/>
      <c r="AR155" s="80"/>
      <c r="AS155" s="80"/>
      <c r="AT155" s="80"/>
      <c r="AU155" s="80"/>
      <c r="AV155" s="80"/>
      <c r="AW155" s="80"/>
    </row>
    <row r="156" spans="1:49" s="79" customFormat="1" ht="15.75">
      <c r="A156" s="120"/>
      <c r="B156" s="121"/>
      <c r="C156" s="122"/>
      <c r="D156" s="122"/>
      <c r="E156" s="122"/>
      <c r="F156" s="123"/>
      <c r="G156" s="123"/>
      <c r="H156" s="123"/>
      <c r="I156" s="123"/>
      <c r="J156" s="123"/>
      <c r="K156" s="123"/>
      <c r="L156" s="123"/>
      <c r="M156" s="123"/>
      <c r="N156" s="123"/>
      <c r="O156" s="123"/>
      <c r="P156" s="123"/>
      <c r="Q156" s="123"/>
      <c r="R156" s="123"/>
      <c r="S156" s="123"/>
      <c r="T156" s="123"/>
      <c r="U156" s="123"/>
      <c r="V156" s="123"/>
      <c r="W156" s="123"/>
      <c r="X156" s="123"/>
      <c r="Y156" s="123"/>
      <c r="Z156" s="123"/>
      <c r="AA156" s="123"/>
      <c r="AB156" s="123"/>
      <c r="AC156" s="123"/>
      <c r="AD156" s="123"/>
      <c r="AE156" s="123"/>
      <c r="AF156" s="123"/>
      <c r="AG156" s="123"/>
      <c r="AH156" s="123"/>
      <c r="AI156" s="123"/>
      <c r="AJ156" s="123"/>
      <c r="AL156" s="80"/>
      <c r="AM156" s="80"/>
      <c r="AN156" s="80"/>
      <c r="AO156" s="80"/>
      <c r="AP156" s="80"/>
      <c r="AQ156" s="80"/>
      <c r="AR156" s="80"/>
      <c r="AS156" s="80"/>
      <c r="AT156" s="80"/>
      <c r="AU156" s="80"/>
      <c r="AV156" s="80"/>
      <c r="AW156" s="80"/>
    </row>
    <row r="157" spans="1:49" s="79" customFormat="1" ht="15.75">
      <c r="A157" s="120"/>
      <c r="B157" s="121"/>
      <c r="C157" s="122"/>
      <c r="D157" s="122"/>
      <c r="E157" s="122"/>
      <c r="F157" s="123"/>
      <c r="G157" s="123"/>
      <c r="H157" s="123"/>
      <c r="I157" s="123"/>
      <c r="J157" s="123"/>
      <c r="K157" s="123"/>
      <c r="L157" s="123"/>
      <c r="M157" s="123"/>
      <c r="N157" s="123"/>
      <c r="O157" s="123"/>
      <c r="P157" s="123"/>
      <c r="Q157" s="123"/>
      <c r="R157" s="123"/>
      <c r="S157" s="123"/>
      <c r="T157" s="123"/>
      <c r="U157" s="123"/>
      <c r="V157" s="123"/>
      <c r="W157" s="123"/>
      <c r="X157" s="123"/>
      <c r="Y157" s="123"/>
      <c r="Z157" s="123"/>
      <c r="AA157" s="123"/>
      <c r="AB157" s="123"/>
      <c r="AC157" s="123"/>
      <c r="AD157" s="123"/>
      <c r="AE157" s="123"/>
      <c r="AF157" s="123"/>
      <c r="AG157" s="123"/>
      <c r="AH157" s="123"/>
      <c r="AI157" s="123"/>
      <c r="AJ157" s="123"/>
      <c r="AL157" s="80"/>
      <c r="AM157" s="80"/>
      <c r="AN157" s="80"/>
      <c r="AO157" s="80"/>
      <c r="AP157" s="80"/>
      <c r="AQ157" s="80"/>
      <c r="AR157" s="80"/>
      <c r="AS157" s="80"/>
      <c r="AT157" s="80"/>
      <c r="AU157" s="80"/>
      <c r="AV157" s="80"/>
      <c r="AW157" s="80"/>
    </row>
    <row r="158" spans="1:49" s="79" customFormat="1" ht="15.75">
      <c r="A158" s="120"/>
      <c r="B158" s="121"/>
      <c r="C158" s="122"/>
      <c r="D158" s="122"/>
      <c r="E158" s="122"/>
      <c r="F158" s="123"/>
      <c r="G158" s="123"/>
      <c r="H158" s="123"/>
      <c r="I158" s="123"/>
      <c r="J158" s="123"/>
      <c r="K158" s="123"/>
      <c r="L158" s="123"/>
      <c r="M158" s="123"/>
      <c r="N158" s="123"/>
      <c r="O158" s="123"/>
      <c r="P158" s="123"/>
      <c r="Q158" s="123"/>
      <c r="R158" s="123"/>
      <c r="S158" s="123"/>
      <c r="T158" s="123"/>
      <c r="U158" s="123"/>
      <c r="V158" s="123"/>
      <c r="W158" s="123"/>
      <c r="X158" s="123"/>
      <c r="Y158" s="123"/>
      <c r="Z158" s="123"/>
      <c r="AA158" s="123"/>
      <c r="AB158" s="123"/>
      <c r="AC158" s="123"/>
      <c r="AD158" s="123"/>
      <c r="AE158" s="123"/>
      <c r="AF158" s="123"/>
      <c r="AG158" s="123"/>
      <c r="AH158" s="123"/>
      <c r="AI158" s="123"/>
      <c r="AJ158" s="123"/>
      <c r="AL158" s="80"/>
      <c r="AM158" s="80"/>
      <c r="AN158" s="80"/>
      <c r="AO158" s="80"/>
      <c r="AP158" s="80"/>
      <c r="AQ158" s="80"/>
      <c r="AR158" s="80"/>
      <c r="AS158" s="80"/>
      <c r="AT158" s="80"/>
      <c r="AU158" s="80"/>
      <c r="AV158" s="80"/>
      <c r="AW158" s="80"/>
    </row>
    <row r="159" spans="1:49" s="79" customFormat="1" ht="15.75">
      <c r="A159" s="120"/>
      <c r="B159" s="121"/>
      <c r="C159" s="122"/>
      <c r="D159" s="122"/>
      <c r="E159" s="122"/>
      <c r="F159" s="123"/>
      <c r="G159" s="123"/>
      <c r="H159" s="123"/>
      <c r="I159" s="123"/>
      <c r="J159" s="123"/>
      <c r="K159" s="123"/>
      <c r="L159" s="123"/>
      <c r="M159" s="123"/>
      <c r="N159" s="123"/>
      <c r="O159" s="123"/>
      <c r="P159" s="123"/>
      <c r="Q159" s="123"/>
      <c r="R159" s="123"/>
      <c r="S159" s="123"/>
      <c r="T159" s="123"/>
      <c r="U159" s="123"/>
      <c r="V159" s="123"/>
      <c r="W159" s="123"/>
      <c r="X159" s="123"/>
      <c r="Y159" s="123"/>
      <c r="Z159" s="123"/>
      <c r="AA159" s="123"/>
      <c r="AB159" s="123"/>
      <c r="AC159" s="123"/>
      <c r="AD159" s="123"/>
      <c r="AE159" s="123"/>
      <c r="AF159" s="123"/>
      <c r="AG159" s="123"/>
      <c r="AH159" s="123"/>
      <c r="AI159" s="123"/>
      <c r="AJ159" s="123"/>
      <c r="AL159" s="80"/>
      <c r="AM159" s="80"/>
      <c r="AN159" s="80"/>
      <c r="AO159" s="80"/>
      <c r="AP159" s="80"/>
      <c r="AQ159" s="80"/>
      <c r="AR159" s="80"/>
      <c r="AS159" s="80"/>
      <c r="AT159" s="80"/>
      <c r="AU159" s="80"/>
      <c r="AV159" s="80"/>
      <c r="AW159" s="80"/>
    </row>
    <row r="160" spans="1:49" s="79" customFormat="1" ht="15.75">
      <c r="A160" s="120"/>
      <c r="B160" s="121"/>
      <c r="C160" s="122"/>
      <c r="D160" s="122"/>
      <c r="E160" s="122"/>
      <c r="F160" s="123"/>
      <c r="G160" s="123"/>
      <c r="H160" s="123"/>
      <c r="I160" s="123"/>
      <c r="J160" s="123"/>
      <c r="K160" s="123"/>
      <c r="L160" s="123"/>
      <c r="M160" s="123"/>
      <c r="N160" s="123"/>
      <c r="O160" s="123"/>
      <c r="P160" s="123"/>
      <c r="Q160" s="123"/>
      <c r="R160" s="123"/>
      <c r="S160" s="123"/>
      <c r="T160" s="123"/>
      <c r="U160" s="123"/>
      <c r="V160" s="123"/>
      <c r="W160" s="123"/>
      <c r="X160" s="123"/>
      <c r="Y160" s="123"/>
      <c r="Z160" s="123"/>
      <c r="AA160" s="123"/>
      <c r="AB160" s="123"/>
      <c r="AC160" s="123"/>
      <c r="AD160" s="123"/>
      <c r="AE160" s="123"/>
      <c r="AF160" s="123"/>
      <c r="AG160" s="123"/>
      <c r="AH160" s="123"/>
      <c r="AI160" s="123"/>
      <c r="AJ160" s="123"/>
      <c r="AL160" s="80"/>
      <c r="AM160" s="80"/>
      <c r="AN160" s="80"/>
      <c r="AO160" s="80"/>
      <c r="AP160" s="80"/>
      <c r="AQ160" s="80"/>
      <c r="AR160" s="80"/>
      <c r="AS160" s="80"/>
      <c r="AT160" s="80"/>
      <c r="AU160" s="80"/>
      <c r="AV160" s="80"/>
      <c r="AW160" s="80"/>
    </row>
    <row r="161" spans="1:49" s="79" customFormat="1" ht="15.75">
      <c r="A161" s="120"/>
      <c r="B161" s="121"/>
      <c r="C161" s="122"/>
      <c r="D161" s="122"/>
      <c r="E161" s="122"/>
      <c r="F161" s="123"/>
      <c r="G161" s="123"/>
      <c r="H161" s="123"/>
      <c r="I161" s="123"/>
      <c r="J161" s="123"/>
      <c r="K161" s="123"/>
      <c r="L161" s="123"/>
      <c r="M161" s="123"/>
      <c r="N161" s="123"/>
      <c r="O161" s="123"/>
      <c r="P161" s="123"/>
      <c r="Q161" s="123"/>
      <c r="R161" s="123"/>
      <c r="S161" s="123"/>
      <c r="T161" s="123"/>
      <c r="U161" s="123"/>
      <c r="V161" s="123"/>
      <c r="W161" s="123"/>
      <c r="X161" s="123"/>
      <c r="Y161" s="123"/>
      <c r="Z161" s="123"/>
      <c r="AA161" s="123"/>
      <c r="AB161" s="123"/>
      <c r="AC161" s="123"/>
      <c r="AD161" s="123"/>
      <c r="AE161" s="123"/>
      <c r="AF161" s="123"/>
      <c r="AG161" s="123"/>
      <c r="AH161" s="123"/>
      <c r="AI161" s="123"/>
      <c r="AJ161" s="123"/>
      <c r="AL161" s="80"/>
      <c r="AM161" s="80"/>
      <c r="AN161" s="80"/>
      <c r="AO161" s="80"/>
      <c r="AP161" s="80"/>
      <c r="AQ161" s="80"/>
      <c r="AR161" s="80"/>
      <c r="AS161" s="80"/>
      <c r="AT161" s="80"/>
      <c r="AU161" s="80"/>
      <c r="AV161" s="80"/>
      <c r="AW161" s="80"/>
    </row>
    <row r="162" spans="1:49" s="79" customFormat="1" ht="15.75">
      <c r="A162" s="120"/>
      <c r="B162" s="121"/>
      <c r="C162" s="122"/>
      <c r="D162" s="122"/>
      <c r="E162" s="122"/>
      <c r="F162" s="123"/>
      <c r="G162" s="123"/>
      <c r="H162" s="123"/>
      <c r="I162" s="123"/>
      <c r="J162" s="123"/>
      <c r="K162" s="123"/>
      <c r="L162" s="123"/>
      <c r="M162" s="123"/>
      <c r="N162" s="123"/>
      <c r="O162" s="123"/>
      <c r="P162" s="123"/>
      <c r="Q162" s="123"/>
      <c r="R162" s="123"/>
      <c r="S162" s="123"/>
      <c r="T162" s="123"/>
      <c r="U162" s="123"/>
      <c r="V162" s="123"/>
      <c r="W162" s="123"/>
      <c r="X162" s="123"/>
      <c r="Y162" s="123"/>
      <c r="Z162" s="123"/>
      <c r="AA162" s="123"/>
      <c r="AB162" s="123"/>
      <c r="AC162" s="123"/>
      <c r="AD162" s="123"/>
      <c r="AE162" s="123"/>
      <c r="AF162" s="123"/>
      <c r="AG162" s="123"/>
      <c r="AH162" s="123"/>
      <c r="AI162" s="123"/>
      <c r="AJ162" s="123"/>
      <c r="AL162" s="80"/>
      <c r="AM162" s="80"/>
      <c r="AN162" s="80"/>
      <c r="AO162" s="80"/>
      <c r="AP162" s="80"/>
      <c r="AQ162" s="80"/>
      <c r="AR162" s="80"/>
      <c r="AS162" s="80"/>
      <c r="AT162" s="80"/>
      <c r="AU162" s="80"/>
      <c r="AV162" s="80"/>
      <c r="AW162" s="80"/>
    </row>
    <row r="163" spans="1:49" s="79" customFormat="1" ht="15.75">
      <c r="A163" s="120"/>
      <c r="B163" s="121"/>
      <c r="C163" s="122"/>
      <c r="D163" s="122"/>
      <c r="E163" s="122"/>
      <c r="F163" s="123"/>
      <c r="G163" s="123"/>
      <c r="H163" s="123"/>
      <c r="I163" s="123"/>
      <c r="J163" s="123"/>
      <c r="K163" s="123"/>
      <c r="L163" s="123"/>
      <c r="M163" s="123"/>
      <c r="N163" s="123"/>
      <c r="O163" s="123"/>
      <c r="P163" s="123"/>
      <c r="Q163" s="123"/>
      <c r="R163" s="123"/>
      <c r="S163" s="123"/>
      <c r="T163" s="123"/>
      <c r="U163" s="123"/>
      <c r="V163" s="123"/>
      <c r="W163" s="123"/>
      <c r="X163" s="123"/>
      <c r="Y163" s="123"/>
      <c r="Z163" s="123"/>
      <c r="AA163" s="123"/>
      <c r="AB163" s="123"/>
      <c r="AC163" s="123"/>
      <c r="AD163" s="123"/>
      <c r="AE163" s="123"/>
      <c r="AF163" s="123"/>
      <c r="AG163" s="123"/>
      <c r="AH163" s="123"/>
      <c r="AI163" s="123"/>
      <c r="AJ163" s="123"/>
      <c r="AL163" s="80"/>
      <c r="AM163" s="80"/>
      <c r="AN163" s="80"/>
      <c r="AO163" s="80"/>
      <c r="AP163" s="80"/>
      <c r="AQ163" s="80"/>
      <c r="AR163" s="80"/>
      <c r="AS163" s="80"/>
      <c r="AT163" s="80"/>
      <c r="AU163" s="80"/>
      <c r="AV163" s="80"/>
      <c r="AW163" s="80"/>
    </row>
    <row r="164" spans="1:49" s="79" customFormat="1" ht="15.75">
      <c r="A164" s="120"/>
      <c r="B164" s="121"/>
      <c r="C164" s="122"/>
      <c r="D164" s="122"/>
      <c r="E164" s="122"/>
      <c r="F164" s="123"/>
      <c r="G164" s="123"/>
      <c r="H164" s="123"/>
      <c r="I164" s="123"/>
      <c r="J164" s="123"/>
      <c r="K164" s="123"/>
      <c r="L164" s="123"/>
      <c r="M164" s="123"/>
      <c r="N164" s="123"/>
      <c r="O164" s="123"/>
      <c r="P164" s="123"/>
      <c r="Q164" s="123"/>
      <c r="R164" s="123"/>
      <c r="S164" s="123"/>
      <c r="T164" s="123"/>
      <c r="U164" s="123"/>
      <c r="V164" s="123"/>
      <c r="W164" s="123"/>
      <c r="X164" s="123"/>
      <c r="Y164" s="123"/>
      <c r="Z164" s="123"/>
      <c r="AA164" s="123"/>
      <c r="AB164" s="123"/>
      <c r="AC164" s="123"/>
      <c r="AD164" s="123"/>
      <c r="AE164" s="123"/>
      <c r="AF164" s="123"/>
      <c r="AG164" s="123"/>
      <c r="AH164" s="123"/>
      <c r="AI164" s="123"/>
      <c r="AJ164" s="123"/>
      <c r="AL164" s="80"/>
      <c r="AM164" s="80"/>
      <c r="AN164" s="80"/>
      <c r="AO164" s="80"/>
      <c r="AP164" s="80"/>
      <c r="AQ164" s="80"/>
      <c r="AR164" s="80"/>
      <c r="AS164" s="80"/>
      <c r="AT164" s="80"/>
      <c r="AU164" s="80"/>
      <c r="AV164" s="80"/>
      <c r="AW164" s="80"/>
    </row>
    <row r="165" spans="1:49" s="79" customFormat="1" ht="15.75">
      <c r="A165" s="120"/>
      <c r="B165" s="121"/>
      <c r="C165" s="122"/>
      <c r="D165" s="122"/>
      <c r="E165" s="122"/>
      <c r="F165" s="123"/>
      <c r="G165" s="123"/>
      <c r="H165" s="123"/>
      <c r="I165" s="123"/>
      <c r="J165" s="123"/>
      <c r="K165" s="123"/>
      <c r="L165" s="123"/>
      <c r="M165" s="123"/>
      <c r="N165" s="123"/>
      <c r="O165" s="123"/>
      <c r="P165" s="123"/>
      <c r="Q165" s="123"/>
      <c r="R165" s="123"/>
      <c r="S165" s="123"/>
      <c r="T165" s="123"/>
      <c r="U165" s="123"/>
      <c r="V165" s="123"/>
      <c r="W165" s="123"/>
      <c r="X165" s="123"/>
      <c r="Y165" s="123"/>
      <c r="Z165" s="123"/>
      <c r="AA165" s="123"/>
      <c r="AB165" s="123"/>
      <c r="AC165" s="123"/>
      <c r="AD165" s="123"/>
      <c r="AE165" s="123"/>
      <c r="AF165" s="123"/>
      <c r="AG165" s="123"/>
      <c r="AH165" s="123"/>
      <c r="AI165" s="123"/>
      <c r="AJ165" s="123"/>
      <c r="AL165" s="80"/>
      <c r="AM165" s="80"/>
      <c r="AN165" s="80"/>
      <c r="AO165" s="80"/>
      <c r="AP165" s="80"/>
      <c r="AQ165" s="80"/>
      <c r="AR165" s="80"/>
      <c r="AS165" s="80"/>
      <c r="AT165" s="80"/>
      <c r="AU165" s="80"/>
      <c r="AV165" s="80"/>
      <c r="AW165" s="80"/>
    </row>
    <row r="166" spans="1:49" s="79" customFormat="1" ht="15.75">
      <c r="A166" s="120"/>
      <c r="B166" s="121"/>
      <c r="C166" s="122"/>
      <c r="D166" s="122"/>
      <c r="E166" s="122"/>
      <c r="F166" s="123"/>
      <c r="G166" s="123"/>
      <c r="H166" s="123"/>
      <c r="I166" s="123"/>
      <c r="J166" s="123"/>
      <c r="K166" s="123"/>
      <c r="L166" s="123"/>
      <c r="M166" s="123"/>
      <c r="N166" s="123"/>
      <c r="O166" s="123"/>
      <c r="P166" s="123"/>
      <c r="Q166" s="123"/>
      <c r="R166" s="123"/>
      <c r="S166" s="123"/>
      <c r="T166" s="123"/>
      <c r="U166" s="123"/>
      <c r="V166" s="123"/>
      <c r="W166" s="123"/>
      <c r="X166" s="123"/>
      <c r="Y166" s="123"/>
      <c r="Z166" s="123"/>
      <c r="AA166" s="123"/>
      <c r="AB166" s="123"/>
      <c r="AC166" s="123"/>
      <c r="AD166" s="123"/>
      <c r="AE166" s="123"/>
      <c r="AF166" s="123"/>
      <c r="AG166" s="123"/>
      <c r="AH166" s="123"/>
      <c r="AI166" s="123"/>
      <c r="AJ166" s="123"/>
      <c r="AL166" s="80"/>
      <c r="AM166" s="80"/>
      <c r="AN166" s="80"/>
      <c r="AO166" s="80"/>
      <c r="AP166" s="80"/>
      <c r="AQ166" s="80"/>
      <c r="AR166" s="80"/>
      <c r="AS166" s="80"/>
      <c r="AT166" s="80"/>
      <c r="AU166" s="80"/>
      <c r="AV166" s="80"/>
      <c r="AW166" s="80"/>
    </row>
    <row r="167" spans="1:49" s="79" customFormat="1" ht="15.75">
      <c r="A167" s="120"/>
      <c r="B167" s="121"/>
      <c r="C167" s="122"/>
      <c r="D167" s="122"/>
      <c r="E167" s="122"/>
      <c r="F167" s="123"/>
      <c r="G167" s="123"/>
      <c r="H167" s="123"/>
      <c r="I167" s="123"/>
      <c r="J167" s="123"/>
      <c r="K167" s="123"/>
      <c r="L167" s="123"/>
      <c r="M167" s="123"/>
      <c r="N167" s="123"/>
      <c r="O167" s="123"/>
      <c r="P167" s="123"/>
      <c r="Q167" s="123"/>
      <c r="R167" s="123"/>
      <c r="S167" s="123"/>
      <c r="T167" s="123"/>
      <c r="U167" s="123"/>
      <c r="V167" s="123"/>
      <c r="W167" s="123"/>
      <c r="X167" s="123"/>
      <c r="Y167" s="123"/>
      <c r="Z167" s="123"/>
      <c r="AA167" s="123"/>
      <c r="AB167" s="123"/>
      <c r="AC167" s="123"/>
      <c r="AD167" s="123"/>
      <c r="AE167" s="123"/>
      <c r="AF167" s="123"/>
      <c r="AG167" s="123"/>
      <c r="AH167" s="123"/>
      <c r="AI167" s="123"/>
      <c r="AJ167" s="123"/>
      <c r="AL167" s="80"/>
      <c r="AM167" s="80"/>
      <c r="AN167" s="80"/>
      <c r="AO167" s="80"/>
      <c r="AP167" s="80"/>
      <c r="AQ167" s="80"/>
      <c r="AR167" s="80"/>
      <c r="AS167" s="80"/>
      <c r="AT167" s="80"/>
      <c r="AU167" s="80"/>
      <c r="AV167" s="80"/>
      <c r="AW167" s="80"/>
    </row>
    <row r="168" spans="1:49" s="79" customFormat="1" ht="15.75">
      <c r="A168" s="120"/>
      <c r="B168" s="121"/>
      <c r="C168" s="122"/>
      <c r="D168" s="122"/>
      <c r="E168" s="122"/>
      <c r="F168" s="123"/>
      <c r="G168" s="123"/>
      <c r="H168" s="123"/>
      <c r="I168" s="123"/>
      <c r="J168" s="123"/>
      <c r="K168" s="123"/>
      <c r="L168" s="123"/>
      <c r="M168" s="123"/>
      <c r="N168" s="123"/>
      <c r="O168" s="123"/>
      <c r="P168" s="123"/>
      <c r="Q168" s="123"/>
      <c r="R168" s="123"/>
      <c r="S168" s="123"/>
      <c r="T168" s="123"/>
      <c r="U168" s="123"/>
      <c r="V168" s="123"/>
      <c r="W168" s="123"/>
      <c r="X168" s="123"/>
      <c r="Y168" s="123"/>
      <c r="Z168" s="123"/>
      <c r="AA168" s="123"/>
      <c r="AB168" s="123"/>
      <c r="AC168" s="123"/>
      <c r="AD168" s="123"/>
      <c r="AE168" s="123"/>
      <c r="AF168" s="123"/>
      <c r="AG168" s="123"/>
      <c r="AH168" s="123"/>
      <c r="AI168" s="123"/>
      <c r="AJ168" s="123"/>
      <c r="AL168" s="80"/>
      <c r="AM168" s="80"/>
      <c r="AN168" s="80"/>
      <c r="AO168" s="80"/>
      <c r="AP168" s="80"/>
      <c r="AQ168" s="80"/>
      <c r="AR168" s="80"/>
      <c r="AS168" s="80"/>
      <c r="AT168" s="80"/>
      <c r="AU168" s="80"/>
      <c r="AV168" s="80"/>
      <c r="AW168" s="80"/>
    </row>
    <row r="169" spans="1:49" s="79" customFormat="1" ht="15.75">
      <c r="A169" s="120"/>
      <c r="B169" s="121"/>
      <c r="C169" s="122"/>
      <c r="D169" s="122"/>
      <c r="E169" s="122"/>
      <c r="F169" s="123"/>
      <c r="G169" s="123"/>
      <c r="H169" s="123"/>
      <c r="I169" s="123"/>
      <c r="J169" s="123"/>
      <c r="K169" s="123"/>
      <c r="L169" s="123"/>
      <c r="M169" s="123"/>
      <c r="N169" s="123"/>
      <c r="O169" s="123"/>
      <c r="P169" s="123"/>
      <c r="Q169" s="123"/>
      <c r="R169" s="123"/>
      <c r="S169" s="123"/>
      <c r="T169" s="123"/>
      <c r="U169" s="123"/>
      <c r="V169" s="123"/>
      <c r="W169" s="123"/>
      <c r="X169" s="123"/>
      <c r="Y169" s="123"/>
      <c r="Z169" s="123"/>
      <c r="AA169" s="123"/>
      <c r="AB169" s="123"/>
      <c r="AC169" s="123"/>
      <c r="AD169" s="123"/>
      <c r="AE169" s="123"/>
      <c r="AF169" s="123"/>
      <c r="AG169" s="123"/>
      <c r="AH169" s="123"/>
      <c r="AI169" s="123"/>
      <c r="AJ169" s="123"/>
      <c r="AL169" s="80"/>
      <c r="AM169" s="80"/>
      <c r="AN169" s="80"/>
      <c r="AO169" s="80"/>
      <c r="AP169" s="80"/>
      <c r="AQ169" s="80"/>
      <c r="AR169" s="80"/>
      <c r="AS169" s="80"/>
      <c r="AT169" s="80"/>
      <c r="AU169" s="80"/>
      <c r="AV169" s="80"/>
      <c r="AW169" s="80"/>
    </row>
    <row r="170" spans="1:49" s="79" customFormat="1" ht="15.75">
      <c r="A170" s="120"/>
      <c r="B170" s="121"/>
      <c r="C170" s="122"/>
      <c r="D170" s="122"/>
      <c r="E170" s="122"/>
      <c r="F170" s="123"/>
      <c r="G170" s="123"/>
      <c r="H170" s="123"/>
      <c r="I170" s="123"/>
      <c r="J170" s="123"/>
      <c r="K170" s="123"/>
      <c r="L170" s="123"/>
      <c r="M170" s="123"/>
      <c r="N170" s="123"/>
      <c r="O170" s="123"/>
      <c r="P170" s="123"/>
      <c r="Q170" s="123"/>
      <c r="R170" s="123"/>
      <c r="S170" s="123"/>
      <c r="T170" s="123"/>
      <c r="U170" s="123"/>
      <c r="V170" s="123"/>
      <c r="W170" s="123"/>
      <c r="X170" s="123"/>
      <c r="Y170" s="123"/>
      <c r="Z170" s="123"/>
      <c r="AA170" s="123"/>
      <c r="AB170" s="123"/>
      <c r="AC170" s="123"/>
      <c r="AD170" s="123"/>
      <c r="AE170" s="123"/>
      <c r="AF170" s="123"/>
      <c r="AG170" s="123"/>
      <c r="AH170" s="123"/>
      <c r="AI170" s="123"/>
      <c r="AJ170" s="123"/>
      <c r="AL170" s="80"/>
      <c r="AM170" s="80"/>
      <c r="AN170" s="80"/>
      <c r="AO170" s="80"/>
      <c r="AP170" s="80"/>
      <c r="AQ170" s="80"/>
      <c r="AR170" s="80"/>
      <c r="AS170" s="80"/>
      <c r="AT170" s="80"/>
      <c r="AU170" s="80"/>
      <c r="AV170" s="80"/>
      <c r="AW170" s="80"/>
    </row>
    <row r="171" spans="1:49" s="79" customFormat="1" ht="15.75">
      <c r="A171" s="120"/>
      <c r="B171" s="121"/>
      <c r="C171" s="122"/>
      <c r="D171" s="122"/>
      <c r="E171" s="122"/>
      <c r="F171" s="123"/>
      <c r="G171" s="123"/>
      <c r="H171" s="123"/>
      <c r="I171" s="123"/>
      <c r="J171" s="123"/>
      <c r="K171" s="123"/>
      <c r="L171" s="123"/>
      <c r="M171" s="123"/>
      <c r="N171" s="123"/>
      <c r="O171" s="123"/>
      <c r="P171" s="123"/>
      <c r="Q171" s="123"/>
      <c r="R171" s="123"/>
      <c r="S171" s="123"/>
      <c r="T171" s="123"/>
      <c r="U171" s="123"/>
      <c r="V171" s="123"/>
      <c r="W171" s="123"/>
      <c r="X171" s="123"/>
      <c r="Y171" s="123"/>
      <c r="Z171" s="123"/>
      <c r="AA171" s="123"/>
      <c r="AB171" s="123"/>
      <c r="AC171" s="123"/>
      <c r="AD171" s="123"/>
      <c r="AE171" s="123"/>
      <c r="AF171" s="123"/>
      <c r="AG171" s="123"/>
      <c r="AH171" s="123"/>
      <c r="AI171" s="123"/>
      <c r="AJ171" s="123"/>
      <c r="AL171" s="80"/>
      <c r="AM171" s="80"/>
      <c r="AN171" s="80"/>
      <c r="AO171" s="80"/>
      <c r="AP171" s="80"/>
      <c r="AQ171" s="80"/>
      <c r="AR171" s="80"/>
      <c r="AS171" s="80"/>
      <c r="AT171" s="80"/>
      <c r="AU171" s="80"/>
      <c r="AV171" s="80"/>
      <c r="AW171" s="80"/>
    </row>
    <row r="172" spans="1:49" s="79" customFormat="1" ht="15.75">
      <c r="A172" s="120"/>
      <c r="B172" s="121"/>
      <c r="C172" s="122"/>
      <c r="D172" s="122"/>
      <c r="E172" s="122"/>
      <c r="F172" s="123"/>
      <c r="G172" s="123"/>
      <c r="H172" s="123"/>
      <c r="I172" s="123"/>
      <c r="J172" s="123"/>
      <c r="K172" s="123"/>
      <c r="L172" s="123"/>
      <c r="M172" s="123"/>
      <c r="N172" s="123"/>
      <c r="O172" s="123"/>
      <c r="P172" s="123"/>
      <c r="Q172" s="123"/>
      <c r="R172" s="123"/>
      <c r="S172" s="123"/>
      <c r="T172" s="123"/>
      <c r="U172" s="123"/>
      <c r="V172" s="123"/>
      <c r="W172" s="123"/>
      <c r="X172" s="123"/>
      <c r="Y172" s="123"/>
      <c r="Z172" s="123"/>
      <c r="AA172" s="123"/>
      <c r="AB172" s="123"/>
      <c r="AC172" s="123"/>
      <c r="AD172" s="123"/>
      <c r="AE172" s="123"/>
      <c r="AF172" s="123"/>
      <c r="AG172" s="123"/>
      <c r="AH172" s="123"/>
      <c r="AI172" s="123"/>
      <c r="AJ172" s="123"/>
      <c r="AL172" s="80"/>
      <c r="AM172" s="80"/>
      <c r="AN172" s="80"/>
      <c r="AO172" s="80"/>
      <c r="AP172" s="80"/>
      <c r="AQ172" s="80"/>
      <c r="AR172" s="80"/>
      <c r="AS172" s="80"/>
      <c r="AT172" s="80"/>
      <c r="AU172" s="80"/>
      <c r="AV172" s="80"/>
      <c r="AW172" s="80"/>
    </row>
    <row r="173" spans="1:49" s="79" customFormat="1" ht="15.75">
      <c r="A173" s="120"/>
      <c r="B173" s="121"/>
      <c r="C173" s="122"/>
      <c r="D173" s="122"/>
      <c r="E173" s="122"/>
      <c r="F173" s="123"/>
      <c r="G173" s="123"/>
      <c r="H173" s="123"/>
      <c r="I173" s="123"/>
      <c r="J173" s="123"/>
      <c r="K173" s="123"/>
      <c r="L173" s="123"/>
      <c r="M173" s="123"/>
      <c r="N173" s="123"/>
      <c r="O173" s="123"/>
      <c r="P173" s="123"/>
      <c r="Q173" s="123"/>
      <c r="R173" s="123"/>
      <c r="S173" s="123"/>
      <c r="T173" s="123"/>
      <c r="U173" s="123"/>
      <c r="V173" s="123"/>
      <c r="W173" s="123"/>
      <c r="X173" s="123"/>
      <c r="Y173" s="123"/>
      <c r="Z173" s="123"/>
      <c r="AA173" s="123"/>
      <c r="AB173" s="123"/>
      <c r="AC173" s="123"/>
      <c r="AD173" s="123"/>
      <c r="AE173" s="123"/>
      <c r="AF173" s="123"/>
      <c r="AG173" s="123"/>
      <c r="AH173" s="123"/>
      <c r="AI173" s="123"/>
      <c r="AJ173" s="123"/>
      <c r="AL173" s="80"/>
      <c r="AM173" s="80"/>
      <c r="AN173" s="80"/>
      <c r="AO173" s="80"/>
      <c r="AP173" s="80"/>
      <c r="AQ173" s="80"/>
      <c r="AR173" s="80"/>
      <c r="AS173" s="80"/>
      <c r="AT173" s="80"/>
      <c r="AU173" s="80"/>
      <c r="AV173" s="80"/>
      <c r="AW173" s="80"/>
    </row>
    <row r="174" spans="1:49" s="79" customFormat="1" ht="15.75">
      <c r="A174" s="120"/>
      <c r="B174" s="121"/>
      <c r="C174" s="122"/>
      <c r="D174" s="122"/>
      <c r="E174" s="122"/>
      <c r="F174" s="123"/>
      <c r="G174" s="123"/>
      <c r="H174" s="123"/>
      <c r="I174" s="123"/>
      <c r="J174" s="123"/>
      <c r="K174" s="123"/>
      <c r="L174" s="123"/>
      <c r="M174" s="123"/>
      <c r="N174" s="123"/>
      <c r="O174" s="123"/>
      <c r="P174" s="123"/>
      <c r="Q174" s="123"/>
      <c r="R174" s="123"/>
      <c r="S174" s="123"/>
      <c r="T174" s="123"/>
      <c r="U174" s="123"/>
      <c r="V174" s="123"/>
      <c r="W174" s="123"/>
      <c r="X174" s="123"/>
      <c r="Y174" s="123"/>
      <c r="Z174" s="123"/>
      <c r="AA174" s="123"/>
      <c r="AB174" s="123"/>
      <c r="AC174" s="123"/>
      <c r="AD174" s="123"/>
      <c r="AE174" s="123"/>
      <c r="AF174" s="123"/>
      <c r="AG174" s="123"/>
      <c r="AH174" s="123"/>
      <c r="AI174" s="123"/>
      <c r="AJ174" s="123"/>
      <c r="AL174" s="80"/>
      <c r="AM174" s="80"/>
      <c r="AN174" s="80"/>
      <c r="AO174" s="80"/>
      <c r="AP174" s="80"/>
      <c r="AQ174" s="80"/>
      <c r="AR174" s="80"/>
      <c r="AS174" s="80"/>
      <c r="AT174" s="80"/>
      <c r="AU174" s="80"/>
      <c r="AV174" s="80"/>
      <c r="AW174" s="80"/>
    </row>
    <row r="175" spans="1:49" s="79" customFormat="1" ht="15.75">
      <c r="A175" s="120"/>
      <c r="B175" s="121"/>
      <c r="C175" s="122"/>
      <c r="D175" s="122"/>
      <c r="E175" s="122"/>
      <c r="F175" s="123"/>
      <c r="G175" s="123"/>
      <c r="H175" s="123"/>
      <c r="I175" s="123"/>
      <c r="J175" s="123"/>
      <c r="K175" s="123"/>
      <c r="L175" s="123"/>
      <c r="M175" s="123"/>
      <c r="N175" s="123"/>
      <c r="O175" s="123"/>
      <c r="P175" s="123"/>
      <c r="Q175" s="123"/>
      <c r="R175" s="123"/>
      <c r="S175" s="123"/>
      <c r="T175" s="123"/>
      <c r="U175" s="123"/>
      <c r="V175" s="123"/>
      <c r="W175" s="123"/>
      <c r="X175" s="123"/>
      <c r="Y175" s="123"/>
      <c r="Z175" s="123"/>
      <c r="AA175" s="123"/>
      <c r="AB175" s="123"/>
      <c r="AC175" s="123"/>
      <c r="AD175" s="123"/>
      <c r="AE175" s="123"/>
      <c r="AF175" s="123"/>
      <c r="AG175" s="123"/>
      <c r="AH175" s="123"/>
      <c r="AI175" s="123"/>
      <c r="AJ175" s="123"/>
      <c r="AL175" s="80"/>
      <c r="AM175" s="80"/>
      <c r="AN175" s="80"/>
      <c r="AO175" s="80"/>
      <c r="AP175" s="80"/>
      <c r="AQ175" s="80"/>
      <c r="AR175" s="80"/>
      <c r="AS175" s="80"/>
      <c r="AT175" s="80"/>
      <c r="AU175" s="80"/>
      <c r="AV175" s="80"/>
      <c r="AW175" s="80"/>
    </row>
    <row r="176" spans="1:49" s="79" customFormat="1" ht="15.75">
      <c r="A176" s="120"/>
      <c r="B176" s="121"/>
      <c r="C176" s="122"/>
      <c r="D176" s="122"/>
      <c r="E176" s="122"/>
      <c r="F176" s="123"/>
      <c r="G176" s="123"/>
      <c r="H176" s="123"/>
      <c r="I176" s="123"/>
      <c r="J176" s="123"/>
      <c r="K176" s="123"/>
      <c r="L176" s="123"/>
      <c r="M176" s="123"/>
      <c r="N176" s="123"/>
      <c r="O176" s="123"/>
      <c r="P176" s="123"/>
      <c r="Q176" s="123"/>
      <c r="R176" s="123"/>
      <c r="S176" s="123"/>
      <c r="T176" s="123"/>
      <c r="U176" s="123"/>
      <c r="V176" s="123"/>
      <c r="W176" s="123"/>
      <c r="X176" s="123"/>
      <c r="Y176" s="123"/>
      <c r="Z176" s="123"/>
      <c r="AA176" s="123"/>
      <c r="AB176" s="123"/>
      <c r="AC176" s="123"/>
      <c r="AD176" s="123"/>
      <c r="AE176" s="123"/>
      <c r="AF176" s="123"/>
      <c r="AG176" s="123"/>
      <c r="AH176" s="123"/>
      <c r="AI176" s="123"/>
      <c r="AJ176" s="123"/>
      <c r="AL176" s="80"/>
      <c r="AM176" s="80"/>
      <c r="AN176" s="80"/>
      <c r="AO176" s="80"/>
      <c r="AP176" s="80"/>
      <c r="AQ176" s="80"/>
      <c r="AR176" s="80"/>
      <c r="AS176" s="80"/>
      <c r="AT176" s="80"/>
      <c r="AU176" s="80"/>
      <c r="AV176" s="80"/>
      <c r="AW176" s="80"/>
    </row>
    <row r="177" spans="1:49" s="79" customFormat="1" ht="15.75">
      <c r="A177" s="120"/>
      <c r="B177" s="121"/>
      <c r="C177" s="122"/>
      <c r="D177" s="122"/>
      <c r="E177" s="122"/>
      <c r="F177" s="123"/>
      <c r="G177" s="123"/>
      <c r="H177" s="123"/>
      <c r="I177" s="123"/>
      <c r="J177" s="123"/>
      <c r="K177" s="123"/>
      <c r="L177" s="123"/>
      <c r="M177" s="123"/>
      <c r="N177" s="123"/>
      <c r="O177" s="123"/>
      <c r="P177" s="123"/>
      <c r="Q177" s="123"/>
      <c r="R177" s="123"/>
      <c r="S177" s="123"/>
      <c r="T177" s="123"/>
      <c r="U177" s="123"/>
      <c r="V177" s="123"/>
      <c r="W177" s="123"/>
      <c r="X177" s="123"/>
      <c r="Y177" s="123"/>
      <c r="Z177" s="123"/>
      <c r="AA177" s="123"/>
      <c r="AB177" s="123"/>
      <c r="AC177" s="123"/>
      <c r="AD177" s="123"/>
      <c r="AE177" s="123"/>
      <c r="AF177" s="123"/>
      <c r="AG177" s="123"/>
      <c r="AH177" s="123"/>
      <c r="AI177" s="123"/>
      <c r="AJ177" s="123"/>
      <c r="AL177" s="80"/>
      <c r="AM177" s="80"/>
      <c r="AN177" s="80"/>
      <c r="AO177" s="80"/>
      <c r="AP177" s="80"/>
      <c r="AQ177" s="80"/>
      <c r="AR177" s="80"/>
      <c r="AS177" s="80"/>
      <c r="AT177" s="80"/>
      <c r="AU177" s="80"/>
      <c r="AV177" s="80"/>
      <c r="AW177" s="80"/>
    </row>
    <row r="178" spans="1:49" s="79" customFormat="1" ht="15.75">
      <c r="A178" s="120"/>
      <c r="B178" s="121"/>
      <c r="C178" s="122"/>
      <c r="D178" s="122"/>
      <c r="E178" s="122"/>
      <c r="F178" s="123"/>
      <c r="G178" s="123"/>
      <c r="H178" s="123"/>
      <c r="I178" s="123"/>
      <c r="J178" s="123"/>
      <c r="K178" s="123"/>
      <c r="L178" s="123"/>
      <c r="M178" s="123"/>
      <c r="N178" s="123"/>
      <c r="O178" s="123"/>
      <c r="P178" s="123"/>
      <c r="Q178" s="123"/>
      <c r="R178" s="123"/>
      <c r="S178" s="123"/>
      <c r="T178" s="123"/>
      <c r="U178" s="123"/>
      <c r="V178" s="123"/>
      <c r="W178" s="123"/>
      <c r="X178" s="123"/>
      <c r="Y178" s="123"/>
      <c r="Z178" s="123"/>
      <c r="AA178" s="123"/>
      <c r="AB178" s="123"/>
      <c r="AC178" s="123"/>
      <c r="AD178" s="123"/>
      <c r="AE178" s="123"/>
      <c r="AF178" s="123"/>
      <c r="AG178" s="123"/>
      <c r="AH178" s="123"/>
      <c r="AI178" s="123"/>
      <c r="AJ178" s="123"/>
      <c r="AL178" s="80"/>
      <c r="AM178" s="80"/>
      <c r="AN178" s="80"/>
      <c r="AO178" s="80"/>
      <c r="AP178" s="80"/>
      <c r="AQ178" s="80"/>
      <c r="AR178" s="80"/>
      <c r="AS178" s="80"/>
      <c r="AT178" s="80"/>
      <c r="AU178" s="80"/>
      <c r="AV178" s="80"/>
      <c r="AW178" s="80"/>
    </row>
    <row r="179" spans="1:49" s="79" customFormat="1" ht="15.75">
      <c r="A179" s="120"/>
      <c r="B179" s="121"/>
      <c r="C179" s="122"/>
      <c r="D179" s="122"/>
      <c r="E179" s="122"/>
      <c r="F179" s="123"/>
      <c r="G179" s="123"/>
      <c r="H179" s="123"/>
      <c r="I179" s="123"/>
      <c r="J179" s="123"/>
      <c r="K179" s="123"/>
      <c r="L179" s="123"/>
      <c r="M179" s="123"/>
      <c r="N179" s="123"/>
      <c r="O179" s="123"/>
      <c r="P179" s="123"/>
      <c r="Q179" s="123"/>
      <c r="R179" s="123"/>
      <c r="S179" s="123"/>
      <c r="T179" s="123"/>
      <c r="U179" s="123"/>
      <c r="V179" s="123"/>
      <c r="W179" s="123"/>
      <c r="X179" s="123"/>
      <c r="Y179" s="123"/>
      <c r="Z179" s="123"/>
      <c r="AA179" s="123"/>
      <c r="AB179" s="123"/>
      <c r="AC179" s="123"/>
      <c r="AD179" s="123"/>
      <c r="AE179" s="123"/>
      <c r="AF179" s="123"/>
      <c r="AG179" s="123"/>
      <c r="AH179" s="123"/>
      <c r="AI179" s="123"/>
      <c r="AJ179" s="123"/>
      <c r="AL179" s="80"/>
      <c r="AM179" s="80"/>
      <c r="AN179" s="80"/>
      <c r="AO179" s="80"/>
      <c r="AP179" s="80"/>
      <c r="AQ179" s="80"/>
      <c r="AR179" s="80"/>
      <c r="AS179" s="80"/>
      <c r="AT179" s="80"/>
      <c r="AU179" s="80"/>
      <c r="AV179" s="80"/>
      <c r="AW179" s="80"/>
    </row>
    <row r="180" spans="1:49" s="79" customFormat="1" ht="15.75">
      <c r="A180" s="120"/>
      <c r="B180" s="121"/>
      <c r="C180" s="122"/>
      <c r="D180" s="122"/>
      <c r="E180" s="122"/>
      <c r="F180" s="123"/>
      <c r="G180" s="123"/>
      <c r="H180" s="123"/>
      <c r="I180" s="123"/>
      <c r="J180" s="123"/>
      <c r="K180" s="123"/>
      <c r="L180" s="123"/>
      <c r="M180" s="123"/>
      <c r="N180" s="123"/>
      <c r="O180" s="123"/>
      <c r="P180" s="123"/>
      <c r="Q180" s="123"/>
      <c r="R180" s="123"/>
      <c r="S180" s="123"/>
      <c r="T180" s="123"/>
      <c r="U180" s="123"/>
      <c r="V180" s="123"/>
      <c r="W180" s="123"/>
      <c r="X180" s="123"/>
      <c r="Y180" s="123"/>
      <c r="Z180" s="123"/>
      <c r="AA180" s="123"/>
      <c r="AB180" s="123"/>
      <c r="AC180" s="123"/>
      <c r="AD180" s="123"/>
      <c r="AE180" s="123"/>
      <c r="AF180" s="123"/>
      <c r="AG180" s="123"/>
      <c r="AH180" s="123"/>
      <c r="AI180" s="123"/>
      <c r="AJ180" s="123"/>
      <c r="AL180" s="80"/>
      <c r="AM180" s="80"/>
      <c r="AN180" s="80"/>
      <c r="AO180" s="80"/>
      <c r="AP180" s="80"/>
      <c r="AQ180" s="80"/>
      <c r="AR180" s="80"/>
      <c r="AS180" s="80"/>
      <c r="AT180" s="80"/>
      <c r="AU180" s="80"/>
      <c r="AV180" s="80"/>
      <c r="AW180" s="80"/>
    </row>
    <row r="181" spans="1:49" s="79" customFormat="1" ht="15.75">
      <c r="A181" s="120"/>
      <c r="B181" s="121"/>
      <c r="C181" s="122"/>
      <c r="D181" s="122"/>
      <c r="E181" s="122"/>
      <c r="F181" s="123"/>
      <c r="G181" s="123"/>
      <c r="H181" s="123"/>
      <c r="I181" s="123"/>
      <c r="J181" s="123"/>
      <c r="K181" s="123"/>
      <c r="L181" s="123"/>
      <c r="M181" s="123"/>
      <c r="N181" s="123"/>
      <c r="O181" s="123"/>
      <c r="P181" s="123"/>
      <c r="Q181" s="123"/>
      <c r="R181" s="123"/>
      <c r="S181" s="123"/>
      <c r="T181" s="123"/>
      <c r="U181" s="123"/>
      <c r="V181" s="123"/>
      <c r="W181" s="123"/>
      <c r="X181" s="123"/>
      <c r="Y181" s="123"/>
      <c r="Z181" s="123"/>
      <c r="AA181" s="123"/>
      <c r="AB181" s="123"/>
      <c r="AC181" s="123"/>
      <c r="AD181" s="123"/>
      <c r="AE181" s="123"/>
      <c r="AF181" s="123"/>
      <c r="AG181" s="123"/>
      <c r="AH181" s="123"/>
      <c r="AI181" s="123"/>
      <c r="AJ181" s="123"/>
      <c r="AL181" s="80"/>
      <c r="AM181" s="80"/>
      <c r="AN181" s="80"/>
      <c r="AO181" s="80"/>
      <c r="AP181" s="80"/>
      <c r="AQ181" s="80"/>
      <c r="AR181" s="80"/>
      <c r="AS181" s="80"/>
      <c r="AT181" s="80"/>
      <c r="AU181" s="80"/>
      <c r="AV181" s="80"/>
      <c r="AW181" s="80"/>
    </row>
    <row r="182" spans="1:49" s="79" customFormat="1" ht="15.75">
      <c r="A182" s="120"/>
      <c r="B182" s="121"/>
      <c r="C182" s="122"/>
      <c r="D182" s="122"/>
      <c r="E182" s="122"/>
      <c r="F182" s="123"/>
      <c r="G182" s="123"/>
      <c r="H182" s="123"/>
      <c r="I182" s="123"/>
      <c r="J182" s="123"/>
      <c r="K182" s="123"/>
      <c r="L182" s="123"/>
      <c r="M182" s="123"/>
      <c r="N182" s="123"/>
      <c r="O182" s="123"/>
      <c r="P182" s="123"/>
      <c r="Q182" s="123"/>
      <c r="R182" s="123"/>
      <c r="S182" s="123"/>
      <c r="T182" s="123"/>
      <c r="U182" s="123"/>
      <c r="V182" s="123"/>
      <c r="W182" s="123"/>
      <c r="X182" s="123"/>
      <c r="Y182" s="123"/>
      <c r="Z182" s="123"/>
      <c r="AA182" s="123"/>
      <c r="AB182" s="123"/>
      <c r="AC182" s="123"/>
      <c r="AD182" s="123"/>
      <c r="AE182" s="123"/>
      <c r="AF182" s="123"/>
      <c r="AG182" s="123"/>
      <c r="AH182" s="123"/>
      <c r="AI182" s="123"/>
      <c r="AJ182" s="123"/>
      <c r="AL182" s="80"/>
      <c r="AM182" s="80"/>
      <c r="AN182" s="80"/>
      <c r="AO182" s="80"/>
      <c r="AP182" s="80"/>
      <c r="AQ182" s="80"/>
      <c r="AR182" s="80"/>
      <c r="AS182" s="80"/>
      <c r="AT182" s="80"/>
      <c r="AU182" s="80"/>
      <c r="AV182" s="80"/>
      <c r="AW182" s="80"/>
    </row>
    <row r="183" spans="1:49" s="79" customFormat="1" ht="15.75">
      <c r="A183" s="120"/>
      <c r="B183" s="121"/>
      <c r="C183" s="122"/>
      <c r="D183" s="122"/>
      <c r="E183" s="122"/>
      <c r="F183" s="123"/>
      <c r="G183" s="123"/>
      <c r="H183" s="123"/>
      <c r="I183" s="123"/>
      <c r="J183" s="123"/>
      <c r="K183" s="123"/>
      <c r="L183" s="123"/>
      <c r="M183" s="123"/>
      <c r="N183" s="123"/>
      <c r="O183" s="123"/>
      <c r="P183" s="123"/>
      <c r="Q183" s="123"/>
      <c r="R183" s="123"/>
      <c r="S183" s="123"/>
      <c r="T183" s="123"/>
      <c r="U183" s="123"/>
      <c r="V183" s="123"/>
      <c r="W183" s="123"/>
      <c r="X183" s="123"/>
      <c r="Y183" s="123"/>
      <c r="Z183" s="123"/>
      <c r="AA183" s="123"/>
      <c r="AB183" s="123"/>
      <c r="AC183" s="123"/>
      <c r="AD183" s="123"/>
      <c r="AE183" s="123"/>
      <c r="AF183" s="123"/>
      <c r="AG183" s="123"/>
      <c r="AH183" s="123"/>
      <c r="AI183" s="123"/>
      <c r="AJ183" s="123"/>
      <c r="AL183" s="80"/>
      <c r="AM183" s="80"/>
      <c r="AN183" s="80"/>
      <c r="AO183" s="80"/>
      <c r="AP183" s="80"/>
      <c r="AQ183" s="80"/>
      <c r="AR183" s="80"/>
      <c r="AS183" s="80"/>
      <c r="AT183" s="80"/>
      <c r="AU183" s="80"/>
      <c r="AV183" s="80"/>
      <c r="AW183" s="80"/>
    </row>
    <row r="184" spans="1:49" s="79" customFormat="1" ht="15.75">
      <c r="A184" s="120"/>
      <c r="B184" s="121"/>
      <c r="C184" s="122"/>
      <c r="D184" s="122"/>
      <c r="E184" s="122"/>
      <c r="F184" s="123"/>
      <c r="G184" s="123"/>
      <c r="H184" s="123"/>
      <c r="I184" s="123"/>
      <c r="J184" s="123"/>
      <c r="K184" s="123"/>
      <c r="L184" s="123"/>
      <c r="M184" s="123"/>
      <c r="N184" s="123"/>
      <c r="O184" s="123"/>
      <c r="P184" s="123"/>
      <c r="Q184" s="123"/>
      <c r="R184" s="123"/>
      <c r="S184" s="123"/>
      <c r="T184" s="123"/>
      <c r="U184" s="123"/>
      <c r="V184" s="123"/>
      <c r="W184" s="123"/>
      <c r="X184" s="123"/>
      <c r="Y184" s="123"/>
      <c r="Z184" s="123"/>
      <c r="AA184" s="123"/>
      <c r="AB184" s="123"/>
      <c r="AC184" s="123"/>
      <c r="AD184" s="123"/>
      <c r="AE184" s="123"/>
      <c r="AF184" s="123"/>
      <c r="AG184" s="123"/>
      <c r="AH184" s="123"/>
      <c r="AI184" s="123"/>
      <c r="AJ184" s="123"/>
      <c r="AL184" s="80"/>
      <c r="AM184" s="80"/>
      <c r="AN184" s="80"/>
      <c r="AO184" s="80"/>
      <c r="AP184" s="80"/>
      <c r="AQ184" s="80"/>
      <c r="AR184" s="80"/>
      <c r="AS184" s="80"/>
      <c r="AT184" s="80"/>
      <c r="AU184" s="80"/>
      <c r="AV184" s="80"/>
      <c r="AW184" s="80"/>
    </row>
    <row r="185" spans="1:49" s="79" customFormat="1" ht="15.75">
      <c r="A185" s="120"/>
      <c r="B185" s="121"/>
      <c r="C185" s="122"/>
      <c r="D185" s="122"/>
      <c r="E185" s="122"/>
      <c r="F185" s="123"/>
      <c r="G185" s="123"/>
      <c r="H185" s="123"/>
      <c r="I185" s="123"/>
      <c r="J185" s="123"/>
      <c r="K185" s="123"/>
      <c r="L185" s="123"/>
      <c r="M185" s="123"/>
      <c r="N185" s="123"/>
      <c r="O185" s="123"/>
      <c r="P185" s="123"/>
      <c r="Q185" s="123"/>
      <c r="R185" s="123"/>
      <c r="S185" s="123"/>
      <c r="T185" s="123"/>
      <c r="U185" s="123"/>
      <c r="V185" s="123"/>
      <c r="W185" s="123"/>
      <c r="X185" s="123"/>
      <c r="Y185" s="123"/>
      <c r="Z185" s="123"/>
      <c r="AA185" s="123"/>
      <c r="AB185" s="123"/>
      <c r="AC185" s="123"/>
      <c r="AD185" s="123"/>
      <c r="AE185" s="123"/>
      <c r="AF185" s="123"/>
      <c r="AG185" s="123"/>
      <c r="AH185" s="123"/>
      <c r="AI185" s="123"/>
      <c r="AJ185" s="123"/>
      <c r="AL185" s="80"/>
      <c r="AM185" s="80"/>
      <c r="AN185" s="80"/>
      <c r="AO185" s="80"/>
      <c r="AP185" s="80"/>
      <c r="AQ185" s="80"/>
      <c r="AR185" s="80"/>
      <c r="AS185" s="80"/>
      <c r="AT185" s="80"/>
      <c r="AU185" s="80"/>
      <c r="AV185" s="80"/>
      <c r="AW185" s="80"/>
    </row>
    <row r="186" spans="1:49" s="79" customFormat="1" ht="15.75">
      <c r="A186" s="120"/>
      <c r="B186" s="121"/>
      <c r="C186" s="122"/>
      <c r="D186" s="122"/>
      <c r="E186" s="122"/>
      <c r="F186" s="123"/>
      <c r="G186" s="123"/>
      <c r="H186" s="123"/>
      <c r="I186" s="123"/>
      <c r="J186" s="123"/>
      <c r="K186" s="123"/>
      <c r="L186" s="123"/>
      <c r="M186" s="123"/>
      <c r="N186" s="123"/>
      <c r="O186" s="123"/>
      <c r="P186" s="123"/>
      <c r="Q186" s="123"/>
      <c r="R186" s="123"/>
      <c r="S186" s="123"/>
      <c r="T186" s="123"/>
      <c r="U186" s="123"/>
      <c r="V186" s="123"/>
      <c r="W186" s="123"/>
      <c r="X186" s="123"/>
      <c r="Y186" s="123"/>
      <c r="Z186" s="123"/>
      <c r="AA186" s="123"/>
      <c r="AB186" s="123"/>
      <c r="AC186" s="123"/>
      <c r="AD186" s="123"/>
      <c r="AE186" s="123"/>
      <c r="AF186" s="123"/>
      <c r="AG186" s="123"/>
      <c r="AH186" s="123"/>
      <c r="AI186" s="123"/>
      <c r="AJ186" s="123"/>
      <c r="AL186" s="80"/>
      <c r="AM186" s="80"/>
      <c r="AN186" s="80"/>
      <c r="AO186" s="80"/>
      <c r="AP186" s="80"/>
      <c r="AQ186" s="80"/>
      <c r="AR186" s="80"/>
      <c r="AS186" s="80"/>
      <c r="AT186" s="80"/>
      <c r="AU186" s="80"/>
      <c r="AV186" s="80"/>
      <c r="AW186" s="80"/>
    </row>
    <row r="187" spans="1:49" s="79" customFormat="1" ht="15.75">
      <c r="A187" s="120"/>
      <c r="B187" s="121"/>
      <c r="C187" s="122"/>
      <c r="D187" s="122"/>
      <c r="E187" s="122"/>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L187" s="80"/>
      <c r="AM187" s="80"/>
      <c r="AN187" s="80"/>
      <c r="AO187" s="80"/>
      <c r="AP187" s="80"/>
      <c r="AQ187" s="80"/>
      <c r="AR187" s="80"/>
      <c r="AS187" s="80"/>
      <c r="AT187" s="80"/>
      <c r="AU187" s="80"/>
      <c r="AV187" s="80"/>
      <c r="AW187" s="80"/>
    </row>
    <row r="188" spans="1:49" s="79" customFormat="1" ht="15.75">
      <c r="A188" s="120"/>
      <c r="B188" s="121"/>
      <c r="C188" s="122"/>
      <c r="D188" s="122"/>
      <c r="E188" s="122"/>
      <c r="F188" s="123"/>
      <c r="G188" s="123"/>
      <c r="H188" s="123"/>
      <c r="I188" s="123"/>
      <c r="J188" s="123"/>
      <c r="K188" s="123"/>
      <c r="L188" s="123"/>
      <c r="M188" s="123"/>
      <c r="N188" s="123"/>
      <c r="O188" s="123"/>
      <c r="P188" s="123"/>
      <c r="Q188" s="123"/>
      <c r="R188" s="123"/>
      <c r="S188" s="123"/>
      <c r="T188" s="123"/>
      <c r="U188" s="123"/>
      <c r="V188" s="123"/>
      <c r="W188" s="123"/>
      <c r="X188" s="123"/>
      <c r="Y188" s="123"/>
      <c r="Z188" s="123"/>
      <c r="AA188" s="123"/>
      <c r="AB188" s="123"/>
      <c r="AC188" s="123"/>
      <c r="AD188" s="123"/>
      <c r="AE188" s="123"/>
      <c r="AF188" s="123"/>
      <c r="AG188" s="123"/>
      <c r="AH188" s="123"/>
      <c r="AI188" s="123"/>
      <c r="AJ188" s="123"/>
      <c r="AL188" s="80"/>
      <c r="AM188" s="80"/>
      <c r="AN188" s="80"/>
      <c r="AO188" s="80"/>
      <c r="AP188" s="80"/>
      <c r="AQ188" s="80"/>
      <c r="AR188" s="80"/>
      <c r="AS188" s="80"/>
      <c r="AT188" s="80"/>
      <c r="AU188" s="80"/>
      <c r="AV188" s="80"/>
      <c r="AW188" s="80"/>
    </row>
    <row r="189" spans="1:49" s="79" customFormat="1" ht="15.75">
      <c r="A189" s="120"/>
      <c r="B189" s="121"/>
      <c r="C189" s="122"/>
      <c r="D189" s="122"/>
      <c r="E189" s="122"/>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L189" s="80"/>
      <c r="AM189" s="80"/>
      <c r="AN189" s="80"/>
      <c r="AO189" s="80"/>
      <c r="AP189" s="80"/>
      <c r="AQ189" s="80"/>
      <c r="AR189" s="80"/>
      <c r="AS189" s="80"/>
      <c r="AT189" s="80"/>
      <c r="AU189" s="80"/>
      <c r="AV189" s="80"/>
      <c r="AW189" s="80"/>
    </row>
    <row r="190" spans="1:49" s="79" customFormat="1" ht="15.75">
      <c r="A190" s="120"/>
      <c r="B190" s="121"/>
      <c r="C190" s="122"/>
      <c r="D190" s="122"/>
      <c r="E190" s="122"/>
      <c r="F190" s="123"/>
      <c r="G190" s="123"/>
      <c r="H190" s="123"/>
      <c r="I190" s="123"/>
      <c r="J190" s="123"/>
      <c r="K190" s="123"/>
      <c r="L190" s="123"/>
      <c r="M190" s="123"/>
      <c r="N190" s="123"/>
      <c r="O190" s="123"/>
      <c r="P190" s="123"/>
      <c r="Q190" s="123"/>
      <c r="R190" s="123"/>
      <c r="S190" s="123"/>
      <c r="T190" s="123"/>
      <c r="U190" s="123"/>
      <c r="V190" s="123"/>
      <c r="W190" s="123"/>
      <c r="X190" s="123"/>
      <c r="Y190" s="123"/>
      <c r="Z190" s="123"/>
      <c r="AA190" s="123"/>
      <c r="AB190" s="123"/>
      <c r="AC190" s="123"/>
      <c r="AD190" s="123"/>
      <c r="AE190" s="123"/>
      <c r="AF190" s="123"/>
      <c r="AG190" s="123"/>
      <c r="AH190" s="123"/>
      <c r="AI190" s="123"/>
      <c r="AJ190" s="123"/>
      <c r="AL190" s="80"/>
      <c r="AM190" s="80"/>
      <c r="AN190" s="80"/>
      <c r="AO190" s="80"/>
      <c r="AP190" s="80"/>
      <c r="AQ190" s="80"/>
      <c r="AR190" s="80"/>
      <c r="AS190" s="80"/>
      <c r="AT190" s="80"/>
      <c r="AU190" s="80"/>
      <c r="AV190" s="80"/>
      <c r="AW190" s="80"/>
    </row>
    <row r="191" spans="1:49" s="79" customFormat="1" ht="15.75">
      <c r="A191" s="120"/>
      <c r="B191" s="121"/>
      <c r="C191" s="122"/>
      <c r="D191" s="122"/>
      <c r="E191" s="122"/>
      <c r="F191" s="123"/>
      <c r="G191" s="123"/>
      <c r="H191" s="123"/>
      <c r="I191" s="123"/>
      <c r="J191" s="123"/>
      <c r="K191" s="123"/>
      <c r="L191" s="123"/>
      <c r="M191" s="123"/>
      <c r="N191" s="123"/>
      <c r="O191" s="123"/>
      <c r="P191" s="123"/>
      <c r="Q191" s="123"/>
      <c r="R191" s="123"/>
      <c r="S191" s="123"/>
      <c r="T191" s="123"/>
      <c r="U191" s="123"/>
      <c r="V191" s="123"/>
      <c r="W191" s="123"/>
      <c r="X191" s="123"/>
      <c r="Y191" s="123"/>
      <c r="Z191" s="123"/>
      <c r="AA191" s="123"/>
      <c r="AB191" s="123"/>
      <c r="AC191" s="123"/>
      <c r="AD191" s="123"/>
      <c r="AE191" s="123"/>
      <c r="AF191" s="123"/>
      <c r="AG191" s="123"/>
      <c r="AH191" s="123"/>
      <c r="AI191" s="123"/>
      <c r="AJ191" s="123"/>
      <c r="AL191" s="80"/>
      <c r="AM191" s="80"/>
      <c r="AN191" s="80"/>
      <c r="AO191" s="80"/>
      <c r="AP191" s="80"/>
      <c r="AQ191" s="80"/>
      <c r="AR191" s="80"/>
      <c r="AS191" s="80"/>
      <c r="AT191" s="80"/>
      <c r="AU191" s="80"/>
      <c r="AV191" s="80"/>
      <c r="AW191" s="80"/>
    </row>
    <row r="192" spans="1:49" s="79" customFormat="1" ht="15.75">
      <c r="A192" s="120"/>
      <c r="B192" s="121"/>
      <c r="C192" s="122"/>
      <c r="D192" s="122"/>
      <c r="E192" s="122"/>
      <c r="F192" s="123"/>
      <c r="G192" s="123"/>
      <c r="H192" s="123"/>
      <c r="I192" s="123"/>
      <c r="J192" s="123"/>
      <c r="K192" s="123"/>
      <c r="L192" s="123"/>
      <c r="M192" s="123"/>
      <c r="N192" s="123"/>
      <c r="O192" s="123"/>
      <c r="P192" s="123"/>
      <c r="Q192" s="123"/>
      <c r="R192" s="123"/>
      <c r="S192" s="123"/>
      <c r="T192" s="123"/>
      <c r="U192" s="123"/>
      <c r="V192" s="123"/>
      <c r="W192" s="123"/>
      <c r="X192" s="123"/>
      <c r="Y192" s="123"/>
      <c r="Z192" s="123"/>
      <c r="AA192" s="123"/>
      <c r="AB192" s="123"/>
      <c r="AC192" s="123"/>
      <c r="AD192" s="123"/>
      <c r="AE192" s="123"/>
      <c r="AF192" s="123"/>
      <c r="AG192" s="123"/>
      <c r="AH192" s="123"/>
      <c r="AI192" s="123"/>
      <c r="AJ192" s="123"/>
      <c r="AL192" s="80"/>
      <c r="AM192" s="80"/>
      <c r="AN192" s="80"/>
      <c r="AO192" s="80"/>
      <c r="AP192" s="80"/>
      <c r="AQ192" s="80"/>
      <c r="AR192" s="80"/>
      <c r="AS192" s="80"/>
      <c r="AT192" s="80"/>
      <c r="AU192" s="80"/>
      <c r="AV192" s="80"/>
      <c r="AW192" s="80"/>
    </row>
    <row r="193" spans="1:49" s="79" customFormat="1" ht="15.75">
      <c r="A193" s="120"/>
      <c r="B193" s="121"/>
      <c r="C193" s="122"/>
      <c r="D193" s="122"/>
      <c r="E193" s="122"/>
      <c r="F193" s="123"/>
      <c r="G193" s="123"/>
      <c r="H193" s="123"/>
      <c r="I193" s="123"/>
      <c r="J193" s="123"/>
      <c r="K193" s="123"/>
      <c r="L193" s="123"/>
      <c r="M193" s="123"/>
      <c r="N193" s="123"/>
      <c r="O193" s="123"/>
      <c r="P193" s="123"/>
      <c r="Q193" s="123"/>
      <c r="R193" s="123"/>
      <c r="S193" s="123"/>
      <c r="T193" s="123"/>
      <c r="U193" s="123"/>
      <c r="V193" s="123"/>
      <c r="W193" s="123"/>
      <c r="X193" s="123"/>
      <c r="Y193" s="123"/>
      <c r="Z193" s="123"/>
      <c r="AA193" s="123"/>
      <c r="AB193" s="123"/>
      <c r="AC193" s="123"/>
      <c r="AD193" s="123"/>
      <c r="AE193" s="123"/>
      <c r="AF193" s="123"/>
      <c r="AG193" s="123"/>
      <c r="AH193" s="123"/>
      <c r="AI193" s="123"/>
      <c r="AJ193" s="123"/>
      <c r="AL193" s="80"/>
      <c r="AM193" s="80"/>
      <c r="AN193" s="80"/>
      <c r="AO193" s="80"/>
      <c r="AP193" s="80"/>
      <c r="AQ193" s="80"/>
      <c r="AR193" s="80"/>
      <c r="AS193" s="80"/>
      <c r="AT193" s="80"/>
      <c r="AU193" s="80"/>
      <c r="AV193" s="80"/>
      <c r="AW193" s="80"/>
    </row>
    <row r="194" spans="1:49" s="79" customFormat="1" ht="15.75">
      <c r="A194" s="120"/>
      <c r="B194" s="121"/>
      <c r="C194" s="122"/>
      <c r="D194" s="122"/>
      <c r="E194" s="122"/>
      <c r="F194" s="123"/>
      <c r="G194" s="123"/>
      <c r="H194" s="123"/>
      <c r="I194" s="123"/>
      <c r="J194" s="123"/>
      <c r="K194" s="123"/>
      <c r="L194" s="123"/>
      <c r="M194" s="123"/>
      <c r="N194" s="123"/>
      <c r="O194" s="123"/>
      <c r="P194" s="123"/>
      <c r="Q194" s="123"/>
      <c r="R194" s="123"/>
      <c r="S194" s="123"/>
      <c r="T194" s="123"/>
      <c r="U194" s="123"/>
      <c r="V194" s="123"/>
      <c r="W194" s="123"/>
      <c r="X194" s="123"/>
      <c r="Y194" s="123"/>
      <c r="Z194" s="123"/>
      <c r="AA194" s="123"/>
      <c r="AB194" s="123"/>
      <c r="AC194" s="123"/>
      <c r="AD194" s="123"/>
      <c r="AE194" s="123"/>
      <c r="AF194" s="123"/>
      <c r="AG194" s="123"/>
      <c r="AH194" s="123"/>
      <c r="AI194" s="123"/>
      <c r="AJ194" s="123"/>
      <c r="AL194" s="80"/>
      <c r="AM194" s="80"/>
      <c r="AN194" s="80"/>
      <c r="AO194" s="80"/>
      <c r="AP194" s="80"/>
      <c r="AQ194" s="80"/>
      <c r="AR194" s="80"/>
      <c r="AS194" s="80"/>
      <c r="AT194" s="80"/>
      <c r="AU194" s="80"/>
      <c r="AV194" s="80"/>
      <c r="AW194" s="80"/>
    </row>
    <row r="195" spans="1:49" s="79" customFormat="1" ht="15.75">
      <c r="A195" s="120"/>
      <c r="B195" s="121"/>
      <c r="C195" s="122"/>
      <c r="D195" s="122"/>
      <c r="E195" s="122"/>
      <c r="F195" s="123"/>
      <c r="G195" s="123"/>
      <c r="H195" s="123"/>
      <c r="I195" s="123"/>
      <c r="J195" s="123"/>
      <c r="K195" s="123"/>
      <c r="L195" s="123"/>
      <c r="M195" s="123"/>
      <c r="N195" s="123"/>
      <c r="O195" s="123"/>
      <c r="P195" s="123"/>
      <c r="Q195" s="123"/>
      <c r="R195" s="123"/>
      <c r="S195" s="123"/>
      <c r="T195" s="123"/>
      <c r="U195" s="123"/>
      <c r="V195" s="123"/>
      <c r="W195" s="123"/>
      <c r="X195" s="123"/>
      <c r="Y195" s="123"/>
      <c r="Z195" s="123"/>
      <c r="AA195" s="123"/>
      <c r="AB195" s="123"/>
      <c r="AC195" s="123"/>
      <c r="AD195" s="123"/>
      <c r="AE195" s="123"/>
      <c r="AF195" s="123"/>
      <c r="AG195" s="123"/>
      <c r="AH195" s="123"/>
      <c r="AI195" s="123"/>
      <c r="AJ195" s="123"/>
      <c r="AL195" s="80"/>
      <c r="AM195" s="80"/>
      <c r="AN195" s="80"/>
      <c r="AO195" s="80"/>
      <c r="AP195" s="80"/>
      <c r="AQ195" s="80"/>
      <c r="AR195" s="80"/>
      <c r="AS195" s="80"/>
      <c r="AT195" s="80"/>
      <c r="AU195" s="80"/>
      <c r="AV195" s="80"/>
      <c r="AW195" s="80"/>
    </row>
    <row r="196" spans="1:49" s="79" customFormat="1" ht="15.75">
      <c r="A196" s="120"/>
      <c r="B196" s="121"/>
      <c r="C196" s="122"/>
      <c r="D196" s="122"/>
      <c r="E196" s="122"/>
      <c r="F196" s="123"/>
      <c r="G196" s="123"/>
      <c r="H196" s="123"/>
      <c r="I196" s="123"/>
      <c r="J196" s="123"/>
      <c r="K196" s="123"/>
      <c r="L196" s="123"/>
      <c r="M196" s="123"/>
      <c r="N196" s="123"/>
      <c r="O196" s="123"/>
      <c r="P196" s="123"/>
      <c r="Q196" s="123"/>
      <c r="R196" s="123"/>
      <c r="S196" s="123"/>
      <c r="T196" s="123"/>
      <c r="U196" s="123"/>
      <c r="V196" s="123"/>
      <c r="W196" s="123"/>
      <c r="X196" s="123"/>
      <c r="Y196" s="123"/>
      <c r="Z196" s="123"/>
      <c r="AA196" s="123"/>
      <c r="AB196" s="123"/>
      <c r="AC196" s="123"/>
      <c r="AD196" s="123"/>
      <c r="AE196" s="123"/>
      <c r="AF196" s="123"/>
      <c r="AG196" s="123"/>
      <c r="AH196" s="123"/>
      <c r="AI196" s="123"/>
      <c r="AJ196" s="123"/>
      <c r="AL196" s="80"/>
      <c r="AM196" s="80"/>
      <c r="AN196" s="80"/>
      <c r="AO196" s="80"/>
      <c r="AP196" s="80"/>
      <c r="AQ196" s="80"/>
      <c r="AR196" s="80"/>
      <c r="AS196" s="80"/>
      <c r="AT196" s="80"/>
      <c r="AU196" s="80"/>
      <c r="AV196" s="80"/>
      <c r="AW196" s="80"/>
    </row>
    <row r="197" spans="1:49" s="79" customFormat="1" ht="15.75">
      <c r="A197" s="120"/>
      <c r="B197" s="121"/>
      <c r="C197" s="122"/>
      <c r="D197" s="122"/>
      <c r="E197" s="122"/>
      <c r="F197" s="123"/>
      <c r="G197" s="123"/>
      <c r="H197" s="123"/>
      <c r="I197" s="123"/>
      <c r="J197" s="123"/>
      <c r="K197" s="123"/>
      <c r="L197" s="123"/>
      <c r="M197" s="123"/>
      <c r="N197" s="123"/>
      <c r="O197" s="123"/>
      <c r="P197" s="123"/>
      <c r="Q197" s="123"/>
      <c r="R197" s="123"/>
      <c r="S197" s="123"/>
      <c r="T197" s="123"/>
      <c r="U197" s="123"/>
      <c r="V197" s="123"/>
      <c r="W197" s="123"/>
      <c r="X197" s="123"/>
      <c r="Y197" s="123"/>
      <c r="Z197" s="123"/>
      <c r="AA197" s="123"/>
      <c r="AB197" s="123"/>
      <c r="AC197" s="123"/>
      <c r="AD197" s="123"/>
      <c r="AE197" s="123"/>
      <c r="AF197" s="123"/>
      <c r="AG197" s="123"/>
      <c r="AH197" s="123"/>
      <c r="AI197" s="123"/>
      <c r="AJ197" s="123"/>
      <c r="AL197" s="80"/>
      <c r="AM197" s="80"/>
      <c r="AN197" s="80"/>
      <c r="AO197" s="80"/>
      <c r="AP197" s="80"/>
      <c r="AQ197" s="80"/>
      <c r="AR197" s="80"/>
      <c r="AS197" s="80"/>
      <c r="AT197" s="80"/>
      <c r="AU197" s="80"/>
      <c r="AV197" s="80"/>
      <c r="AW197" s="80"/>
    </row>
    <row r="198" spans="1:49" s="79" customFormat="1" ht="15.75">
      <c r="A198" s="120"/>
      <c r="B198" s="121"/>
      <c r="C198" s="122"/>
      <c r="D198" s="122"/>
      <c r="E198" s="122"/>
      <c r="F198" s="123"/>
      <c r="G198" s="123"/>
      <c r="H198" s="123"/>
      <c r="I198" s="123"/>
      <c r="J198" s="123"/>
      <c r="K198" s="123"/>
      <c r="L198" s="123"/>
      <c r="M198" s="123"/>
      <c r="N198" s="123"/>
      <c r="O198" s="123"/>
      <c r="P198" s="123"/>
      <c r="Q198" s="123"/>
      <c r="R198" s="123"/>
      <c r="S198" s="123"/>
      <c r="T198" s="123"/>
      <c r="U198" s="123"/>
      <c r="V198" s="123"/>
      <c r="W198" s="123"/>
      <c r="X198" s="123"/>
      <c r="Y198" s="123"/>
      <c r="Z198" s="123"/>
      <c r="AA198" s="123"/>
      <c r="AB198" s="123"/>
      <c r="AC198" s="123"/>
      <c r="AD198" s="123"/>
      <c r="AE198" s="123"/>
      <c r="AF198" s="123"/>
      <c r="AG198" s="123"/>
      <c r="AH198" s="123"/>
      <c r="AI198" s="123"/>
      <c r="AJ198" s="123"/>
      <c r="AL198" s="80"/>
      <c r="AM198" s="80"/>
      <c r="AN198" s="80"/>
      <c r="AO198" s="80"/>
      <c r="AP198" s="80"/>
      <c r="AQ198" s="80"/>
      <c r="AR198" s="80"/>
      <c r="AS198" s="80"/>
      <c r="AT198" s="80"/>
      <c r="AU198" s="80"/>
      <c r="AV198" s="80"/>
      <c r="AW198" s="80"/>
    </row>
    <row r="199" spans="1:49" s="79" customFormat="1" ht="15.75">
      <c r="A199" s="120"/>
      <c r="B199" s="121"/>
      <c r="C199" s="122"/>
      <c r="D199" s="122"/>
      <c r="E199" s="122"/>
      <c r="F199" s="123"/>
      <c r="G199" s="123"/>
      <c r="H199" s="123"/>
      <c r="I199" s="123"/>
      <c r="J199" s="123"/>
      <c r="K199" s="123"/>
      <c r="L199" s="123"/>
      <c r="M199" s="123"/>
      <c r="N199" s="123"/>
      <c r="O199" s="123"/>
      <c r="P199" s="123"/>
      <c r="Q199" s="123"/>
      <c r="R199" s="123"/>
      <c r="S199" s="123"/>
      <c r="T199" s="123"/>
      <c r="U199" s="123"/>
      <c r="V199" s="123"/>
      <c r="W199" s="123"/>
      <c r="X199" s="123"/>
      <c r="Y199" s="123"/>
      <c r="Z199" s="123"/>
      <c r="AA199" s="123"/>
      <c r="AB199" s="123"/>
      <c r="AC199" s="123"/>
      <c r="AD199" s="123"/>
      <c r="AE199" s="123"/>
      <c r="AF199" s="123"/>
      <c r="AG199" s="123"/>
      <c r="AH199" s="123"/>
      <c r="AI199" s="123"/>
      <c r="AJ199" s="123"/>
      <c r="AL199" s="80"/>
      <c r="AM199" s="80"/>
      <c r="AN199" s="80"/>
      <c r="AO199" s="80"/>
      <c r="AP199" s="80"/>
      <c r="AQ199" s="80"/>
      <c r="AR199" s="80"/>
      <c r="AS199" s="80"/>
      <c r="AT199" s="80"/>
      <c r="AU199" s="80"/>
      <c r="AV199" s="80"/>
      <c r="AW199" s="80"/>
    </row>
    <row r="200" spans="1:49" s="79" customFormat="1" ht="15.75">
      <c r="A200" s="120"/>
      <c r="B200" s="121"/>
      <c r="C200" s="122"/>
      <c r="D200" s="122"/>
      <c r="E200" s="122"/>
      <c r="F200" s="123"/>
      <c r="G200" s="123"/>
      <c r="H200" s="123"/>
      <c r="I200" s="123"/>
      <c r="J200" s="123"/>
      <c r="K200" s="123"/>
      <c r="L200" s="123"/>
      <c r="M200" s="123"/>
      <c r="N200" s="123"/>
      <c r="O200" s="123"/>
      <c r="P200" s="123"/>
      <c r="Q200" s="123"/>
      <c r="R200" s="123"/>
      <c r="S200" s="123"/>
      <c r="T200" s="123"/>
      <c r="U200" s="123"/>
      <c r="V200" s="123"/>
      <c r="W200" s="123"/>
      <c r="X200" s="123"/>
      <c r="Y200" s="123"/>
      <c r="Z200" s="123"/>
      <c r="AA200" s="123"/>
      <c r="AB200" s="123"/>
      <c r="AC200" s="123"/>
      <c r="AD200" s="123"/>
      <c r="AE200" s="123"/>
      <c r="AF200" s="123"/>
      <c r="AG200" s="123"/>
      <c r="AH200" s="123"/>
      <c r="AI200" s="123"/>
      <c r="AJ200" s="123"/>
      <c r="AL200" s="80"/>
      <c r="AM200" s="80"/>
      <c r="AN200" s="80"/>
      <c r="AO200" s="80"/>
      <c r="AP200" s="80"/>
      <c r="AQ200" s="80"/>
      <c r="AR200" s="80"/>
      <c r="AS200" s="80"/>
      <c r="AT200" s="80"/>
      <c r="AU200" s="80"/>
      <c r="AV200" s="80"/>
      <c r="AW200" s="80"/>
    </row>
    <row r="201" spans="1:49" s="79" customFormat="1" ht="15.75">
      <c r="A201" s="120"/>
      <c r="B201" s="121"/>
      <c r="C201" s="122"/>
      <c r="D201" s="122"/>
      <c r="E201" s="122"/>
      <c r="F201" s="123"/>
      <c r="G201" s="123"/>
      <c r="H201" s="123"/>
      <c r="I201" s="123"/>
      <c r="J201" s="123"/>
      <c r="K201" s="123"/>
      <c r="L201" s="123"/>
      <c r="M201" s="123"/>
      <c r="N201" s="123"/>
      <c r="O201" s="123"/>
      <c r="P201" s="123"/>
      <c r="Q201" s="123"/>
      <c r="R201" s="123"/>
      <c r="S201" s="123"/>
      <c r="T201" s="123"/>
      <c r="U201" s="123"/>
      <c r="V201" s="123"/>
      <c r="W201" s="123"/>
      <c r="X201" s="123"/>
      <c r="Y201" s="123"/>
      <c r="Z201" s="123"/>
      <c r="AA201" s="123"/>
      <c r="AB201" s="123"/>
      <c r="AC201" s="123"/>
      <c r="AD201" s="123"/>
      <c r="AE201" s="123"/>
      <c r="AF201" s="123"/>
      <c r="AG201" s="123"/>
      <c r="AH201" s="123"/>
      <c r="AI201" s="123"/>
      <c r="AJ201" s="123"/>
      <c r="AL201" s="80"/>
      <c r="AM201" s="80"/>
      <c r="AN201" s="80"/>
      <c r="AO201" s="80"/>
      <c r="AP201" s="80"/>
      <c r="AQ201" s="80"/>
      <c r="AR201" s="80"/>
      <c r="AS201" s="80"/>
      <c r="AT201" s="80"/>
      <c r="AU201" s="80"/>
      <c r="AV201" s="80"/>
      <c r="AW201" s="80"/>
    </row>
    <row r="202" spans="1:49" s="79" customFormat="1" ht="15.75">
      <c r="A202" s="120"/>
      <c r="B202" s="121"/>
      <c r="C202" s="122"/>
      <c r="D202" s="122"/>
      <c r="E202" s="122"/>
      <c r="F202" s="123"/>
      <c r="G202" s="123"/>
      <c r="H202" s="123"/>
      <c r="I202" s="123"/>
      <c r="J202" s="123"/>
      <c r="K202" s="123"/>
      <c r="L202" s="123"/>
      <c r="M202" s="123"/>
      <c r="N202" s="123"/>
      <c r="O202" s="123"/>
      <c r="P202" s="123"/>
      <c r="Q202" s="123"/>
      <c r="R202" s="123"/>
      <c r="S202" s="123"/>
      <c r="T202" s="123"/>
      <c r="U202" s="123"/>
      <c r="V202" s="123"/>
      <c r="W202" s="123"/>
      <c r="X202" s="123"/>
      <c r="Y202" s="123"/>
      <c r="Z202" s="123"/>
      <c r="AA202" s="123"/>
      <c r="AB202" s="123"/>
      <c r="AC202" s="123"/>
      <c r="AD202" s="123"/>
      <c r="AE202" s="123"/>
      <c r="AF202" s="123"/>
      <c r="AG202" s="123"/>
      <c r="AH202" s="123"/>
      <c r="AI202" s="123"/>
      <c r="AJ202" s="123"/>
      <c r="AL202" s="80"/>
      <c r="AM202" s="80"/>
      <c r="AN202" s="80"/>
      <c r="AO202" s="80"/>
      <c r="AP202" s="80"/>
      <c r="AQ202" s="80"/>
      <c r="AR202" s="80"/>
      <c r="AS202" s="80"/>
      <c r="AT202" s="80"/>
      <c r="AU202" s="80"/>
      <c r="AV202" s="80"/>
      <c r="AW202" s="80"/>
    </row>
    <row r="203" spans="1:49" s="79" customFormat="1" ht="15.75">
      <c r="A203" s="120"/>
      <c r="B203" s="121"/>
      <c r="C203" s="122"/>
      <c r="D203" s="122"/>
      <c r="E203" s="122"/>
      <c r="F203" s="123"/>
      <c r="G203" s="123"/>
      <c r="H203" s="123"/>
      <c r="I203" s="123"/>
      <c r="J203" s="123"/>
      <c r="K203" s="123"/>
      <c r="L203" s="123"/>
      <c r="M203" s="123"/>
      <c r="N203" s="123"/>
      <c r="O203" s="123"/>
      <c r="P203" s="123"/>
      <c r="Q203" s="123"/>
      <c r="R203" s="123"/>
      <c r="S203" s="123"/>
      <c r="T203" s="123"/>
      <c r="U203" s="123"/>
      <c r="V203" s="123"/>
      <c r="W203" s="123"/>
      <c r="X203" s="123"/>
      <c r="Y203" s="123"/>
      <c r="Z203" s="123"/>
      <c r="AA203" s="123"/>
      <c r="AB203" s="123"/>
      <c r="AC203" s="123"/>
      <c r="AD203" s="123"/>
      <c r="AE203" s="123"/>
      <c r="AF203" s="123"/>
      <c r="AG203" s="123"/>
      <c r="AH203" s="123"/>
      <c r="AI203" s="123"/>
      <c r="AJ203" s="123"/>
      <c r="AL203" s="80"/>
      <c r="AM203" s="80"/>
      <c r="AN203" s="80"/>
      <c r="AO203" s="80"/>
      <c r="AP203" s="80"/>
      <c r="AQ203" s="80"/>
      <c r="AR203" s="80"/>
      <c r="AS203" s="80"/>
      <c r="AT203" s="80"/>
      <c r="AU203" s="80"/>
      <c r="AV203" s="80"/>
      <c r="AW203" s="80"/>
    </row>
    <row r="204" spans="1:49" s="79" customFormat="1" ht="15.75">
      <c r="A204" s="120"/>
      <c r="B204" s="121"/>
      <c r="C204" s="122"/>
      <c r="D204" s="122"/>
      <c r="E204" s="122"/>
      <c r="F204" s="123"/>
      <c r="G204" s="123"/>
      <c r="H204" s="123"/>
      <c r="I204" s="123"/>
      <c r="J204" s="123"/>
      <c r="K204" s="123"/>
      <c r="L204" s="123"/>
      <c r="M204" s="123"/>
      <c r="N204" s="123"/>
      <c r="O204" s="123"/>
      <c r="P204" s="123"/>
      <c r="Q204" s="123"/>
      <c r="R204" s="123"/>
      <c r="S204" s="123"/>
      <c r="T204" s="123"/>
      <c r="U204" s="123"/>
      <c r="V204" s="123"/>
      <c r="W204" s="123"/>
      <c r="X204" s="123"/>
      <c r="Y204" s="123"/>
      <c r="Z204" s="123"/>
      <c r="AA204" s="123"/>
      <c r="AB204" s="123"/>
      <c r="AC204" s="123"/>
      <c r="AD204" s="123"/>
      <c r="AE204" s="123"/>
      <c r="AF204" s="123"/>
      <c r="AG204" s="123"/>
      <c r="AH204" s="123"/>
      <c r="AI204" s="123"/>
      <c r="AJ204" s="123"/>
      <c r="AL204" s="80"/>
      <c r="AM204" s="80"/>
      <c r="AN204" s="80"/>
      <c r="AO204" s="80"/>
      <c r="AP204" s="80"/>
      <c r="AQ204" s="80"/>
      <c r="AR204" s="80"/>
      <c r="AS204" s="80"/>
      <c r="AT204" s="80"/>
      <c r="AU204" s="80"/>
      <c r="AV204" s="80"/>
      <c r="AW204" s="80"/>
    </row>
    <row r="205" spans="1:49" s="79" customFormat="1" ht="15.75">
      <c r="A205" s="120"/>
      <c r="B205" s="121"/>
      <c r="C205" s="122"/>
      <c r="D205" s="122"/>
      <c r="E205" s="122"/>
      <c r="F205" s="123"/>
      <c r="G205" s="123"/>
      <c r="H205" s="123"/>
      <c r="I205" s="123"/>
      <c r="J205" s="123"/>
      <c r="K205" s="123"/>
      <c r="L205" s="123"/>
      <c r="M205" s="123"/>
      <c r="N205" s="123"/>
      <c r="O205" s="123"/>
      <c r="P205" s="123"/>
      <c r="Q205" s="123"/>
      <c r="R205" s="123"/>
      <c r="S205" s="123"/>
      <c r="T205" s="123"/>
      <c r="U205" s="123"/>
      <c r="V205" s="123"/>
      <c r="W205" s="123"/>
      <c r="X205" s="123"/>
      <c r="Y205" s="123"/>
      <c r="Z205" s="123"/>
      <c r="AA205" s="123"/>
      <c r="AB205" s="123"/>
      <c r="AC205" s="123"/>
      <c r="AD205" s="123"/>
      <c r="AE205" s="123"/>
      <c r="AF205" s="123"/>
      <c r="AG205" s="123"/>
      <c r="AH205" s="123"/>
      <c r="AI205" s="123"/>
      <c r="AJ205" s="123"/>
      <c r="AL205" s="80"/>
      <c r="AM205" s="80"/>
      <c r="AN205" s="80"/>
      <c r="AO205" s="80"/>
      <c r="AP205" s="80"/>
      <c r="AQ205" s="80"/>
      <c r="AR205" s="80"/>
      <c r="AS205" s="80"/>
      <c r="AT205" s="80"/>
      <c r="AU205" s="80"/>
      <c r="AV205" s="80"/>
      <c r="AW205" s="80"/>
    </row>
    <row r="206" spans="1:49" s="79" customFormat="1" ht="15.75">
      <c r="A206" s="120"/>
      <c r="B206" s="121"/>
      <c r="C206" s="122"/>
      <c r="D206" s="122"/>
      <c r="E206" s="122"/>
      <c r="F206" s="123"/>
      <c r="G206" s="123"/>
      <c r="H206" s="123"/>
      <c r="I206" s="123"/>
      <c r="J206" s="123"/>
      <c r="K206" s="123"/>
      <c r="L206" s="123"/>
      <c r="M206" s="123"/>
      <c r="N206" s="123"/>
      <c r="O206" s="123"/>
      <c r="P206" s="123"/>
      <c r="Q206" s="123"/>
      <c r="R206" s="123"/>
      <c r="S206" s="123"/>
      <c r="T206" s="123"/>
      <c r="U206" s="123"/>
      <c r="V206" s="123"/>
      <c r="W206" s="123"/>
      <c r="X206" s="123"/>
      <c r="Y206" s="123"/>
      <c r="Z206" s="123"/>
      <c r="AA206" s="123"/>
      <c r="AB206" s="123"/>
      <c r="AC206" s="123"/>
      <c r="AD206" s="123"/>
      <c r="AE206" s="123"/>
      <c r="AF206" s="123"/>
      <c r="AG206" s="123"/>
      <c r="AH206" s="123"/>
      <c r="AI206" s="123"/>
      <c r="AJ206" s="123"/>
      <c r="AL206" s="80"/>
      <c r="AM206" s="80"/>
      <c r="AN206" s="80"/>
      <c r="AO206" s="80"/>
      <c r="AP206" s="80"/>
      <c r="AQ206" s="80"/>
      <c r="AR206" s="80"/>
      <c r="AS206" s="80"/>
      <c r="AT206" s="80"/>
      <c r="AU206" s="80"/>
      <c r="AV206" s="80"/>
      <c r="AW206" s="80"/>
    </row>
    <row r="207" spans="1:49" s="79" customFormat="1" ht="15.75">
      <c r="A207" s="120"/>
      <c r="B207" s="121"/>
      <c r="C207" s="122"/>
      <c r="D207" s="122"/>
      <c r="E207" s="122"/>
      <c r="F207" s="123"/>
      <c r="G207" s="123"/>
      <c r="H207" s="123"/>
      <c r="I207" s="123"/>
      <c r="J207" s="123"/>
      <c r="K207" s="123"/>
      <c r="L207" s="123"/>
      <c r="M207" s="123"/>
      <c r="N207" s="123"/>
      <c r="O207" s="123"/>
      <c r="P207" s="123"/>
      <c r="Q207" s="123"/>
      <c r="R207" s="123"/>
      <c r="S207" s="123"/>
      <c r="T207" s="123"/>
      <c r="U207" s="123"/>
      <c r="V207" s="123"/>
      <c r="W207" s="123"/>
      <c r="X207" s="123"/>
      <c r="Y207" s="123"/>
      <c r="Z207" s="123"/>
      <c r="AA207" s="123"/>
      <c r="AB207" s="123"/>
      <c r="AC207" s="123"/>
      <c r="AD207" s="123"/>
      <c r="AE207" s="123"/>
      <c r="AF207" s="123"/>
      <c r="AG207" s="123"/>
      <c r="AH207" s="123"/>
      <c r="AI207" s="123"/>
      <c r="AJ207" s="123"/>
      <c r="AL207" s="80"/>
      <c r="AM207" s="80"/>
      <c r="AN207" s="80"/>
      <c r="AO207" s="80"/>
      <c r="AP207" s="80"/>
      <c r="AQ207" s="80"/>
      <c r="AR207" s="80"/>
      <c r="AS207" s="80"/>
      <c r="AT207" s="80"/>
      <c r="AU207" s="80"/>
      <c r="AV207" s="80"/>
      <c r="AW207" s="80"/>
    </row>
    <row r="208" spans="1:49" s="79" customFormat="1" ht="15.75">
      <c r="A208" s="120"/>
      <c r="B208" s="121"/>
      <c r="C208" s="122"/>
      <c r="D208" s="122"/>
      <c r="E208" s="122"/>
      <c r="F208" s="123"/>
      <c r="G208" s="123"/>
      <c r="H208" s="123"/>
      <c r="I208" s="123"/>
      <c r="J208" s="123"/>
      <c r="K208" s="123"/>
      <c r="L208" s="123"/>
      <c r="M208" s="123"/>
      <c r="N208" s="123"/>
      <c r="O208" s="123"/>
      <c r="P208" s="123"/>
      <c r="Q208" s="123"/>
      <c r="R208" s="123"/>
      <c r="S208" s="123"/>
      <c r="T208" s="123"/>
      <c r="U208" s="123"/>
      <c r="V208" s="123"/>
      <c r="W208" s="123"/>
      <c r="X208" s="123"/>
      <c r="Y208" s="123"/>
      <c r="Z208" s="123"/>
      <c r="AA208" s="123"/>
      <c r="AB208" s="123"/>
      <c r="AC208" s="123"/>
      <c r="AD208" s="123"/>
      <c r="AE208" s="123"/>
      <c r="AF208" s="123"/>
      <c r="AG208" s="123"/>
      <c r="AH208" s="123"/>
      <c r="AI208" s="123"/>
      <c r="AJ208" s="123"/>
      <c r="AL208" s="80"/>
      <c r="AM208" s="80"/>
      <c r="AN208" s="80"/>
      <c r="AO208" s="80"/>
      <c r="AP208" s="80"/>
      <c r="AQ208" s="80"/>
      <c r="AR208" s="80"/>
      <c r="AS208" s="80"/>
      <c r="AT208" s="80"/>
      <c r="AU208" s="80"/>
      <c r="AV208" s="80"/>
      <c r="AW208" s="80"/>
    </row>
    <row r="209" spans="1:49" s="79" customFormat="1" ht="15.75">
      <c r="A209" s="120"/>
      <c r="B209" s="121"/>
      <c r="C209" s="122"/>
      <c r="D209" s="122"/>
      <c r="E209" s="122"/>
      <c r="F209" s="123"/>
      <c r="G209" s="123"/>
      <c r="H209" s="123"/>
      <c r="I209" s="123"/>
      <c r="J209" s="123"/>
      <c r="K209" s="123"/>
      <c r="L209" s="123"/>
      <c r="M209" s="123"/>
      <c r="N209" s="123"/>
      <c r="O209" s="123"/>
      <c r="P209" s="123"/>
      <c r="Q209" s="123"/>
      <c r="R209" s="123"/>
      <c r="S209" s="123"/>
      <c r="T209" s="123"/>
      <c r="U209" s="123"/>
      <c r="V209" s="123"/>
      <c r="W209" s="123"/>
      <c r="X209" s="123"/>
      <c r="Y209" s="123"/>
      <c r="Z209" s="123"/>
      <c r="AA209" s="123"/>
      <c r="AB209" s="123"/>
      <c r="AC209" s="123"/>
      <c r="AD209" s="123"/>
      <c r="AE209" s="123"/>
      <c r="AF209" s="123"/>
      <c r="AG209" s="123"/>
      <c r="AH209" s="123"/>
      <c r="AI209" s="123"/>
      <c r="AJ209" s="123"/>
      <c r="AL209" s="80"/>
      <c r="AM209" s="80"/>
      <c r="AN209" s="80"/>
      <c r="AO209" s="80"/>
      <c r="AP209" s="80"/>
      <c r="AQ209" s="80"/>
      <c r="AR209" s="80"/>
      <c r="AS209" s="80"/>
      <c r="AT209" s="80"/>
      <c r="AU209" s="80"/>
      <c r="AV209" s="80"/>
      <c r="AW209" s="80"/>
    </row>
    <row r="210" spans="1:49" s="79" customFormat="1" ht="15.75">
      <c r="A210" s="120"/>
      <c r="B210" s="121"/>
      <c r="C210" s="122"/>
      <c r="D210" s="122"/>
      <c r="E210" s="122"/>
      <c r="F210" s="123"/>
      <c r="G210" s="123"/>
      <c r="H210" s="123"/>
      <c r="I210" s="123"/>
      <c r="J210" s="123"/>
      <c r="K210" s="123"/>
      <c r="L210" s="123"/>
      <c r="M210" s="123"/>
      <c r="N210" s="123"/>
      <c r="O210" s="123"/>
      <c r="P210" s="123"/>
      <c r="Q210" s="123"/>
      <c r="R210" s="123"/>
      <c r="S210" s="123"/>
      <c r="T210" s="123"/>
      <c r="U210" s="123"/>
      <c r="V210" s="123"/>
      <c r="W210" s="123"/>
      <c r="X210" s="123"/>
      <c r="Y210" s="123"/>
      <c r="Z210" s="123"/>
      <c r="AA210" s="123"/>
      <c r="AB210" s="123"/>
      <c r="AC210" s="123"/>
      <c r="AD210" s="123"/>
      <c r="AE210" s="123"/>
      <c r="AF210" s="123"/>
      <c r="AG210" s="123"/>
      <c r="AH210" s="123"/>
      <c r="AI210" s="123"/>
      <c r="AJ210" s="123"/>
      <c r="AL210" s="80"/>
      <c r="AM210" s="80"/>
      <c r="AN210" s="80"/>
      <c r="AO210" s="80"/>
      <c r="AP210" s="80"/>
      <c r="AQ210" s="80"/>
      <c r="AR210" s="80"/>
      <c r="AS210" s="80"/>
      <c r="AT210" s="80"/>
      <c r="AU210" s="80"/>
      <c r="AV210" s="80"/>
      <c r="AW210" s="80"/>
    </row>
    <row r="211" spans="1:49" s="79" customFormat="1" ht="15.75">
      <c r="A211" s="120"/>
      <c r="B211" s="121"/>
      <c r="C211" s="122"/>
      <c r="D211" s="122"/>
      <c r="E211" s="122"/>
      <c r="F211" s="123"/>
      <c r="G211" s="123"/>
      <c r="H211" s="123"/>
      <c r="I211" s="123"/>
      <c r="J211" s="123"/>
      <c r="K211" s="123"/>
      <c r="L211" s="123"/>
      <c r="M211" s="123"/>
      <c r="N211" s="123"/>
      <c r="O211" s="123"/>
      <c r="P211" s="123"/>
      <c r="Q211" s="123"/>
      <c r="R211" s="123"/>
      <c r="S211" s="123"/>
      <c r="T211" s="123"/>
      <c r="U211" s="123"/>
      <c r="V211" s="123"/>
      <c r="W211" s="123"/>
      <c r="X211" s="123"/>
      <c r="Y211" s="123"/>
      <c r="Z211" s="123"/>
      <c r="AA211" s="123"/>
      <c r="AB211" s="123"/>
      <c r="AC211" s="123"/>
      <c r="AD211" s="123"/>
      <c r="AE211" s="123"/>
      <c r="AF211" s="123"/>
      <c r="AG211" s="123"/>
      <c r="AH211" s="123"/>
      <c r="AI211" s="123"/>
      <c r="AJ211" s="123"/>
      <c r="AL211" s="80"/>
      <c r="AM211" s="80"/>
      <c r="AN211" s="80"/>
      <c r="AO211" s="80"/>
      <c r="AP211" s="80"/>
      <c r="AQ211" s="80"/>
      <c r="AR211" s="80"/>
      <c r="AS211" s="80"/>
      <c r="AT211" s="80"/>
      <c r="AU211" s="80"/>
      <c r="AV211" s="80"/>
      <c r="AW211" s="80"/>
    </row>
    <row r="212" spans="1:49" s="79" customFormat="1" ht="15.75">
      <c r="A212" s="120"/>
      <c r="B212" s="121"/>
      <c r="C212" s="122"/>
      <c r="D212" s="122"/>
      <c r="E212" s="122"/>
      <c r="F212" s="123"/>
      <c r="G212" s="123"/>
      <c r="H212" s="123"/>
      <c r="I212" s="123"/>
      <c r="J212" s="123"/>
      <c r="K212" s="123"/>
      <c r="L212" s="123"/>
      <c r="M212" s="123"/>
      <c r="N212" s="123"/>
      <c r="O212" s="123"/>
      <c r="P212" s="123"/>
      <c r="Q212" s="123"/>
      <c r="R212" s="123"/>
      <c r="S212" s="123"/>
      <c r="T212" s="123"/>
      <c r="U212" s="123"/>
      <c r="V212" s="123"/>
      <c r="W212" s="123"/>
      <c r="X212" s="123"/>
      <c r="Y212" s="123"/>
      <c r="Z212" s="123"/>
      <c r="AA212" s="123"/>
      <c r="AB212" s="123"/>
      <c r="AC212" s="123"/>
      <c r="AD212" s="123"/>
      <c r="AE212" s="123"/>
      <c r="AF212" s="123"/>
      <c r="AG212" s="123"/>
      <c r="AH212" s="123"/>
      <c r="AI212" s="123"/>
      <c r="AJ212" s="123"/>
      <c r="AL212" s="80"/>
      <c r="AM212" s="80"/>
      <c r="AN212" s="80"/>
      <c r="AO212" s="80"/>
      <c r="AP212" s="80"/>
      <c r="AQ212" s="80"/>
      <c r="AR212" s="80"/>
      <c r="AS212" s="80"/>
      <c r="AT212" s="80"/>
      <c r="AU212" s="80"/>
      <c r="AV212" s="80"/>
      <c r="AW212" s="80"/>
    </row>
    <row r="213" spans="1:49" s="79" customFormat="1" ht="15.75">
      <c r="A213" s="120"/>
      <c r="B213" s="121"/>
      <c r="C213" s="122"/>
      <c r="D213" s="122"/>
      <c r="E213" s="122"/>
      <c r="F213" s="123"/>
      <c r="G213" s="123"/>
      <c r="H213" s="123"/>
      <c r="I213" s="123"/>
      <c r="J213" s="123"/>
      <c r="K213" s="123"/>
      <c r="L213" s="123"/>
      <c r="M213" s="123"/>
      <c r="N213" s="123"/>
      <c r="O213" s="123"/>
      <c r="P213" s="123"/>
      <c r="Q213" s="123"/>
      <c r="R213" s="123"/>
      <c r="S213" s="123"/>
      <c r="T213" s="123"/>
      <c r="U213" s="123"/>
      <c r="V213" s="123"/>
      <c r="W213" s="123"/>
      <c r="X213" s="123"/>
      <c r="Y213" s="123"/>
      <c r="Z213" s="123"/>
      <c r="AA213" s="123"/>
      <c r="AB213" s="123"/>
      <c r="AC213" s="123"/>
      <c r="AD213" s="123"/>
      <c r="AE213" s="123"/>
      <c r="AF213" s="123"/>
      <c r="AG213" s="123"/>
      <c r="AH213" s="123"/>
      <c r="AI213" s="123"/>
      <c r="AJ213" s="123"/>
      <c r="AL213" s="80"/>
      <c r="AM213" s="80"/>
      <c r="AN213" s="80"/>
      <c r="AO213" s="80"/>
      <c r="AP213" s="80"/>
      <c r="AQ213" s="80"/>
      <c r="AR213" s="80"/>
      <c r="AS213" s="80"/>
      <c r="AT213" s="80"/>
      <c r="AU213" s="80"/>
      <c r="AV213" s="80"/>
      <c r="AW213" s="80"/>
    </row>
    <row r="214" spans="1:49" s="79" customFormat="1" ht="15.75">
      <c r="A214" s="120"/>
      <c r="B214" s="121"/>
      <c r="C214" s="122"/>
      <c r="D214" s="122"/>
      <c r="E214" s="122"/>
      <c r="F214" s="123"/>
      <c r="G214" s="123"/>
      <c r="H214" s="123"/>
      <c r="I214" s="123"/>
      <c r="J214" s="123"/>
      <c r="K214" s="123"/>
      <c r="L214" s="123"/>
      <c r="M214" s="123"/>
      <c r="N214" s="123"/>
      <c r="O214" s="123"/>
      <c r="P214" s="123"/>
      <c r="Q214" s="123"/>
      <c r="R214" s="123"/>
      <c r="S214" s="123"/>
      <c r="T214" s="123"/>
      <c r="U214" s="123"/>
      <c r="V214" s="123"/>
      <c r="W214" s="123"/>
      <c r="X214" s="123"/>
      <c r="Y214" s="123"/>
      <c r="Z214" s="123"/>
      <c r="AA214" s="123"/>
      <c r="AB214" s="123"/>
      <c r="AC214" s="123"/>
      <c r="AD214" s="123"/>
      <c r="AE214" s="123"/>
      <c r="AF214" s="123"/>
      <c r="AG214" s="123"/>
      <c r="AH214" s="123"/>
      <c r="AI214" s="123"/>
      <c r="AJ214" s="123"/>
      <c r="AL214" s="80"/>
      <c r="AM214" s="80"/>
      <c r="AN214" s="80"/>
      <c r="AO214" s="80"/>
      <c r="AP214" s="80"/>
      <c r="AQ214" s="80"/>
      <c r="AR214" s="80"/>
      <c r="AS214" s="80"/>
      <c r="AT214" s="80"/>
      <c r="AU214" s="80"/>
      <c r="AV214" s="80"/>
      <c r="AW214" s="80"/>
    </row>
    <row r="215" spans="1:49" s="79" customFormat="1" ht="15.75">
      <c r="A215" s="120"/>
      <c r="B215" s="121"/>
      <c r="C215" s="122"/>
      <c r="D215" s="122"/>
      <c r="E215" s="122"/>
      <c r="F215" s="123"/>
      <c r="G215" s="123"/>
      <c r="H215" s="123"/>
      <c r="I215" s="123"/>
      <c r="J215" s="123"/>
      <c r="K215" s="123"/>
      <c r="L215" s="123"/>
      <c r="M215" s="123"/>
      <c r="N215" s="123"/>
      <c r="O215" s="123"/>
      <c r="P215" s="123"/>
      <c r="Q215" s="123"/>
      <c r="R215" s="123"/>
      <c r="S215" s="123"/>
      <c r="T215" s="123"/>
      <c r="U215" s="123"/>
      <c r="V215" s="123"/>
      <c r="W215" s="123"/>
      <c r="X215" s="123"/>
      <c r="Y215" s="123"/>
      <c r="Z215" s="123"/>
      <c r="AA215" s="123"/>
      <c r="AB215" s="123"/>
      <c r="AC215" s="123"/>
      <c r="AD215" s="123"/>
      <c r="AE215" s="123"/>
      <c r="AF215" s="123"/>
      <c r="AG215" s="123"/>
      <c r="AH215" s="123"/>
      <c r="AI215" s="123"/>
      <c r="AJ215" s="123"/>
      <c r="AL215" s="80"/>
      <c r="AM215" s="80"/>
      <c r="AN215" s="80"/>
      <c r="AO215" s="80"/>
      <c r="AP215" s="80"/>
      <c r="AQ215" s="80"/>
      <c r="AR215" s="80"/>
      <c r="AS215" s="80"/>
      <c r="AT215" s="80"/>
      <c r="AU215" s="80"/>
      <c r="AV215" s="80"/>
      <c r="AW215" s="80"/>
    </row>
    <row r="216" spans="1:49" s="79" customFormat="1" ht="15.75">
      <c r="A216" s="120"/>
      <c r="B216" s="121"/>
      <c r="C216" s="122"/>
      <c r="D216" s="122"/>
      <c r="E216" s="122"/>
      <c r="F216" s="123"/>
      <c r="G216" s="123"/>
      <c r="H216" s="123"/>
      <c r="I216" s="123"/>
      <c r="J216" s="123"/>
      <c r="K216" s="123"/>
      <c r="L216" s="123"/>
      <c r="M216" s="123"/>
      <c r="N216" s="123"/>
      <c r="O216" s="123"/>
      <c r="P216" s="123"/>
      <c r="Q216" s="123"/>
      <c r="R216" s="123"/>
      <c r="S216" s="123"/>
      <c r="T216" s="123"/>
      <c r="U216" s="123"/>
      <c r="V216" s="123"/>
      <c r="W216" s="123"/>
      <c r="X216" s="123"/>
      <c r="Y216" s="123"/>
      <c r="Z216" s="123"/>
      <c r="AA216" s="123"/>
      <c r="AB216" s="123"/>
      <c r="AC216" s="123"/>
      <c r="AD216" s="123"/>
      <c r="AE216" s="123"/>
      <c r="AF216" s="123"/>
      <c r="AG216" s="123"/>
      <c r="AH216" s="123"/>
      <c r="AI216" s="123"/>
      <c r="AJ216" s="123"/>
      <c r="AL216" s="80"/>
      <c r="AM216" s="80"/>
      <c r="AN216" s="80"/>
      <c r="AO216" s="80"/>
      <c r="AP216" s="80"/>
      <c r="AQ216" s="80"/>
      <c r="AR216" s="80"/>
      <c r="AS216" s="80"/>
      <c r="AT216" s="80"/>
      <c r="AU216" s="80"/>
      <c r="AV216" s="80"/>
      <c r="AW216" s="80"/>
    </row>
    <row r="217" spans="1:49" s="79" customFormat="1" ht="15.75">
      <c r="A217" s="120"/>
      <c r="B217" s="121"/>
      <c r="C217" s="122"/>
      <c r="D217" s="122"/>
      <c r="E217" s="122"/>
      <c r="F217" s="123"/>
      <c r="G217" s="123"/>
      <c r="H217" s="123"/>
      <c r="I217" s="123"/>
      <c r="J217" s="123"/>
      <c r="K217" s="123"/>
      <c r="L217" s="123"/>
      <c r="M217" s="123"/>
      <c r="N217" s="123"/>
      <c r="O217" s="123"/>
      <c r="P217" s="123"/>
      <c r="Q217" s="123"/>
      <c r="R217" s="123"/>
      <c r="S217" s="123"/>
      <c r="T217" s="123"/>
      <c r="U217" s="123"/>
      <c r="V217" s="123"/>
      <c r="W217" s="123"/>
      <c r="X217" s="123"/>
      <c r="Y217" s="123"/>
      <c r="Z217" s="123"/>
      <c r="AA217" s="123"/>
      <c r="AB217" s="123"/>
      <c r="AC217" s="123"/>
      <c r="AD217" s="123"/>
      <c r="AE217" s="123"/>
      <c r="AF217" s="123"/>
      <c r="AG217" s="123"/>
      <c r="AH217" s="123"/>
      <c r="AI217" s="123"/>
      <c r="AJ217" s="123"/>
      <c r="AL217" s="80"/>
      <c r="AM217" s="80"/>
      <c r="AN217" s="80"/>
      <c r="AO217" s="80"/>
      <c r="AP217" s="80"/>
      <c r="AQ217" s="80"/>
      <c r="AR217" s="80"/>
      <c r="AS217" s="80"/>
      <c r="AT217" s="80"/>
      <c r="AU217" s="80"/>
      <c r="AV217" s="80"/>
      <c r="AW217" s="80"/>
    </row>
    <row r="218" spans="1:49" s="79" customFormat="1" ht="15.75">
      <c r="A218" s="120"/>
      <c r="B218" s="121"/>
      <c r="C218" s="122"/>
      <c r="D218" s="122"/>
      <c r="E218" s="122"/>
      <c r="F218" s="123"/>
      <c r="G218" s="123"/>
      <c r="H218" s="123"/>
      <c r="I218" s="123"/>
      <c r="J218" s="123"/>
      <c r="K218" s="123"/>
      <c r="L218" s="123"/>
      <c r="M218" s="123"/>
      <c r="N218" s="123"/>
      <c r="O218" s="123"/>
      <c r="P218" s="123"/>
      <c r="Q218" s="123"/>
      <c r="R218" s="123"/>
      <c r="S218" s="123"/>
      <c r="T218" s="123"/>
      <c r="U218" s="123"/>
      <c r="V218" s="123"/>
      <c r="W218" s="123"/>
      <c r="X218" s="123"/>
      <c r="Y218" s="123"/>
      <c r="Z218" s="123"/>
      <c r="AA218" s="123"/>
      <c r="AB218" s="123"/>
      <c r="AC218" s="123"/>
      <c r="AD218" s="123"/>
      <c r="AE218" s="123"/>
      <c r="AF218" s="123"/>
      <c r="AG218" s="123"/>
      <c r="AH218" s="123"/>
      <c r="AI218" s="123"/>
      <c r="AJ218" s="123"/>
      <c r="AL218" s="80"/>
      <c r="AM218" s="80"/>
      <c r="AN218" s="80"/>
      <c r="AO218" s="80"/>
      <c r="AP218" s="80"/>
      <c r="AQ218" s="80"/>
      <c r="AR218" s="80"/>
      <c r="AS218" s="80"/>
      <c r="AT218" s="80"/>
      <c r="AU218" s="80"/>
      <c r="AV218" s="80"/>
      <c r="AW218" s="80"/>
    </row>
    <row r="219" spans="1:49" s="79" customFormat="1" ht="15.75">
      <c r="A219" s="120"/>
      <c r="B219" s="121"/>
      <c r="C219" s="122"/>
      <c r="D219" s="122"/>
      <c r="E219" s="122"/>
      <c r="F219" s="123"/>
      <c r="G219" s="123"/>
      <c r="H219" s="123"/>
      <c r="I219" s="123"/>
      <c r="J219" s="123"/>
      <c r="K219" s="123"/>
      <c r="L219" s="123"/>
      <c r="M219" s="123"/>
      <c r="N219" s="123"/>
      <c r="O219" s="123"/>
      <c r="P219" s="123"/>
      <c r="Q219" s="123"/>
      <c r="R219" s="123"/>
      <c r="S219" s="123"/>
      <c r="T219" s="123"/>
      <c r="U219" s="123"/>
      <c r="V219" s="123"/>
      <c r="W219" s="123"/>
      <c r="X219" s="123"/>
      <c r="Y219" s="123"/>
      <c r="Z219" s="123"/>
      <c r="AA219" s="123"/>
      <c r="AB219" s="123"/>
      <c r="AC219" s="123"/>
      <c r="AD219" s="123"/>
      <c r="AE219" s="123"/>
      <c r="AF219" s="123"/>
      <c r="AG219" s="123"/>
      <c r="AH219" s="123"/>
      <c r="AI219" s="123"/>
      <c r="AJ219" s="123"/>
      <c r="AL219" s="80"/>
      <c r="AM219" s="80"/>
      <c r="AN219" s="80"/>
      <c r="AO219" s="80"/>
      <c r="AP219" s="80"/>
      <c r="AQ219" s="80"/>
      <c r="AR219" s="80"/>
      <c r="AS219" s="80"/>
      <c r="AT219" s="80"/>
      <c r="AU219" s="80"/>
      <c r="AV219" s="80"/>
      <c r="AW219" s="80"/>
    </row>
    <row r="220" spans="1:49" s="79" customFormat="1" ht="15.75">
      <c r="A220" s="120"/>
      <c r="B220" s="121"/>
      <c r="C220" s="122"/>
      <c r="D220" s="122"/>
      <c r="E220" s="122"/>
      <c r="F220" s="123"/>
      <c r="G220" s="123"/>
      <c r="H220" s="123"/>
      <c r="I220" s="123"/>
      <c r="J220" s="123"/>
      <c r="K220" s="123"/>
      <c r="L220" s="123"/>
      <c r="M220" s="123"/>
      <c r="N220" s="123"/>
      <c r="O220" s="123"/>
      <c r="P220" s="123"/>
      <c r="Q220" s="123"/>
      <c r="R220" s="123"/>
      <c r="S220" s="123"/>
      <c r="T220" s="123"/>
      <c r="U220" s="123"/>
      <c r="V220" s="123"/>
      <c r="W220" s="123"/>
      <c r="X220" s="123"/>
      <c r="Y220" s="123"/>
      <c r="Z220" s="123"/>
      <c r="AA220" s="123"/>
      <c r="AB220" s="123"/>
      <c r="AC220" s="123"/>
      <c r="AD220" s="123"/>
      <c r="AE220" s="123"/>
      <c r="AF220" s="123"/>
      <c r="AG220" s="123"/>
      <c r="AH220" s="123"/>
      <c r="AI220" s="123"/>
      <c r="AJ220" s="123"/>
      <c r="AL220" s="80"/>
      <c r="AM220" s="80"/>
      <c r="AN220" s="80"/>
      <c r="AO220" s="80"/>
      <c r="AP220" s="80"/>
      <c r="AQ220" s="80"/>
      <c r="AR220" s="80"/>
      <c r="AS220" s="80"/>
      <c r="AT220" s="80"/>
      <c r="AU220" s="80"/>
      <c r="AV220" s="80"/>
      <c r="AW220" s="80"/>
    </row>
    <row r="221" spans="1:49" s="79" customFormat="1" ht="15.75">
      <c r="A221" s="120"/>
      <c r="B221" s="121"/>
      <c r="C221" s="122"/>
      <c r="D221" s="122"/>
      <c r="E221" s="122"/>
      <c r="F221" s="123"/>
      <c r="G221" s="123"/>
      <c r="H221" s="123"/>
      <c r="I221" s="123"/>
      <c r="J221" s="123"/>
      <c r="K221" s="123"/>
      <c r="L221" s="123"/>
      <c r="M221" s="123"/>
      <c r="N221" s="123"/>
      <c r="O221" s="123"/>
      <c r="P221" s="123"/>
      <c r="Q221" s="123"/>
      <c r="R221" s="123"/>
      <c r="S221" s="123"/>
      <c r="T221" s="123"/>
      <c r="U221" s="123"/>
      <c r="V221" s="123"/>
      <c r="W221" s="123"/>
      <c r="X221" s="123"/>
      <c r="Y221" s="123"/>
      <c r="Z221" s="123"/>
      <c r="AA221" s="123"/>
      <c r="AB221" s="123"/>
      <c r="AC221" s="123"/>
      <c r="AD221" s="123"/>
      <c r="AE221" s="123"/>
      <c r="AF221" s="123"/>
      <c r="AG221" s="123"/>
      <c r="AH221" s="123"/>
      <c r="AI221" s="123"/>
      <c r="AJ221" s="123"/>
      <c r="AL221" s="80"/>
      <c r="AM221" s="80"/>
      <c r="AN221" s="80"/>
      <c r="AO221" s="80"/>
      <c r="AP221" s="80"/>
      <c r="AQ221" s="80"/>
      <c r="AR221" s="80"/>
      <c r="AS221" s="80"/>
      <c r="AT221" s="80"/>
      <c r="AU221" s="80"/>
      <c r="AV221" s="80"/>
      <c r="AW221" s="80"/>
    </row>
    <row r="222" spans="1:49" s="79" customFormat="1" ht="15.75">
      <c r="A222" s="120"/>
      <c r="B222" s="121"/>
      <c r="C222" s="122"/>
      <c r="D222" s="122"/>
      <c r="E222" s="122"/>
      <c r="F222" s="123"/>
      <c r="G222" s="123"/>
      <c r="H222" s="123"/>
      <c r="I222" s="123"/>
      <c r="J222" s="123"/>
      <c r="K222" s="123"/>
      <c r="L222" s="123"/>
      <c r="M222" s="123"/>
      <c r="N222" s="123"/>
      <c r="O222" s="123"/>
      <c r="P222" s="123"/>
      <c r="Q222" s="123"/>
      <c r="R222" s="123"/>
      <c r="S222" s="123"/>
      <c r="T222" s="123"/>
      <c r="U222" s="123"/>
      <c r="V222" s="123"/>
      <c r="W222" s="123"/>
      <c r="X222" s="123"/>
      <c r="Y222" s="123"/>
      <c r="Z222" s="123"/>
      <c r="AA222" s="123"/>
      <c r="AB222" s="123"/>
      <c r="AC222" s="123"/>
      <c r="AD222" s="123"/>
      <c r="AE222" s="123"/>
      <c r="AF222" s="123"/>
      <c r="AG222" s="123"/>
      <c r="AH222" s="123"/>
      <c r="AI222" s="123"/>
      <c r="AJ222" s="123"/>
      <c r="AL222" s="80"/>
      <c r="AM222" s="80"/>
      <c r="AN222" s="80"/>
      <c r="AO222" s="80"/>
      <c r="AP222" s="80"/>
      <c r="AQ222" s="80"/>
      <c r="AR222" s="80"/>
      <c r="AS222" s="80"/>
      <c r="AT222" s="80"/>
      <c r="AU222" s="80"/>
      <c r="AV222" s="80"/>
      <c r="AW222" s="80"/>
    </row>
    <row r="223" spans="1:49" s="79" customFormat="1" ht="15.75">
      <c r="A223" s="120"/>
      <c r="B223" s="121"/>
      <c r="C223" s="122"/>
      <c r="D223" s="122"/>
      <c r="E223" s="122"/>
      <c r="F223" s="123"/>
      <c r="G223" s="123"/>
      <c r="H223" s="123"/>
      <c r="I223" s="123"/>
      <c r="J223" s="123"/>
      <c r="K223" s="123"/>
      <c r="L223" s="123"/>
      <c r="M223" s="123"/>
      <c r="N223" s="123"/>
      <c r="O223" s="123"/>
      <c r="P223" s="123"/>
      <c r="Q223" s="123"/>
      <c r="R223" s="123"/>
      <c r="S223" s="123"/>
      <c r="T223" s="123"/>
      <c r="U223" s="123"/>
      <c r="V223" s="123"/>
      <c r="W223" s="123"/>
      <c r="X223" s="123"/>
      <c r="Y223" s="123"/>
      <c r="Z223" s="123"/>
      <c r="AA223" s="123"/>
      <c r="AB223" s="123"/>
      <c r="AC223" s="123"/>
      <c r="AD223" s="123"/>
      <c r="AE223" s="123"/>
      <c r="AF223" s="123"/>
      <c r="AG223" s="123"/>
      <c r="AH223" s="123"/>
      <c r="AI223" s="123"/>
      <c r="AJ223" s="123"/>
      <c r="AL223" s="80"/>
      <c r="AM223" s="80"/>
      <c r="AN223" s="80"/>
      <c r="AO223" s="80"/>
      <c r="AP223" s="80"/>
      <c r="AQ223" s="80"/>
      <c r="AR223" s="80"/>
      <c r="AS223" s="80"/>
      <c r="AT223" s="80"/>
      <c r="AU223" s="80"/>
      <c r="AV223" s="80"/>
      <c r="AW223" s="80"/>
    </row>
    <row r="224" spans="1:49" s="79" customFormat="1" ht="15.75">
      <c r="A224" s="120"/>
      <c r="B224" s="121"/>
      <c r="C224" s="122"/>
      <c r="D224" s="122"/>
      <c r="E224" s="122"/>
      <c r="F224" s="123"/>
      <c r="G224" s="123"/>
      <c r="H224" s="123"/>
      <c r="I224" s="123"/>
      <c r="J224" s="123"/>
      <c r="K224" s="123"/>
      <c r="L224" s="123"/>
      <c r="M224" s="123"/>
      <c r="N224" s="123"/>
      <c r="O224" s="123"/>
      <c r="P224" s="123"/>
      <c r="Q224" s="123"/>
      <c r="R224" s="123"/>
      <c r="S224" s="123"/>
      <c r="T224" s="123"/>
      <c r="U224" s="123"/>
      <c r="V224" s="123"/>
      <c r="W224" s="123"/>
      <c r="X224" s="123"/>
      <c r="Y224" s="123"/>
      <c r="Z224" s="123"/>
      <c r="AA224" s="123"/>
      <c r="AB224" s="123"/>
      <c r="AC224" s="123"/>
      <c r="AD224" s="123"/>
      <c r="AE224" s="123"/>
      <c r="AF224" s="123"/>
      <c r="AG224" s="123"/>
      <c r="AH224" s="123"/>
      <c r="AI224" s="123"/>
      <c r="AJ224" s="123"/>
      <c r="AL224" s="80"/>
      <c r="AM224" s="80"/>
      <c r="AN224" s="80"/>
      <c r="AO224" s="80"/>
      <c r="AP224" s="80"/>
      <c r="AQ224" s="80"/>
      <c r="AR224" s="80"/>
      <c r="AS224" s="80"/>
      <c r="AT224" s="80"/>
      <c r="AU224" s="80"/>
      <c r="AV224" s="80"/>
      <c r="AW224" s="80"/>
    </row>
    <row r="225" spans="1:49" s="79" customFormat="1" ht="15.75">
      <c r="A225" s="120"/>
      <c r="B225" s="121"/>
      <c r="C225" s="122"/>
      <c r="D225" s="122"/>
      <c r="E225" s="122"/>
      <c r="F225" s="123"/>
      <c r="G225" s="123"/>
      <c r="H225" s="123"/>
      <c r="I225" s="123"/>
      <c r="J225" s="123"/>
      <c r="K225" s="123"/>
      <c r="L225" s="123"/>
      <c r="M225" s="123"/>
      <c r="N225" s="123"/>
      <c r="O225" s="123"/>
      <c r="P225" s="123"/>
      <c r="Q225" s="123"/>
      <c r="R225" s="123"/>
      <c r="S225" s="123"/>
      <c r="T225" s="123"/>
      <c r="U225" s="123"/>
      <c r="V225" s="123"/>
      <c r="W225" s="123"/>
      <c r="X225" s="123"/>
      <c r="Y225" s="123"/>
      <c r="Z225" s="123"/>
      <c r="AA225" s="123"/>
      <c r="AB225" s="123"/>
      <c r="AC225" s="123"/>
      <c r="AD225" s="123"/>
      <c r="AE225" s="123"/>
      <c r="AF225" s="123"/>
      <c r="AG225" s="123"/>
      <c r="AH225" s="123"/>
      <c r="AI225" s="123"/>
      <c r="AJ225" s="123"/>
      <c r="AL225" s="80"/>
      <c r="AM225" s="80"/>
      <c r="AN225" s="80"/>
      <c r="AO225" s="80"/>
      <c r="AP225" s="80"/>
      <c r="AQ225" s="80"/>
      <c r="AR225" s="80"/>
      <c r="AS225" s="80"/>
      <c r="AT225" s="80"/>
      <c r="AU225" s="80"/>
      <c r="AV225" s="80"/>
      <c r="AW225" s="80"/>
    </row>
    <row r="226" spans="1:49" s="79" customFormat="1" ht="15.75">
      <c r="A226" s="120"/>
      <c r="B226" s="121"/>
      <c r="C226" s="122"/>
      <c r="D226" s="122"/>
      <c r="E226" s="122"/>
      <c r="F226" s="123"/>
      <c r="G226" s="123"/>
      <c r="H226" s="123"/>
      <c r="I226" s="123"/>
      <c r="J226" s="123"/>
      <c r="K226" s="123"/>
      <c r="L226" s="123"/>
      <c r="M226" s="123"/>
      <c r="N226" s="123"/>
      <c r="O226" s="123"/>
      <c r="P226" s="123"/>
      <c r="Q226" s="123"/>
      <c r="R226" s="123"/>
      <c r="S226" s="123"/>
      <c r="T226" s="123"/>
      <c r="U226" s="123"/>
      <c r="V226" s="123"/>
      <c r="W226" s="123"/>
      <c r="X226" s="123"/>
      <c r="Y226" s="123"/>
      <c r="Z226" s="123"/>
      <c r="AA226" s="123"/>
      <c r="AB226" s="123"/>
      <c r="AC226" s="123"/>
      <c r="AD226" s="123"/>
      <c r="AE226" s="123"/>
      <c r="AF226" s="123"/>
      <c r="AG226" s="123"/>
      <c r="AH226" s="123"/>
      <c r="AI226" s="123"/>
      <c r="AJ226" s="123"/>
      <c r="AL226" s="80"/>
      <c r="AM226" s="80"/>
      <c r="AN226" s="80"/>
      <c r="AO226" s="80"/>
      <c r="AP226" s="80"/>
      <c r="AQ226" s="80"/>
      <c r="AR226" s="80"/>
      <c r="AS226" s="80"/>
      <c r="AT226" s="80"/>
      <c r="AU226" s="80"/>
      <c r="AV226" s="80"/>
      <c r="AW226" s="80"/>
    </row>
    <row r="227" spans="1:49" s="79" customFormat="1" ht="15.75">
      <c r="A227" s="120"/>
      <c r="B227" s="121"/>
      <c r="C227" s="122"/>
      <c r="D227" s="122"/>
      <c r="E227" s="122"/>
      <c r="F227" s="123"/>
      <c r="G227" s="123"/>
      <c r="H227" s="123"/>
      <c r="I227" s="123"/>
      <c r="J227" s="123"/>
      <c r="K227" s="123"/>
      <c r="L227" s="123"/>
      <c r="M227" s="123"/>
      <c r="N227" s="123"/>
      <c r="O227" s="123"/>
      <c r="P227" s="123"/>
      <c r="Q227" s="123"/>
      <c r="R227" s="123"/>
      <c r="S227" s="123"/>
      <c r="T227" s="123"/>
      <c r="U227" s="123"/>
      <c r="V227" s="123"/>
      <c r="W227" s="123"/>
      <c r="X227" s="123"/>
      <c r="Y227" s="123"/>
      <c r="Z227" s="123"/>
      <c r="AA227" s="123"/>
      <c r="AB227" s="123"/>
      <c r="AC227" s="123"/>
      <c r="AD227" s="123"/>
      <c r="AE227" s="123"/>
      <c r="AF227" s="123"/>
      <c r="AG227" s="123"/>
      <c r="AH227" s="123"/>
      <c r="AI227" s="123"/>
      <c r="AJ227" s="123"/>
      <c r="AL227" s="80"/>
      <c r="AM227" s="80"/>
      <c r="AN227" s="80"/>
      <c r="AO227" s="80"/>
      <c r="AP227" s="80"/>
      <c r="AQ227" s="80"/>
      <c r="AR227" s="80"/>
      <c r="AS227" s="80"/>
      <c r="AT227" s="80"/>
      <c r="AU227" s="80"/>
      <c r="AV227" s="80"/>
      <c r="AW227" s="80"/>
    </row>
    <row r="228" spans="1:49" s="79" customFormat="1" ht="15.75">
      <c r="A228" s="120"/>
      <c r="B228" s="121"/>
      <c r="C228" s="122"/>
      <c r="D228" s="122"/>
      <c r="E228" s="122"/>
      <c r="F228" s="123"/>
      <c r="G228" s="123"/>
      <c r="H228" s="123"/>
      <c r="I228" s="123"/>
      <c r="J228" s="123"/>
      <c r="K228" s="123"/>
      <c r="L228" s="123"/>
      <c r="M228" s="123"/>
      <c r="N228" s="123"/>
      <c r="O228" s="123"/>
      <c r="P228" s="123"/>
      <c r="Q228" s="123"/>
      <c r="R228" s="123"/>
      <c r="S228" s="123"/>
      <c r="T228" s="123"/>
      <c r="U228" s="123"/>
      <c r="V228" s="123"/>
      <c r="W228" s="123"/>
      <c r="X228" s="123"/>
      <c r="Y228" s="123"/>
      <c r="Z228" s="123"/>
      <c r="AA228" s="123"/>
      <c r="AB228" s="123"/>
      <c r="AC228" s="123"/>
      <c r="AD228" s="123"/>
      <c r="AE228" s="123"/>
      <c r="AF228" s="123"/>
      <c r="AG228" s="123"/>
      <c r="AH228" s="123"/>
      <c r="AI228" s="123"/>
      <c r="AJ228" s="123"/>
      <c r="AL228" s="80"/>
      <c r="AM228" s="80"/>
      <c r="AN228" s="80"/>
      <c r="AO228" s="80"/>
      <c r="AP228" s="80"/>
      <c r="AQ228" s="80"/>
      <c r="AR228" s="80"/>
      <c r="AS228" s="80"/>
      <c r="AT228" s="80"/>
      <c r="AU228" s="80"/>
      <c r="AV228" s="80"/>
      <c r="AW228" s="80"/>
    </row>
    <row r="229" spans="1:49" s="79" customFormat="1" ht="15.75">
      <c r="A229" s="120"/>
      <c r="B229" s="121"/>
      <c r="C229" s="122"/>
      <c r="D229" s="122"/>
      <c r="E229" s="122"/>
      <c r="F229" s="123"/>
      <c r="G229" s="123"/>
      <c r="H229" s="123"/>
      <c r="I229" s="123"/>
      <c r="J229" s="123"/>
      <c r="K229" s="123"/>
      <c r="L229" s="123"/>
      <c r="M229" s="123"/>
      <c r="N229" s="123"/>
      <c r="O229" s="123"/>
      <c r="P229" s="123"/>
      <c r="Q229" s="123"/>
      <c r="R229" s="123"/>
      <c r="S229" s="123"/>
      <c r="T229" s="123"/>
      <c r="U229" s="123"/>
      <c r="V229" s="123"/>
      <c r="W229" s="123"/>
      <c r="X229" s="123"/>
      <c r="Y229" s="123"/>
      <c r="Z229" s="123"/>
      <c r="AA229" s="123"/>
      <c r="AB229" s="123"/>
      <c r="AC229" s="123"/>
      <c r="AD229" s="123"/>
      <c r="AE229" s="123"/>
      <c r="AF229" s="123"/>
      <c r="AG229" s="123"/>
      <c r="AH229" s="123"/>
      <c r="AI229" s="123"/>
      <c r="AJ229" s="123"/>
      <c r="AL229" s="80"/>
      <c r="AM229" s="80"/>
      <c r="AN229" s="80"/>
      <c r="AO229" s="80"/>
      <c r="AP229" s="80"/>
      <c r="AQ229" s="80"/>
      <c r="AR229" s="80"/>
      <c r="AS229" s="80"/>
      <c r="AT229" s="80"/>
      <c r="AU229" s="80"/>
      <c r="AV229" s="80"/>
      <c r="AW229" s="80"/>
    </row>
    <row r="230" spans="1:49" s="79" customFormat="1" ht="15.75">
      <c r="A230" s="120"/>
      <c r="B230" s="121"/>
      <c r="C230" s="122"/>
      <c r="D230" s="122"/>
      <c r="E230" s="122"/>
      <c r="F230" s="123"/>
      <c r="G230" s="123"/>
      <c r="H230" s="123"/>
      <c r="I230" s="123"/>
      <c r="J230" s="123"/>
      <c r="K230" s="123"/>
      <c r="L230" s="123"/>
      <c r="M230" s="123"/>
      <c r="N230" s="123"/>
      <c r="O230" s="123"/>
      <c r="P230" s="123"/>
      <c r="Q230" s="123"/>
      <c r="R230" s="123"/>
      <c r="S230" s="123"/>
      <c r="T230" s="123"/>
      <c r="U230" s="123"/>
      <c r="V230" s="123"/>
      <c r="W230" s="123"/>
      <c r="X230" s="123"/>
      <c r="Y230" s="123"/>
      <c r="Z230" s="123"/>
      <c r="AA230" s="123"/>
      <c r="AB230" s="123"/>
      <c r="AC230" s="123"/>
      <c r="AD230" s="123"/>
      <c r="AE230" s="123"/>
      <c r="AF230" s="123"/>
      <c r="AG230" s="123"/>
      <c r="AH230" s="123"/>
      <c r="AI230" s="123"/>
      <c r="AJ230" s="123"/>
      <c r="AL230" s="80"/>
      <c r="AM230" s="80"/>
      <c r="AN230" s="80"/>
      <c r="AO230" s="80"/>
      <c r="AP230" s="80"/>
      <c r="AQ230" s="80"/>
      <c r="AR230" s="80"/>
      <c r="AS230" s="80"/>
      <c r="AT230" s="80"/>
      <c r="AU230" s="80"/>
      <c r="AV230" s="80"/>
      <c r="AW230" s="80"/>
    </row>
    <row r="231" spans="1:49" s="79" customFormat="1" ht="15.75">
      <c r="A231" s="120"/>
      <c r="B231" s="121"/>
      <c r="C231" s="122"/>
      <c r="D231" s="122"/>
      <c r="E231" s="122"/>
      <c r="F231" s="123"/>
      <c r="G231" s="123"/>
      <c r="H231" s="123"/>
      <c r="I231" s="123"/>
      <c r="J231" s="123"/>
      <c r="K231" s="123"/>
      <c r="L231" s="123"/>
      <c r="M231" s="123"/>
      <c r="N231" s="123"/>
      <c r="O231" s="123"/>
      <c r="P231" s="123"/>
      <c r="Q231" s="123"/>
      <c r="R231" s="123"/>
      <c r="S231" s="123"/>
      <c r="T231" s="123"/>
      <c r="U231" s="123"/>
      <c r="V231" s="123"/>
      <c r="W231" s="123"/>
      <c r="X231" s="123"/>
      <c r="Y231" s="123"/>
      <c r="Z231" s="123"/>
      <c r="AA231" s="123"/>
      <c r="AB231" s="123"/>
      <c r="AC231" s="123"/>
      <c r="AD231" s="123"/>
      <c r="AE231" s="123"/>
      <c r="AF231" s="123"/>
      <c r="AG231" s="123"/>
      <c r="AH231" s="123"/>
      <c r="AI231" s="123"/>
      <c r="AJ231" s="123"/>
      <c r="AL231" s="80"/>
      <c r="AM231" s="80"/>
      <c r="AN231" s="80"/>
      <c r="AO231" s="80"/>
      <c r="AP231" s="80"/>
      <c r="AQ231" s="80"/>
      <c r="AR231" s="80"/>
      <c r="AS231" s="80"/>
      <c r="AT231" s="80"/>
      <c r="AU231" s="80"/>
      <c r="AV231" s="80"/>
      <c r="AW231" s="80"/>
    </row>
    <row r="232" spans="1:49" s="79" customFormat="1" ht="15.75">
      <c r="A232" s="120"/>
      <c r="B232" s="121"/>
      <c r="C232" s="122"/>
      <c r="D232" s="122"/>
      <c r="E232" s="122"/>
      <c r="F232" s="123"/>
      <c r="G232" s="123"/>
      <c r="H232" s="123"/>
      <c r="I232" s="123"/>
      <c r="J232" s="123"/>
      <c r="K232" s="123"/>
      <c r="L232" s="123"/>
      <c r="M232" s="123"/>
      <c r="N232" s="123"/>
      <c r="O232" s="123"/>
      <c r="P232" s="123"/>
      <c r="Q232" s="123"/>
      <c r="R232" s="123"/>
      <c r="S232" s="123"/>
      <c r="T232" s="123"/>
      <c r="U232" s="123"/>
      <c r="V232" s="123"/>
      <c r="W232" s="123"/>
      <c r="X232" s="123"/>
      <c r="Y232" s="123"/>
      <c r="Z232" s="123"/>
      <c r="AA232" s="123"/>
      <c r="AB232" s="123"/>
      <c r="AC232" s="123"/>
      <c r="AD232" s="123"/>
      <c r="AE232" s="123"/>
      <c r="AF232" s="123"/>
      <c r="AG232" s="123"/>
      <c r="AH232" s="123"/>
      <c r="AI232" s="123"/>
      <c r="AJ232" s="123"/>
      <c r="AL232" s="80"/>
      <c r="AM232" s="80"/>
      <c r="AN232" s="80"/>
      <c r="AO232" s="80"/>
      <c r="AP232" s="80"/>
      <c r="AQ232" s="80"/>
      <c r="AR232" s="80"/>
      <c r="AS232" s="80"/>
      <c r="AT232" s="80"/>
      <c r="AU232" s="80"/>
      <c r="AV232" s="80"/>
      <c r="AW232" s="80"/>
    </row>
    <row r="233" spans="1:49" s="79" customFormat="1" ht="15.75">
      <c r="A233" s="120"/>
      <c r="B233" s="121"/>
      <c r="C233" s="122"/>
      <c r="D233" s="122"/>
      <c r="E233" s="122"/>
      <c r="F233" s="123"/>
      <c r="G233" s="123"/>
      <c r="H233" s="123"/>
      <c r="I233" s="123"/>
      <c r="J233" s="123"/>
      <c r="K233" s="123"/>
      <c r="L233" s="123"/>
      <c r="M233" s="123"/>
      <c r="N233" s="123"/>
      <c r="O233" s="123"/>
      <c r="P233" s="123"/>
      <c r="Q233" s="123"/>
      <c r="R233" s="123"/>
      <c r="S233" s="123"/>
      <c r="T233" s="123"/>
      <c r="U233" s="123"/>
      <c r="V233" s="123"/>
      <c r="W233" s="123"/>
      <c r="X233" s="123"/>
      <c r="Y233" s="123"/>
      <c r="Z233" s="123"/>
      <c r="AA233" s="123"/>
      <c r="AB233" s="123"/>
      <c r="AC233" s="123"/>
      <c r="AD233" s="123"/>
      <c r="AE233" s="123"/>
      <c r="AF233" s="123"/>
      <c r="AG233" s="123"/>
      <c r="AH233" s="123"/>
      <c r="AI233" s="123"/>
      <c r="AJ233" s="123"/>
      <c r="AL233" s="80"/>
      <c r="AM233" s="80"/>
      <c r="AN233" s="80"/>
      <c r="AO233" s="80"/>
      <c r="AP233" s="80"/>
      <c r="AQ233" s="80"/>
      <c r="AR233" s="80"/>
      <c r="AS233" s="80"/>
      <c r="AT233" s="80"/>
      <c r="AU233" s="80"/>
      <c r="AV233" s="80"/>
      <c r="AW233" s="80"/>
    </row>
    <row r="234" spans="1:49" s="79" customFormat="1" ht="15.75">
      <c r="A234" s="120"/>
      <c r="B234" s="121"/>
      <c r="C234" s="122"/>
      <c r="D234" s="122"/>
      <c r="E234" s="122"/>
      <c r="F234" s="123"/>
      <c r="G234" s="123"/>
      <c r="H234" s="123"/>
      <c r="I234" s="123"/>
      <c r="J234" s="123"/>
      <c r="K234" s="123"/>
      <c r="L234" s="123"/>
      <c r="M234" s="123"/>
      <c r="N234" s="123"/>
      <c r="O234" s="123"/>
      <c r="P234" s="123"/>
      <c r="Q234" s="123"/>
      <c r="R234" s="123"/>
      <c r="S234" s="123"/>
      <c r="T234" s="123"/>
      <c r="U234" s="123"/>
      <c r="V234" s="123"/>
      <c r="W234" s="123"/>
      <c r="X234" s="123"/>
      <c r="Y234" s="123"/>
      <c r="Z234" s="123"/>
      <c r="AA234" s="123"/>
      <c r="AB234" s="123"/>
      <c r="AC234" s="123"/>
      <c r="AD234" s="123"/>
      <c r="AE234" s="123"/>
      <c r="AF234" s="123"/>
      <c r="AG234" s="123"/>
      <c r="AH234" s="123"/>
      <c r="AI234" s="123"/>
      <c r="AJ234" s="123"/>
      <c r="AL234" s="80"/>
      <c r="AM234" s="80"/>
      <c r="AN234" s="80"/>
      <c r="AO234" s="80"/>
      <c r="AP234" s="80"/>
      <c r="AQ234" s="80"/>
      <c r="AR234" s="80"/>
      <c r="AS234" s="80"/>
      <c r="AT234" s="80"/>
      <c r="AU234" s="80"/>
      <c r="AV234" s="80"/>
      <c r="AW234" s="80"/>
    </row>
    <row r="235" spans="1:49" s="79" customFormat="1" ht="15.75">
      <c r="A235" s="120"/>
      <c r="B235" s="121"/>
      <c r="C235" s="122"/>
      <c r="D235" s="122"/>
      <c r="E235" s="122"/>
      <c r="F235" s="123"/>
      <c r="G235" s="123"/>
      <c r="H235" s="123"/>
      <c r="I235" s="123"/>
      <c r="J235" s="123"/>
      <c r="K235" s="123"/>
      <c r="L235" s="123"/>
      <c r="M235" s="123"/>
      <c r="N235" s="123"/>
      <c r="O235" s="123"/>
      <c r="P235" s="123"/>
      <c r="Q235" s="123"/>
      <c r="R235" s="123"/>
      <c r="S235" s="123"/>
      <c r="T235" s="123"/>
      <c r="U235" s="123"/>
      <c r="V235" s="123"/>
      <c r="W235" s="123"/>
      <c r="X235" s="123"/>
      <c r="Y235" s="123"/>
      <c r="Z235" s="123"/>
      <c r="AA235" s="123"/>
      <c r="AB235" s="123"/>
      <c r="AC235" s="123"/>
      <c r="AD235" s="123"/>
      <c r="AE235" s="123"/>
      <c r="AF235" s="123"/>
      <c r="AG235" s="123"/>
      <c r="AH235" s="123"/>
      <c r="AI235" s="123"/>
      <c r="AJ235" s="123"/>
      <c r="AL235" s="80"/>
      <c r="AM235" s="80"/>
      <c r="AN235" s="80"/>
      <c r="AO235" s="80"/>
      <c r="AP235" s="80"/>
      <c r="AQ235" s="80"/>
      <c r="AR235" s="80"/>
      <c r="AS235" s="80"/>
      <c r="AT235" s="80"/>
      <c r="AU235" s="80"/>
      <c r="AV235" s="80"/>
      <c r="AW235" s="80"/>
    </row>
    <row r="236" spans="1:49" s="79" customFormat="1" ht="15.75">
      <c r="A236" s="120"/>
      <c r="B236" s="121"/>
      <c r="C236" s="122"/>
      <c r="D236" s="122"/>
      <c r="E236" s="122"/>
      <c r="F236" s="123"/>
      <c r="G236" s="123"/>
      <c r="H236" s="123"/>
      <c r="I236" s="123"/>
      <c r="J236" s="123"/>
      <c r="K236" s="123"/>
      <c r="L236" s="123"/>
      <c r="M236" s="123"/>
      <c r="N236" s="123"/>
      <c r="O236" s="123"/>
      <c r="P236" s="123"/>
      <c r="Q236" s="123"/>
      <c r="R236" s="123"/>
      <c r="S236" s="123"/>
      <c r="T236" s="123"/>
      <c r="U236" s="123"/>
      <c r="V236" s="123"/>
      <c r="W236" s="123"/>
      <c r="X236" s="123"/>
      <c r="Y236" s="123"/>
      <c r="Z236" s="123"/>
      <c r="AA236" s="123"/>
      <c r="AB236" s="123"/>
      <c r="AC236" s="123"/>
      <c r="AD236" s="123"/>
      <c r="AE236" s="123"/>
      <c r="AF236" s="123"/>
      <c r="AG236" s="123"/>
      <c r="AH236" s="123"/>
      <c r="AI236" s="123"/>
      <c r="AJ236" s="123"/>
      <c r="AL236" s="80"/>
      <c r="AM236" s="80"/>
      <c r="AN236" s="80"/>
      <c r="AO236" s="80"/>
      <c r="AP236" s="80"/>
      <c r="AQ236" s="80"/>
      <c r="AR236" s="80"/>
      <c r="AS236" s="80"/>
      <c r="AT236" s="80"/>
      <c r="AU236" s="80"/>
      <c r="AV236" s="80"/>
      <c r="AW236" s="80"/>
    </row>
    <row r="237" spans="1:49" s="79" customFormat="1" ht="15.75">
      <c r="A237" s="120"/>
      <c r="B237" s="121"/>
      <c r="C237" s="122"/>
      <c r="D237" s="122"/>
      <c r="E237" s="122"/>
      <c r="F237" s="123"/>
      <c r="G237" s="123"/>
      <c r="H237" s="123"/>
      <c r="I237" s="123"/>
      <c r="J237" s="123"/>
      <c r="K237" s="123"/>
      <c r="L237" s="123"/>
      <c r="M237" s="123"/>
      <c r="N237" s="123"/>
      <c r="O237" s="123"/>
      <c r="P237" s="123"/>
      <c r="Q237" s="123"/>
      <c r="R237" s="123"/>
      <c r="S237" s="123"/>
      <c r="T237" s="123"/>
      <c r="U237" s="123"/>
      <c r="V237" s="123"/>
      <c r="W237" s="123"/>
      <c r="X237" s="123"/>
      <c r="Y237" s="123"/>
      <c r="Z237" s="123"/>
      <c r="AA237" s="123"/>
      <c r="AB237" s="123"/>
      <c r="AC237" s="123"/>
      <c r="AD237" s="123"/>
      <c r="AE237" s="123"/>
      <c r="AF237" s="123"/>
      <c r="AG237" s="123"/>
      <c r="AH237" s="123"/>
      <c r="AI237" s="123"/>
      <c r="AJ237" s="123"/>
      <c r="AL237" s="80"/>
      <c r="AM237" s="80"/>
      <c r="AN237" s="80"/>
      <c r="AO237" s="80"/>
      <c r="AP237" s="80"/>
      <c r="AQ237" s="80"/>
      <c r="AR237" s="80"/>
      <c r="AS237" s="80"/>
      <c r="AT237" s="80"/>
      <c r="AU237" s="80"/>
      <c r="AV237" s="80"/>
      <c r="AW237" s="80"/>
    </row>
    <row r="238" spans="1:49" s="79" customFormat="1" ht="15.75">
      <c r="A238" s="120"/>
      <c r="B238" s="121"/>
      <c r="C238" s="122"/>
      <c r="D238" s="122"/>
      <c r="E238" s="122"/>
      <c r="F238" s="123"/>
      <c r="G238" s="123"/>
      <c r="H238" s="123"/>
      <c r="I238" s="123"/>
      <c r="J238" s="123"/>
      <c r="K238" s="123"/>
      <c r="L238" s="123"/>
      <c r="M238" s="123"/>
      <c r="N238" s="123"/>
      <c r="O238" s="123"/>
      <c r="P238" s="123"/>
      <c r="Q238" s="123"/>
      <c r="R238" s="123"/>
      <c r="S238" s="123"/>
      <c r="T238" s="123"/>
      <c r="U238" s="123"/>
      <c r="V238" s="123"/>
      <c r="W238" s="123"/>
      <c r="X238" s="123"/>
      <c r="Y238" s="123"/>
      <c r="Z238" s="123"/>
      <c r="AA238" s="123"/>
      <c r="AB238" s="123"/>
      <c r="AC238" s="123"/>
      <c r="AD238" s="123"/>
      <c r="AE238" s="123"/>
      <c r="AF238" s="123"/>
      <c r="AG238" s="123"/>
      <c r="AH238" s="123"/>
      <c r="AI238" s="123"/>
      <c r="AJ238" s="123"/>
      <c r="AL238" s="80"/>
      <c r="AM238" s="80"/>
      <c r="AN238" s="80"/>
      <c r="AO238" s="80"/>
      <c r="AP238" s="80"/>
      <c r="AQ238" s="80"/>
      <c r="AR238" s="80"/>
      <c r="AS238" s="80"/>
      <c r="AT238" s="80"/>
      <c r="AU238" s="80"/>
      <c r="AV238" s="80"/>
      <c r="AW238" s="80"/>
    </row>
    <row r="239" spans="1:49" s="79" customFormat="1" ht="15.75">
      <c r="A239" s="120"/>
      <c r="B239" s="121"/>
      <c r="C239" s="122"/>
      <c r="D239" s="122"/>
      <c r="E239" s="122"/>
      <c r="F239" s="123"/>
      <c r="G239" s="123"/>
      <c r="H239" s="123"/>
      <c r="I239" s="123"/>
      <c r="J239" s="123"/>
      <c r="K239" s="123"/>
      <c r="L239" s="123"/>
      <c r="M239" s="123"/>
      <c r="N239" s="123"/>
      <c r="O239" s="123"/>
      <c r="P239" s="123"/>
      <c r="Q239" s="123"/>
      <c r="R239" s="123"/>
      <c r="S239" s="123"/>
      <c r="T239" s="123"/>
      <c r="U239" s="123"/>
      <c r="V239" s="123"/>
      <c r="W239" s="123"/>
      <c r="X239" s="123"/>
      <c r="Y239" s="123"/>
      <c r="Z239" s="123"/>
      <c r="AA239" s="123"/>
      <c r="AB239" s="123"/>
      <c r="AC239" s="123"/>
      <c r="AD239" s="123"/>
      <c r="AE239" s="123"/>
      <c r="AF239" s="123"/>
      <c r="AG239" s="123"/>
      <c r="AH239" s="123"/>
      <c r="AI239" s="123"/>
      <c r="AJ239" s="123"/>
      <c r="AL239" s="80"/>
      <c r="AM239" s="80"/>
      <c r="AN239" s="80"/>
      <c r="AO239" s="80"/>
      <c r="AP239" s="80"/>
      <c r="AQ239" s="80"/>
      <c r="AR239" s="80"/>
      <c r="AS239" s="80"/>
      <c r="AT239" s="80"/>
      <c r="AU239" s="80"/>
      <c r="AV239" s="80"/>
      <c r="AW239" s="80"/>
    </row>
    <row r="240" spans="1:49" s="79" customFormat="1" ht="15.75">
      <c r="A240" s="120"/>
      <c r="B240" s="121"/>
      <c r="C240" s="122"/>
      <c r="D240" s="122"/>
      <c r="E240" s="122"/>
      <c r="F240" s="123"/>
      <c r="G240" s="123"/>
      <c r="H240" s="123"/>
      <c r="I240" s="123"/>
      <c r="J240" s="123"/>
      <c r="K240" s="123"/>
      <c r="L240" s="123"/>
      <c r="M240" s="123"/>
      <c r="N240" s="123"/>
      <c r="O240" s="123"/>
      <c r="P240" s="123"/>
      <c r="Q240" s="123"/>
      <c r="R240" s="123"/>
      <c r="S240" s="123"/>
      <c r="T240" s="123"/>
      <c r="U240" s="123"/>
      <c r="V240" s="123"/>
      <c r="W240" s="123"/>
      <c r="X240" s="123"/>
      <c r="Y240" s="123"/>
      <c r="Z240" s="123"/>
      <c r="AA240" s="123"/>
      <c r="AB240" s="123"/>
      <c r="AC240" s="123"/>
      <c r="AD240" s="123"/>
      <c r="AE240" s="123"/>
      <c r="AF240" s="123"/>
      <c r="AG240" s="123"/>
      <c r="AH240" s="123"/>
      <c r="AI240" s="123"/>
      <c r="AJ240" s="123"/>
      <c r="AL240" s="80"/>
      <c r="AM240" s="80"/>
      <c r="AN240" s="80"/>
      <c r="AO240" s="80"/>
      <c r="AP240" s="80"/>
      <c r="AQ240" s="80"/>
      <c r="AR240" s="80"/>
      <c r="AS240" s="80"/>
      <c r="AT240" s="80"/>
      <c r="AU240" s="80"/>
      <c r="AV240" s="80"/>
      <c r="AW240" s="80"/>
    </row>
    <row r="241" spans="1:49" s="79" customFormat="1" ht="15.75">
      <c r="A241" s="120"/>
      <c r="B241" s="121"/>
      <c r="C241" s="122"/>
      <c r="D241" s="122"/>
      <c r="E241" s="122"/>
      <c r="F241" s="123"/>
      <c r="G241" s="123"/>
      <c r="H241" s="123"/>
      <c r="I241" s="123"/>
      <c r="J241" s="123"/>
      <c r="K241" s="123"/>
      <c r="L241" s="123"/>
      <c r="M241" s="123"/>
      <c r="N241" s="123"/>
      <c r="O241" s="123"/>
      <c r="P241" s="123"/>
      <c r="Q241" s="123"/>
      <c r="R241" s="123"/>
      <c r="S241" s="123"/>
      <c r="T241" s="123"/>
      <c r="U241" s="123"/>
      <c r="V241" s="123"/>
      <c r="W241" s="123"/>
      <c r="X241" s="123"/>
      <c r="Y241" s="123"/>
      <c r="Z241" s="123"/>
      <c r="AA241" s="123"/>
      <c r="AB241" s="123"/>
      <c r="AC241" s="123"/>
      <c r="AD241" s="123"/>
      <c r="AE241" s="123"/>
      <c r="AF241" s="123"/>
      <c r="AG241" s="123"/>
      <c r="AH241" s="123"/>
      <c r="AI241" s="123"/>
      <c r="AJ241" s="123"/>
      <c r="AL241" s="80"/>
      <c r="AM241" s="80"/>
      <c r="AN241" s="80"/>
      <c r="AO241" s="80"/>
      <c r="AP241" s="80"/>
      <c r="AQ241" s="80"/>
      <c r="AR241" s="80"/>
      <c r="AS241" s="80"/>
      <c r="AT241" s="80"/>
      <c r="AU241" s="80"/>
      <c r="AV241" s="80"/>
      <c r="AW241" s="80"/>
    </row>
    <row r="242" spans="1:49" s="79" customFormat="1" ht="15.75">
      <c r="A242" s="120"/>
      <c r="B242" s="121"/>
      <c r="C242" s="122"/>
      <c r="D242" s="122"/>
      <c r="E242" s="122"/>
      <c r="F242" s="123"/>
      <c r="G242" s="123"/>
      <c r="H242" s="123"/>
      <c r="I242" s="123"/>
      <c r="J242" s="123"/>
      <c r="K242" s="123"/>
      <c r="L242" s="123"/>
      <c r="M242" s="123"/>
      <c r="N242" s="123"/>
      <c r="O242" s="123"/>
      <c r="P242" s="123"/>
      <c r="Q242" s="123"/>
      <c r="R242" s="123"/>
      <c r="S242" s="123"/>
      <c r="T242" s="123"/>
      <c r="U242" s="123"/>
      <c r="V242" s="123"/>
      <c r="W242" s="123"/>
      <c r="X242" s="123"/>
      <c r="Y242" s="123"/>
      <c r="Z242" s="123"/>
      <c r="AA242" s="123"/>
      <c r="AB242" s="123"/>
      <c r="AC242" s="123"/>
      <c r="AD242" s="123"/>
      <c r="AE242" s="123"/>
      <c r="AF242" s="123"/>
      <c r="AG242" s="123"/>
      <c r="AH242" s="123"/>
      <c r="AI242" s="123"/>
      <c r="AJ242" s="123"/>
      <c r="AL242" s="80"/>
      <c r="AM242" s="80"/>
      <c r="AN242" s="80"/>
      <c r="AO242" s="80"/>
      <c r="AP242" s="80"/>
      <c r="AQ242" s="80"/>
      <c r="AR242" s="80"/>
      <c r="AS242" s="80"/>
      <c r="AT242" s="80"/>
      <c r="AU242" s="80"/>
      <c r="AV242" s="80"/>
      <c r="AW242" s="80"/>
    </row>
    <row r="243" spans="1:49" s="79" customFormat="1" ht="15.75">
      <c r="A243" s="120"/>
      <c r="B243" s="121"/>
      <c r="C243" s="122"/>
      <c r="D243" s="122"/>
      <c r="E243" s="122"/>
      <c r="F243" s="123"/>
      <c r="G243" s="123"/>
      <c r="H243" s="123"/>
      <c r="I243" s="123"/>
      <c r="J243" s="123"/>
      <c r="K243" s="123"/>
      <c r="L243" s="123"/>
      <c r="M243" s="123"/>
      <c r="N243" s="123"/>
      <c r="O243" s="123"/>
      <c r="P243" s="123"/>
      <c r="Q243" s="123"/>
      <c r="R243" s="123"/>
      <c r="S243" s="123"/>
      <c r="T243" s="123"/>
      <c r="U243" s="123"/>
      <c r="V243" s="123"/>
      <c r="W243" s="123"/>
      <c r="X243" s="123"/>
      <c r="Y243" s="123"/>
      <c r="Z243" s="123"/>
      <c r="AA243" s="123"/>
      <c r="AB243" s="123"/>
      <c r="AC243" s="123"/>
      <c r="AD243" s="123"/>
      <c r="AE243" s="123"/>
      <c r="AF243" s="123"/>
      <c r="AG243" s="123"/>
      <c r="AH243" s="123"/>
      <c r="AI243" s="123"/>
      <c r="AJ243" s="123"/>
      <c r="AL243" s="80"/>
      <c r="AM243" s="80"/>
      <c r="AN243" s="80"/>
      <c r="AO243" s="80"/>
      <c r="AP243" s="80"/>
      <c r="AQ243" s="80"/>
      <c r="AR243" s="80"/>
      <c r="AS243" s="80"/>
      <c r="AT243" s="80"/>
      <c r="AU243" s="80"/>
      <c r="AV243" s="80"/>
      <c r="AW243" s="80"/>
    </row>
    <row r="244" spans="1:49" s="79" customFormat="1" ht="15.75">
      <c r="A244" s="120"/>
      <c r="B244" s="121"/>
      <c r="C244" s="122"/>
      <c r="D244" s="122"/>
      <c r="E244" s="122"/>
      <c r="F244" s="123"/>
      <c r="G244" s="123"/>
      <c r="H244" s="123"/>
      <c r="I244" s="123"/>
      <c r="J244" s="123"/>
      <c r="K244" s="123"/>
      <c r="L244" s="123"/>
      <c r="M244" s="123"/>
      <c r="N244" s="123"/>
      <c r="O244" s="123"/>
      <c r="P244" s="123"/>
      <c r="Q244" s="123"/>
      <c r="R244" s="123"/>
      <c r="S244" s="123"/>
      <c r="T244" s="123"/>
      <c r="U244" s="123"/>
      <c r="V244" s="123"/>
      <c r="W244" s="123"/>
      <c r="X244" s="123"/>
      <c r="Y244" s="123"/>
      <c r="Z244" s="123"/>
      <c r="AA244" s="123"/>
      <c r="AB244" s="123"/>
      <c r="AC244" s="123"/>
      <c r="AD244" s="123"/>
      <c r="AE244" s="123"/>
      <c r="AF244" s="123"/>
      <c r="AG244" s="123"/>
      <c r="AH244" s="123"/>
      <c r="AI244" s="123"/>
      <c r="AJ244" s="123"/>
      <c r="AL244" s="80"/>
      <c r="AM244" s="80"/>
      <c r="AN244" s="80"/>
      <c r="AO244" s="80"/>
      <c r="AP244" s="80"/>
      <c r="AQ244" s="80"/>
      <c r="AR244" s="80"/>
      <c r="AS244" s="80"/>
      <c r="AT244" s="80"/>
      <c r="AU244" s="80"/>
      <c r="AV244" s="80"/>
      <c r="AW244" s="80"/>
    </row>
    <row r="245" spans="1:49" s="79" customFormat="1" ht="15.75">
      <c r="A245" s="120"/>
      <c r="B245" s="121"/>
      <c r="C245" s="122"/>
      <c r="D245" s="122"/>
      <c r="E245" s="122"/>
      <c r="F245" s="123"/>
      <c r="G245" s="123"/>
      <c r="H245" s="123"/>
      <c r="I245" s="123"/>
      <c r="J245" s="123"/>
      <c r="K245" s="123"/>
      <c r="L245" s="123"/>
      <c r="M245" s="123"/>
      <c r="N245" s="123"/>
      <c r="O245" s="123"/>
      <c r="P245" s="123"/>
      <c r="Q245" s="123"/>
      <c r="R245" s="123"/>
      <c r="S245" s="123"/>
      <c r="T245" s="123"/>
      <c r="U245" s="123"/>
      <c r="V245" s="123"/>
      <c r="W245" s="123"/>
      <c r="X245" s="123"/>
      <c r="Y245" s="123"/>
      <c r="Z245" s="123"/>
      <c r="AA245" s="123"/>
      <c r="AB245" s="123"/>
      <c r="AC245" s="123"/>
      <c r="AD245" s="123"/>
      <c r="AE245" s="123"/>
      <c r="AF245" s="123"/>
      <c r="AG245" s="123"/>
      <c r="AH245" s="123"/>
      <c r="AI245" s="123"/>
      <c r="AJ245" s="123"/>
      <c r="AL245" s="80"/>
      <c r="AM245" s="80"/>
      <c r="AN245" s="80"/>
      <c r="AO245" s="80"/>
      <c r="AP245" s="80"/>
      <c r="AQ245" s="80"/>
      <c r="AR245" s="80"/>
      <c r="AS245" s="80"/>
      <c r="AT245" s="80"/>
      <c r="AU245" s="80"/>
      <c r="AV245" s="80"/>
      <c r="AW245" s="80"/>
    </row>
    <row r="246" spans="1:49" s="79" customFormat="1" ht="15.75">
      <c r="A246" s="120"/>
      <c r="B246" s="121"/>
      <c r="C246" s="122"/>
      <c r="D246" s="122"/>
      <c r="E246" s="122"/>
      <c r="F246" s="123"/>
      <c r="G246" s="123"/>
      <c r="H246" s="123"/>
      <c r="I246" s="123"/>
      <c r="J246" s="123"/>
      <c r="K246" s="123"/>
      <c r="L246" s="123"/>
      <c r="M246" s="123"/>
      <c r="N246" s="123"/>
      <c r="O246" s="123"/>
      <c r="P246" s="123"/>
      <c r="Q246" s="123"/>
      <c r="R246" s="123"/>
      <c r="S246" s="123"/>
      <c r="T246" s="123"/>
      <c r="U246" s="123"/>
      <c r="V246" s="123"/>
      <c r="W246" s="123"/>
      <c r="X246" s="123"/>
      <c r="Y246" s="123"/>
      <c r="Z246" s="123"/>
      <c r="AA246" s="123"/>
      <c r="AB246" s="123"/>
      <c r="AC246" s="123"/>
      <c r="AD246" s="123"/>
      <c r="AE246" s="123"/>
      <c r="AF246" s="123"/>
      <c r="AG246" s="123"/>
      <c r="AH246" s="123"/>
      <c r="AI246" s="123"/>
      <c r="AJ246" s="123"/>
      <c r="AL246" s="80"/>
      <c r="AM246" s="80"/>
      <c r="AN246" s="80"/>
      <c r="AO246" s="80"/>
      <c r="AP246" s="80"/>
      <c r="AQ246" s="80"/>
      <c r="AR246" s="80"/>
      <c r="AS246" s="80"/>
      <c r="AT246" s="80"/>
      <c r="AU246" s="80"/>
      <c r="AV246" s="80"/>
      <c r="AW246" s="80"/>
    </row>
    <row r="247" spans="1:49" s="79" customFormat="1" ht="15.75">
      <c r="A247" s="120"/>
      <c r="B247" s="121"/>
      <c r="C247" s="122"/>
      <c r="D247" s="122"/>
      <c r="E247" s="122"/>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L247" s="80"/>
      <c r="AM247" s="80"/>
      <c r="AN247" s="80"/>
      <c r="AO247" s="80"/>
      <c r="AP247" s="80"/>
      <c r="AQ247" s="80"/>
      <c r="AR247" s="80"/>
      <c r="AS247" s="80"/>
      <c r="AT247" s="80"/>
      <c r="AU247" s="80"/>
      <c r="AV247" s="80"/>
      <c r="AW247" s="80"/>
    </row>
    <row r="248" spans="1:49" s="79" customFormat="1" ht="15.75">
      <c r="A248" s="120"/>
      <c r="B248" s="121"/>
      <c r="C248" s="122"/>
      <c r="D248" s="122"/>
      <c r="E248" s="122"/>
      <c r="F248" s="123"/>
      <c r="G248" s="123"/>
      <c r="H248" s="123"/>
      <c r="I248" s="123"/>
      <c r="J248" s="123"/>
      <c r="K248" s="123"/>
      <c r="L248" s="123"/>
      <c r="M248" s="123"/>
      <c r="N248" s="123"/>
      <c r="O248" s="123"/>
      <c r="P248" s="123"/>
      <c r="Q248" s="123"/>
      <c r="R248" s="123"/>
      <c r="S248" s="123"/>
      <c r="T248" s="123"/>
      <c r="U248" s="123"/>
      <c r="V248" s="123"/>
      <c r="W248" s="123"/>
      <c r="X248" s="123"/>
      <c r="Y248" s="123"/>
      <c r="Z248" s="123"/>
      <c r="AA248" s="123"/>
      <c r="AB248" s="123"/>
      <c r="AC248" s="123"/>
      <c r="AD248" s="123"/>
      <c r="AE248" s="123"/>
      <c r="AF248" s="123"/>
      <c r="AG248" s="123"/>
      <c r="AH248" s="123"/>
      <c r="AI248" s="123"/>
      <c r="AJ248" s="123"/>
      <c r="AL248" s="80"/>
      <c r="AM248" s="80"/>
      <c r="AN248" s="80"/>
      <c r="AO248" s="80"/>
      <c r="AP248" s="80"/>
      <c r="AQ248" s="80"/>
      <c r="AR248" s="80"/>
      <c r="AS248" s="80"/>
      <c r="AT248" s="80"/>
      <c r="AU248" s="80"/>
      <c r="AV248" s="80"/>
      <c r="AW248" s="80"/>
    </row>
    <row r="249" spans="1:49" s="79" customFormat="1" ht="15.75">
      <c r="A249" s="120"/>
      <c r="B249" s="121"/>
      <c r="C249" s="122"/>
      <c r="D249" s="122"/>
      <c r="E249" s="122"/>
      <c r="F249" s="123"/>
      <c r="G249" s="123"/>
      <c r="H249" s="123"/>
      <c r="I249" s="123"/>
      <c r="J249" s="123"/>
      <c r="K249" s="123"/>
      <c r="L249" s="123"/>
      <c r="M249" s="123"/>
      <c r="N249" s="123"/>
      <c r="O249" s="123"/>
      <c r="P249" s="123"/>
      <c r="Q249" s="123"/>
      <c r="R249" s="123"/>
      <c r="S249" s="123"/>
      <c r="T249" s="123"/>
      <c r="U249" s="123"/>
      <c r="V249" s="123"/>
      <c r="W249" s="123"/>
      <c r="X249" s="123"/>
      <c r="Y249" s="123"/>
      <c r="Z249" s="123"/>
      <c r="AA249" s="123"/>
      <c r="AB249" s="123"/>
      <c r="AC249" s="123"/>
      <c r="AD249" s="123"/>
      <c r="AE249" s="123"/>
      <c r="AF249" s="123"/>
      <c r="AG249" s="123"/>
      <c r="AH249" s="123"/>
      <c r="AI249" s="123"/>
      <c r="AJ249" s="123"/>
      <c r="AL249" s="80"/>
      <c r="AM249" s="80"/>
      <c r="AN249" s="80"/>
      <c r="AO249" s="80"/>
      <c r="AP249" s="80"/>
      <c r="AQ249" s="80"/>
      <c r="AR249" s="80"/>
      <c r="AS249" s="80"/>
      <c r="AT249" s="80"/>
      <c r="AU249" s="80"/>
      <c r="AV249" s="80"/>
      <c r="AW249" s="80"/>
    </row>
    <row r="250" spans="1:49" s="79" customFormat="1" ht="15.75">
      <c r="A250" s="120"/>
      <c r="B250" s="121"/>
      <c r="C250" s="122"/>
      <c r="D250" s="122"/>
      <c r="E250" s="122"/>
      <c r="F250" s="123"/>
      <c r="G250" s="123"/>
      <c r="H250" s="123"/>
      <c r="I250" s="123"/>
      <c r="J250" s="123"/>
      <c r="K250" s="123"/>
      <c r="L250" s="123"/>
      <c r="M250" s="123"/>
      <c r="N250" s="123"/>
      <c r="O250" s="123"/>
      <c r="P250" s="123"/>
      <c r="Q250" s="123"/>
      <c r="R250" s="123"/>
      <c r="S250" s="123"/>
      <c r="T250" s="123"/>
      <c r="U250" s="123"/>
      <c r="V250" s="123"/>
      <c r="W250" s="123"/>
      <c r="X250" s="123"/>
      <c r="Y250" s="123"/>
      <c r="Z250" s="123"/>
      <c r="AA250" s="123"/>
      <c r="AB250" s="123"/>
      <c r="AC250" s="123"/>
      <c r="AD250" s="123"/>
      <c r="AE250" s="123"/>
      <c r="AF250" s="123"/>
      <c r="AG250" s="123"/>
      <c r="AH250" s="123"/>
      <c r="AI250" s="123"/>
      <c r="AJ250" s="123"/>
      <c r="AL250" s="80"/>
      <c r="AM250" s="80"/>
      <c r="AN250" s="80"/>
      <c r="AO250" s="80"/>
      <c r="AP250" s="80"/>
      <c r="AQ250" s="80"/>
      <c r="AR250" s="80"/>
      <c r="AS250" s="80"/>
      <c r="AT250" s="80"/>
      <c r="AU250" s="80"/>
      <c r="AV250" s="80"/>
      <c r="AW250" s="80"/>
    </row>
    <row r="251" spans="1:49" s="79" customFormat="1" ht="15.75">
      <c r="A251" s="120"/>
      <c r="B251" s="121"/>
      <c r="C251" s="122"/>
      <c r="D251" s="122"/>
      <c r="E251" s="122"/>
      <c r="F251" s="123"/>
      <c r="G251" s="123"/>
      <c r="H251" s="123"/>
      <c r="I251" s="123"/>
      <c r="J251" s="123"/>
      <c r="K251" s="123"/>
      <c r="L251" s="123"/>
      <c r="M251" s="123"/>
      <c r="N251" s="123"/>
      <c r="O251" s="123"/>
      <c r="P251" s="123"/>
      <c r="Q251" s="123"/>
      <c r="R251" s="123"/>
      <c r="S251" s="123"/>
      <c r="T251" s="123"/>
      <c r="U251" s="123"/>
      <c r="V251" s="123"/>
      <c r="W251" s="123"/>
      <c r="X251" s="123"/>
      <c r="Y251" s="123"/>
      <c r="Z251" s="123"/>
      <c r="AA251" s="123"/>
      <c r="AB251" s="123"/>
      <c r="AC251" s="123"/>
      <c r="AD251" s="123"/>
      <c r="AE251" s="123"/>
      <c r="AF251" s="123"/>
      <c r="AG251" s="123"/>
      <c r="AH251" s="123"/>
      <c r="AI251" s="123"/>
      <c r="AJ251" s="123"/>
      <c r="AL251" s="80"/>
      <c r="AM251" s="80"/>
      <c r="AN251" s="80"/>
      <c r="AO251" s="80"/>
      <c r="AP251" s="80"/>
      <c r="AQ251" s="80"/>
      <c r="AR251" s="80"/>
      <c r="AS251" s="80"/>
      <c r="AT251" s="80"/>
      <c r="AU251" s="80"/>
      <c r="AV251" s="80"/>
      <c r="AW251" s="80"/>
    </row>
    <row r="252" spans="1:49" s="79" customFormat="1" ht="15.75">
      <c r="A252" s="120"/>
      <c r="B252" s="121"/>
      <c r="C252" s="122"/>
      <c r="D252" s="122"/>
      <c r="E252" s="122"/>
      <c r="F252" s="123"/>
      <c r="G252" s="123"/>
      <c r="H252" s="123"/>
      <c r="I252" s="123"/>
      <c r="J252" s="123"/>
      <c r="K252" s="123"/>
      <c r="L252" s="123"/>
      <c r="M252" s="123"/>
      <c r="N252" s="123"/>
      <c r="O252" s="123"/>
      <c r="P252" s="123"/>
      <c r="Q252" s="123"/>
      <c r="R252" s="123"/>
      <c r="S252" s="123"/>
      <c r="T252" s="123"/>
      <c r="U252" s="123"/>
      <c r="V252" s="123"/>
      <c r="W252" s="123"/>
      <c r="X252" s="123"/>
      <c r="Y252" s="123"/>
      <c r="Z252" s="123"/>
      <c r="AA252" s="123"/>
      <c r="AB252" s="123"/>
      <c r="AC252" s="123"/>
      <c r="AD252" s="123"/>
      <c r="AE252" s="123"/>
      <c r="AF252" s="123"/>
      <c r="AG252" s="123"/>
      <c r="AH252" s="123"/>
      <c r="AI252" s="123"/>
      <c r="AJ252" s="123"/>
      <c r="AL252" s="80"/>
      <c r="AM252" s="80"/>
      <c r="AN252" s="80"/>
      <c r="AO252" s="80"/>
      <c r="AP252" s="80"/>
      <c r="AQ252" s="80"/>
      <c r="AR252" s="80"/>
      <c r="AS252" s="80"/>
      <c r="AT252" s="80"/>
      <c r="AU252" s="80"/>
      <c r="AV252" s="80"/>
      <c r="AW252" s="80"/>
    </row>
    <row r="253" spans="1:49" s="79" customFormat="1" ht="15.75">
      <c r="A253" s="120"/>
      <c r="B253" s="121"/>
      <c r="C253" s="122"/>
      <c r="D253" s="122"/>
      <c r="E253" s="122"/>
      <c r="F253" s="123"/>
      <c r="G253" s="123"/>
      <c r="H253" s="123"/>
      <c r="I253" s="123"/>
      <c r="J253" s="123"/>
      <c r="K253" s="123"/>
      <c r="L253" s="123"/>
      <c r="M253" s="123"/>
      <c r="N253" s="123"/>
      <c r="O253" s="123"/>
      <c r="P253" s="123"/>
      <c r="Q253" s="123"/>
      <c r="R253" s="123"/>
      <c r="S253" s="123"/>
      <c r="T253" s="123"/>
      <c r="U253" s="123"/>
      <c r="V253" s="123"/>
      <c r="W253" s="123"/>
      <c r="X253" s="123"/>
      <c r="Y253" s="123"/>
      <c r="Z253" s="123"/>
      <c r="AA253" s="123"/>
      <c r="AB253" s="123"/>
      <c r="AC253" s="123"/>
      <c r="AD253" s="123"/>
      <c r="AE253" s="123"/>
      <c r="AF253" s="123"/>
      <c r="AG253" s="123"/>
      <c r="AH253" s="123"/>
      <c r="AI253" s="123"/>
      <c r="AJ253" s="123"/>
      <c r="AL253" s="80"/>
      <c r="AM253" s="80"/>
      <c r="AN253" s="80"/>
      <c r="AO253" s="80"/>
      <c r="AP253" s="80"/>
      <c r="AQ253" s="80"/>
      <c r="AR253" s="80"/>
      <c r="AS253" s="80"/>
      <c r="AT253" s="80"/>
      <c r="AU253" s="80"/>
      <c r="AV253" s="80"/>
      <c r="AW253" s="80"/>
    </row>
    <row r="254" spans="1:49" s="79" customFormat="1" ht="15.75">
      <c r="A254" s="120"/>
      <c r="B254" s="121"/>
      <c r="C254" s="122"/>
      <c r="D254" s="122"/>
      <c r="E254" s="122"/>
      <c r="F254" s="123"/>
      <c r="G254" s="123"/>
      <c r="H254" s="123"/>
      <c r="I254" s="123"/>
      <c r="J254" s="123"/>
      <c r="K254" s="123"/>
      <c r="L254" s="123"/>
      <c r="M254" s="123"/>
      <c r="N254" s="123"/>
      <c r="O254" s="123"/>
      <c r="P254" s="123"/>
      <c r="Q254" s="123"/>
      <c r="R254" s="123"/>
      <c r="S254" s="123"/>
      <c r="T254" s="123"/>
      <c r="U254" s="123"/>
      <c r="V254" s="123"/>
      <c r="W254" s="123"/>
      <c r="X254" s="123"/>
      <c r="Y254" s="123"/>
      <c r="Z254" s="123"/>
      <c r="AA254" s="123"/>
      <c r="AB254" s="123"/>
      <c r="AC254" s="123"/>
      <c r="AD254" s="123"/>
      <c r="AE254" s="123"/>
      <c r="AF254" s="123"/>
      <c r="AG254" s="123"/>
      <c r="AH254" s="123"/>
      <c r="AI254" s="123"/>
      <c r="AJ254" s="123"/>
      <c r="AL254" s="80"/>
      <c r="AM254" s="80"/>
      <c r="AN254" s="80"/>
      <c r="AO254" s="80"/>
      <c r="AP254" s="80"/>
      <c r="AQ254" s="80"/>
      <c r="AR254" s="80"/>
      <c r="AS254" s="80"/>
      <c r="AT254" s="80"/>
      <c r="AU254" s="80"/>
      <c r="AV254" s="80"/>
      <c r="AW254" s="80"/>
    </row>
    <row r="255" spans="1:49" s="79" customFormat="1" ht="15.75">
      <c r="A255" s="120"/>
      <c r="B255" s="121"/>
      <c r="C255" s="122"/>
      <c r="D255" s="122"/>
      <c r="E255" s="122"/>
      <c r="F255" s="123"/>
      <c r="G255" s="123"/>
      <c r="H255" s="123"/>
      <c r="I255" s="123"/>
      <c r="J255" s="123"/>
      <c r="K255" s="123"/>
      <c r="L255" s="123"/>
      <c r="M255" s="123"/>
      <c r="N255" s="123"/>
      <c r="O255" s="123"/>
      <c r="P255" s="123"/>
      <c r="Q255" s="123"/>
      <c r="R255" s="123"/>
      <c r="S255" s="123"/>
      <c r="T255" s="123"/>
      <c r="U255" s="123"/>
      <c r="V255" s="123"/>
      <c r="W255" s="123"/>
      <c r="X255" s="123"/>
      <c r="Y255" s="123"/>
      <c r="Z255" s="123"/>
      <c r="AA255" s="123"/>
      <c r="AB255" s="123"/>
      <c r="AC255" s="123"/>
      <c r="AD255" s="123"/>
      <c r="AE255" s="123"/>
      <c r="AF255" s="123"/>
      <c r="AG255" s="123"/>
      <c r="AH255" s="123"/>
      <c r="AI255" s="123"/>
      <c r="AJ255" s="123"/>
      <c r="AL255" s="80"/>
      <c r="AM255" s="80"/>
      <c r="AN255" s="80"/>
      <c r="AO255" s="80"/>
      <c r="AP255" s="80"/>
      <c r="AQ255" s="80"/>
      <c r="AR255" s="80"/>
      <c r="AS255" s="80"/>
      <c r="AT255" s="80"/>
      <c r="AU255" s="80"/>
      <c r="AV255" s="80"/>
      <c r="AW255" s="80"/>
    </row>
    <row r="256" spans="1:49" s="79" customFormat="1" ht="15.75">
      <c r="A256" s="120"/>
      <c r="B256" s="121"/>
      <c r="C256" s="122"/>
      <c r="D256" s="122"/>
      <c r="E256" s="122"/>
      <c r="F256" s="123"/>
      <c r="G256" s="123"/>
      <c r="H256" s="123"/>
      <c r="I256" s="123"/>
      <c r="J256" s="123"/>
      <c r="K256" s="123"/>
      <c r="L256" s="123"/>
      <c r="M256" s="123"/>
      <c r="N256" s="123"/>
      <c r="O256" s="123"/>
      <c r="P256" s="123"/>
      <c r="Q256" s="123"/>
      <c r="R256" s="123"/>
      <c r="S256" s="123"/>
      <c r="T256" s="123"/>
      <c r="U256" s="123"/>
      <c r="V256" s="123"/>
      <c r="W256" s="123"/>
      <c r="X256" s="123"/>
      <c r="Y256" s="123"/>
      <c r="Z256" s="123"/>
      <c r="AA256" s="123"/>
      <c r="AB256" s="123"/>
      <c r="AC256" s="123"/>
      <c r="AD256" s="123"/>
      <c r="AE256" s="123"/>
      <c r="AF256" s="123"/>
      <c r="AG256" s="123"/>
      <c r="AH256" s="123"/>
      <c r="AI256" s="123"/>
      <c r="AJ256" s="123"/>
      <c r="AL256" s="80"/>
      <c r="AM256" s="80"/>
      <c r="AN256" s="80"/>
      <c r="AO256" s="80"/>
      <c r="AP256" s="80"/>
      <c r="AQ256" s="80"/>
      <c r="AR256" s="80"/>
      <c r="AS256" s="80"/>
      <c r="AT256" s="80"/>
      <c r="AU256" s="80"/>
      <c r="AV256" s="80"/>
      <c r="AW256" s="80"/>
    </row>
    <row r="257" spans="1:49" s="79" customFormat="1" ht="15.75">
      <c r="A257" s="120"/>
      <c r="B257" s="121"/>
      <c r="C257" s="122"/>
      <c r="D257" s="122"/>
      <c r="E257" s="122"/>
      <c r="F257" s="123"/>
      <c r="G257" s="123"/>
      <c r="H257" s="123"/>
      <c r="I257" s="123"/>
      <c r="J257" s="123"/>
      <c r="K257" s="123"/>
      <c r="L257" s="123"/>
      <c r="M257" s="123"/>
      <c r="N257" s="123"/>
      <c r="O257" s="123"/>
      <c r="P257" s="123"/>
      <c r="Q257" s="123"/>
      <c r="R257" s="123"/>
      <c r="S257" s="123"/>
      <c r="T257" s="123"/>
      <c r="U257" s="123"/>
      <c r="V257" s="123"/>
      <c r="W257" s="123"/>
      <c r="X257" s="123"/>
      <c r="Y257" s="123"/>
      <c r="Z257" s="123"/>
      <c r="AA257" s="123"/>
      <c r="AB257" s="123"/>
      <c r="AC257" s="123"/>
      <c r="AD257" s="123"/>
      <c r="AE257" s="123"/>
      <c r="AF257" s="123"/>
      <c r="AG257" s="123"/>
      <c r="AH257" s="123"/>
      <c r="AI257" s="123"/>
      <c r="AJ257" s="123"/>
      <c r="AL257" s="80"/>
      <c r="AM257" s="80"/>
      <c r="AN257" s="80"/>
      <c r="AO257" s="80"/>
      <c r="AP257" s="80"/>
      <c r="AQ257" s="80"/>
      <c r="AR257" s="80"/>
      <c r="AS257" s="80"/>
      <c r="AT257" s="80"/>
      <c r="AU257" s="80"/>
      <c r="AV257" s="80"/>
      <c r="AW257" s="80"/>
    </row>
    <row r="258" spans="1:49" s="79" customFormat="1" ht="15.75">
      <c r="A258" s="120"/>
      <c r="B258" s="121"/>
      <c r="C258" s="122"/>
      <c r="D258" s="122"/>
      <c r="E258" s="122"/>
      <c r="F258" s="123"/>
      <c r="G258" s="123"/>
      <c r="H258" s="123"/>
      <c r="I258" s="123"/>
      <c r="J258" s="123"/>
      <c r="K258" s="123"/>
      <c r="L258" s="123"/>
      <c r="M258" s="123"/>
      <c r="N258" s="123"/>
      <c r="O258" s="123"/>
      <c r="P258" s="123"/>
      <c r="Q258" s="123"/>
      <c r="R258" s="123"/>
      <c r="S258" s="123"/>
      <c r="T258" s="123"/>
      <c r="U258" s="123"/>
      <c r="V258" s="123"/>
      <c r="W258" s="123"/>
      <c r="X258" s="123"/>
      <c r="Y258" s="123"/>
      <c r="Z258" s="123"/>
      <c r="AA258" s="123"/>
      <c r="AB258" s="123"/>
      <c r="AC258" s="123"/>
      <c r="AD258" s="123"/>
      <c r="AE258" s="123"/>
      <c r="AF258" s="123"/>
      <c r="AG258" s="123"/>
      <c r="AH258" s="123"/>
      <c r="AI258" s="123"/>
      <c r="AJ258" s="123"/>
      <c r="AL258" s="80"/>
      <c r="AM258" s="80"/>
      <c r="AN258" s="80"/>
      <c r="AO258" s="80"/>
      <c r="AP258" s="80"/>
      <c r="AQ258" s="80"/>
      <c r="AR258" s="80"/>
      <c r="AS258" s="80"/>
      <c r="AT258" s="80"/>
      <c r="AU258" s="80"/>
      <c r="AV258" s="80"/>
      <c r="AW258" s="80"/>
    </row>
    <row r="259" spans="1:49" s="79" customFormat="1" ht="15.75">
      <c r="A259" s="120"/>
      <c r="B259" s="121"/>
      <c r="C259" s="122"/>
      <c r="D259" s="122"/>
      <c r="E259" s="122"/>
      <c r="F259" s="123"/>
      <c r="G259" s="123"/>
      <c r="H259" s="123"/>
      <c r="I259" s="123"/>
      <c r="J259" s="123"/>
      <c r="K259" s="123"/>
      <c r="L259" s="123"/>
      <c r="M259" s="123"/>
      <c r="N259" s="123"/>
      <c r="O259" s="123"/>
      <c r="P259" s="123"/>
      <c r="Q259" s="123"/>
      <c r="R259" s="123"/>
      <c r="S259" s="123"/>
      <c r="T259" s="123"/>
      <c r="U259" s="123"/>
      <c r="V259" s="123"/>
      <c r="W259" s="123"/>
      <c r="X259" s="123"/>
      <c r="Y259" s="123"/>
      <c r="Z259" s="123"/>
      <c r="AA259" s="123"/>
      <c r="AB259" s="123"/>
      <c r="AC259" s="123"/>
      <c r="AD259" s="123"/>
      <c r="AE259" s="123"/>
      <c r="AF259" s="123"/>
      <c r="AG259" s="123"/>
      <c r="AH259" s="123"/>
      <c r="AI259" s="123"/>
      <c r="AJ259" s="123"/>
      <c r="AL259" s="80"/>
      <c r="AM259" s="80"/>
      <c r="AN259" s="80"/>
      <c r="AO259" s="80"/>
      <c r="AP259" s="80"/>
      <c r="AQ259" s="80"/>
      <c r="AR259" s="80"/>
      <c r="AS259" s="80"/>
      <c r="AT259" s="80"/>
      <c r="AU259" s="80"/>
      <c r="AV259" s="80"/>
      <c r="AW259" s="80"/>
    </row>
    <row r="260" spans="1:49" s="79" customFormat="1" ht="15.75">
      <c r="A260" s="120"/>
      <c r="B260" s="121"/>
      <c r="C260" s="122"/>
      <c r="D260" s="122"/>
      <c r="E260" s="122"/>
      <c r="F260" s="123"/>
      <c r="G260" s="123"/>
      <c r="H260" s="123"/>
      <c r="I260" s="123"/>
      <c r="J260" s="123"/>
      <c r="K260" s="123"/>
      <c r="L260" s="123"/>
      <c r="M260" s="123"/>
      <c r="N260" s="123"/>
      <c r="O260" s="123"/>
      <c r="P260" s="123"/>
      <c r="Q260" s="123"/>
      <c r="R260" s="123"/>
      <c r="S260" s="123"/>
      <c r="T260" s="123"/>
      <c r="U260" s="123"/>
      <c r="V260" s="123"/>
      <c r="W260" s="123"/>
      <c r="X260" s="123"/>
      <c r="Y260" s="123"/>
      <c r="Z260" s="123"/>
      <c r="AA260" s="123"/>
      <c r="AB260" s="123"/>
      <c r="AC260" s="123"/>
      <c r="AD260" s="123"/>
      <c r="AE260" s="123"/>
      <c r="AF260" s="123"/>
      <c r="AG260" s="123"/>
      <c r="AH260" s="123"/>
      <c r="AI260" s="123"/>
      <c r="AJ260" s="123"/>
      <c r="AL260" s="80"/>
      <c r="AM260" s="80"/>
      <c r="AN260" s="80"/>
      <c r="AO260" s="80"/>
      <c r="AP260" s="80"/>
      <c r="AQ260" s="80"/>
      <c r="AR260" s="80"/>
      <c r="AS260" s="80"/>
      <c r="AT260" s="80"/>
      <c r="AU260" s="80"/>
      <c r="AV260" s="80"/>
      <c r="AW260" s="80"/>
    </row>
    <row r="261" spans="1:49" s="79" customFormat="1" ht="15.75">
      <c r="A261" s="120"/>
      <c r="B261" s="121"/>
      <c r="C261" s="122"/>
      <c r="D261" s="122"/>
      <c r="E261" s="122"/>
      <c r="F261" s="123"/>
      <c r="G261" s="123"/>
      <c r="H261" s="123"/>
      <c r="I261" s="123"/>
      <c r="J261" s="123"/>
      <c r="K261" s="123"/>
      <c r="L261" s="123"/>
      <c r="M261" s="123"/>
      <c r="N261" s="123"/>
      <c r="O261" s="123"/>
      <c r="P261" s="123"/>
      <c r="Q261" s="123"/>
      <c r="R261" s="123"/>
      <c r="S261" s="123"/>
      <c r="T261" s="123"/>
      <c r="U261" s="123"/>
      <c r="V261" s="123"/>
      <c r="W261" s="123"/>
      <c r="X261" s="123"/>
      <c r="Y261" s="123"/>
      <c r="Z261" s="123"/>
      <c r="AA261" s="123"/>
      <c r="AB261" s="123"/>
      <c r="AC261" s="123"/>
      <c r="AD261" s="123"/>
      <c r="AE261" s="123"/>
      <c r="AF261" s="123"/>
      <c r="AG261" s="123"/>
      <c r="AH261" s="123"/>
      <c r="AI261" s="123"/>
      <c r="AJ261" s="123"/>
      <c r="AL261" s="80"/>
      <c r="AM261" s="80"/>
      <c r="AN261" s="80"/>
      <c r="AO261" s="80"/>
      <c r="AP261" s="80"/>
      <c r="AQ261" s="80"/>
      <c r="AR261" s="80"/>
      <c r="AS261" s="80"/>
      <c r="AT261" s="80"/>
      <c r="AU261" s="80"/>
      <c r="AV261" s="80"/>
      <c r="AW261" s="80"/>
    </row>
    <row r="262" spans="1:49" s="79" customFormat="1" ht="15.75">
      <c r="A262" s="120"/>
      <c r="B262" s="121"/>
      <c r="C262" s="122"/>
      <c r="D262" s="122"/>
      <c r="E262" s="122"/>
      <c r="F262" s="123"/>
      <c r="G262" s="123"/>
      <c r="H262" s="123"/>
      <c r="I262" s="123"/>
      <c r="J262" s="123"/>
      <c r="K262" s="123"/>
      <c r="L262" s="123"/>
      <c r="M262" s="123"/>
      <c r="N262" s="123"/>
      <c r="O262" s="123"/>
      <c r="P262" s="123"/>
      <c r="Q262" s="123"/>
      <c r="R262" s="123"/>
      <c r="S262" s="123"/>
      <c r="T262" s="123"/>
      <c r="U262" s="123"/>
      <c r="V262" s="123"/>
      <c r="W262" s="123"/>
      <c r="X262" s="123"/>
      <c r="Y262" s="123"/>
      <c r="Z262" s="123"/>
      <c r="AA262" s="123"/>
      <c r="AB262" s="123"/>
      <c r="AC262" s="123"/>
      <c r="AD262" s="123"/>
      <c r="AE262" s="123"/>
      <c r="AF262" s="123"/>
      <c r="AG262" s="123"/>
      <c r="AH262" s="123"/>
      <c r="AI262" s="123"/>
      <c r="AJ262" s="123"/>
      <c r="AL262" s="80"/>
      <c r="AM262" s="80"/>
      <c r="AN262" s="80"/>
      <c r="AO262" s="80"/>
      <c r="AP262" s="80"/>
      <c r="AQ262" s="80"/>
      <c r="AR262" s="80"/>
      <c r="AS262" s="80"/>
      <c r="AT262" s="80"/>
      <c r="AU262" s="80"/>
      <c r="AV262" s="80"/>
      <c r="AW262" s="80"/>
    </row>
    <row r="263" spans="1:49" s="79" customFormat="1" ht="15.75">
      <c r="A263" s="120"/>
      <c r="B263" s="121"/>
      <c r="C263" s="122"/>
      <c r="D263" s="122"/>
      <c r="E263" s="122"/>
      <c r="F263" s="123"/>
      <c r="G263" s="123"/>
      <c r="H263" s="123"/>
      <c r="I263" s="123"/>
      <c r="J263" s="123"/>
      <c r="K263" s="123"/>
      <c r="L263" s="123"/>
      <c r="M263" s="123"/>
      <c r="N263" s="123"/>
      <c r="O263" s="123"/>
      <c r="P263" s="123"/>
      <c r="Q263" s="123"/>
      <c r="R263" s="123"/>
      <c r="S263" s="123"/>
      <c r="T263" s="123"/>
      <c r="U263" s="123"/>
      <c r="V263" s="123"/>
      <c r="W263" s="123"/>
      <c r="X263" s="123"/>
      <c r="Y263" s="123"/>
      <c r="Z263" s="123"/>
      <c r="AA263" s="123"/>
      <c r="AB263" s="123"/>
      <c r="AC263" s="123"/>
      <c r="AD263" s="123"/>
      <c r="AE263" s="123"/>
      <c r="AF263" s="123"/>
      <c r="AG263" s="123"/>
      <c r="AH263" s="123"/>
      <c r="AI263" s="123"/>
      <c r="AJ263" s="123"/>
      <c r="AL263" s="80"/>
      <c r="AM263" s="80"/>
      <c r="AN263" s="80"/>
      <c r="AO263" s="80"/>
      <c r="AP263" s="80"/>
      <c r="AQ263" s="80"/>
      <c r="AR263" s="80"/>
      <c r="AS263" s="80"/>
      <c r="AT263" s="80"/>
      <c r="AU263" s="80"/>
      <c r="AV263" s="80"/>
      <c r="AW263" s="80"/>
    </row>
    <row r="264" spans="1:49" s="79" customFormat="1" ht="15.75">
      <c r="A264" s="120"/>
      <c r="B264" s="121"/>
      <c r="C264" s="122"/>
      <c r="D264" s="122"/>
      <c r="E264" s="122"/>
      <c r="F264" s="123"/>
      <c r="G264" s="123"/>
      <c r="H264" s="123"/>
      <c r="I264" s="123"/>
      <c r="J264" s="123"/>
      <c r="K264" s="123"/>
      <c r="L264" s="123"/>
      <c r="M264" s="123"/>
      <c r="N264" s="123"/>
      <c r="O264" s="123"/>
      <c r="P264" s="123"/>
      <c r="Q264" s="123"/>
      <c r="R264" s="123"/>
      <c r="S264" s="123"/>
      <c r="T264" s="123"/>
      <c r="U264" s="123"/>
      <c r="V264" s="123"/>
      <c r="W264" s="123"/>
      <c r="X264" s="123"/>
      <c r="Y264" s="123"/>
      <c r="Z264" s="123"/>
      <c r="AA264" s="123"/>
      <c r="AB264" s="123"/>
      <c r="AC264" s="123"/>
      <c r="AD264" s="123"/>
      <c r="AE264" s="123"/>
      <c r="AF264" s="123"/>
      <c r="AG264" s="123"/>
      <c r="AH264" s="123"/>
      <c r="AI264" s="123"/>
      <c r="AJ264" s="123"/>
      <c r="AL264" s="80"/>
      <c r="AM264" s="80"/>
      <c r="AN264" s="80"/>
      <c r="AO264" s="80"/>
      <c r="AP264" s="80"/>
      <c r="AQ264" s="80"/>
      <c r="AR264" s="80"/>
      <c r="AS264" s="80"/>
      <c r="AT264" s="80"/>
      <c r="AU264" s="80"/>
      <c r="AV264" s="80"/>
      <c r="AW264" s="80"/>
    </row>
    <row r="265" spans="1:49" s="79" customFormat="1" ht="15.75">
      <c r="A265" s="120"/>
      <c r="B265" s="121"/>
      <c r="C265" s="122"/>
      <c r="D265" s="122"/>
      <c r="E265" s="122"/>
      <c r="F265" s="123"/>
      <c r="G265" s="123"/>
      <c r="H265" s="123"/>
      <c r="I265" s="123"/>
      <c r="J265" s="123"/>
      <c r="K265" s="123"/>
      <c r="L265" s="123"/>
      <c r="M265" s="123"/>
      <c r="N265" s="123"/>
      <c r="O265" s="123"/>
      <c r="P265" s="123"/>
      <c r="Q265" s="123"/>
      <c r="R265" s="123"/>
      <c r="S265" s="123"/>
      <c r="T265" s="123"/>
      <c r="U265" s="123"/>
      <c r="V265" s="123"/>
      <c r="W265" s="123"/>
      <c r="X265" s="123"/>
      <c r="Y265" s="123"/>
      <c r="Z265" s="123"/>
      <c r="AA265" s="123"/>
      <c r="AB265" s="123"/>
      <c r="AC265" s="123"/>
      <c r="AD265" s="123"/>
      <c r="AE265" s="123"/>
      <c r="AF265" s="123"/>
      <c r="AG265" s="123"/>
      <c r="AH265" s="123"/>
      <c r="AI265" s="123"/>
      <c r="AJ265" s="123"/>
      <c r="AL265" s="80"/>
      <c r="AM265" s="80"/>
      <c r="AN265" s="80"/>
      <c r="AO265" s="80"/>
      <c r="AP265" s="80"/>
      <c r="AQ265" s="80"/>
      <c r="AR265" s="80"/>
      <c r="AS265" s="80"/>
      <c r="AT265" s="80"/>
      <c r="AU265" s="80"/>
      <c r="AV265" s="80"/>
      <c r="AW265" s="80"/>
    </row>
    <row r="266" spans="1:49" s="79" customFormat="1" ht="15.75">
      <c r="A266" s="120"/>
      <c r="B266" s="121"/>
      <c r="C266" s="122"/>
      <c r="D266" s="122"/>
      <c r="E266" s="122"/>
      <c r="F266" s="123"/>
      <c r="G266" s="123"/>
      <c r="H266" s="123"/>
      <c r="I266" s="123"/>
      <c r="J266" s="123"/>
      <c r="K266" s="123"/>
      <c r="L266" s="123"/>
      <c r="M266" s="123"/>
      <c r="N266" s="123"/>
      <c r="O266" s="123"/>
      <c r="P266" s="123"/>
      <c r="Q266" s="123"/>
      <c r="R266" s="123"/>
      <c r="S266" s="123"/>
      <c r="T266" s="123"/>
      <c r="U266" s="123"/>
      <c r="V266" s="123"/>
      <c r="W266" s="123"/>
      <c r="X266" s="123"/>
      <c r="Y266" s="123"/>
      <c r="Z266" s="123"/>
      <c r="AA266" s="123"/>
      <c r="AB266" s="123"/>
      <c r="AC266" s="123"/>
      <c r="AD266" s="123"/>
      <c r="AE266" s="123"/>
      <c r="AF266" s="123"/>
      <c r="AG266" s="123"/>
      <c r="AH266" s="123"/>
      <c r="AI266" s="123"/>
      <c r="AJ266" s="123"/>
      <c r="AL266" s="80"/>
      <c r="AM266" s="80"/>
      <c r="AN266" s="80"/>
      <c r="AO266" s="80"/>
      <c r="AP266" s="80"/>
      <c r="AQ266" s="80"/>
      <c r="AR266" s="80"/>
      <c r="AS266" s="80"/>
      <c r="AT266" s="80"/>
      <c r="AU266" s="80"/>
      <c r="AV266" s="80"/>
      <c r="AW266" s="80"/>
    </row>
    <row r="267" spans="1:49" s="79" customFormat="1" ht="15.75">
      <c r="A267" s="120"/>
      <c r="B267" s="121"/>
      <c r="C267" s="122"/>
      <c r="D267" s="122"/>
      <c r="E267" s="122"/>
      <c r="F267" s="123"/>
      <c r="G267" s="123"/>
      <c r="H267" s="123"/>
      <c r="I267" s="123"/>
      <c r="J267" s="123"/>
      <c r="K267" s="123"/>
      <c r="L267" s="123"/>
      <c r="M267" s="123"/>
      <c r="N267" s="123"/>
      <c r="O267" s="123"/>
      <c r="P267" s="123"/>
      <c r="Q267" s="123"/>
      <c r="R267" s="123"/>
      <c r="S267" s="123"/>
      <c r="T267" s="123"/>
      <c r="U267" s="123"/>
      <c r="V267" s="123"/>
      <c r="W267" s="123"/>
      <c r="X267" s="123"/>
      <c r="Y267" s="123"/>
      <c r="Z267" s="123"/>
      <c r="AA267" s="123"/>
      <c r="AB267" s="123"/>
      <c r="AC267" s="123"/>
      <c r="AD267" s="123"/>
      <c r="AE267" s="123"/>
      <c r="AF267" s="123"/>
      <c r="AG267" s="123"/>
      <c r="AH267" s="123"/>
      <c r="AI267" s="123"/>
      <c r="AJ267" s="123"/>
      <c r="AL267" s="80"/>
      <c r="AM267" s="80"/>
      <c r="AN267" s="80"/>
      <c r="AO267" s="80"/>
      <c r="AP267" s="80"/>
      <c r="AQ267" s="80"/>
      <c r="AR267" s="80"/>
      <c r="AS267" s="80"/>
      <c r="AT267" s="80"/>
      <c r="AU267" s="80"/>
      <c r="AV267" s="80"/>
      <c r="AW267" s="80"/>
    </row>
    <row r="268" spans="1:49" s="79" customFormat="1" ht="15.75">
      <c r="A268" s="120"/>
      <c r="B268" s="121"/>
      <c r="C268" s="122"/>
      <c r="D268" s="122"/>
      <c r="E268" s="122"/>
      <c r="F268" s="123"/>
      <c r="G268" s="123"/>
      <c r="H268" s="123"/>
      <c r="I268" s="123"/>
      <c r="J268" s="123"/>
      <c r="K268" s="123"/>
      <c r="L268" s="123"/>
      <c r="M268" s="123"/>
      <c r="N268" s="123"/>
      <c r="O268" s="123"/>
      <c r="P268" s="123"/>
      <c r="Q268" s="123"/>
      <c r="R268" s="123"/>
      <c r="S268" s="123"/>
      <c r="T268" s="123"/>
      <c r="U268" s="123"/>
      <c r="V268" s="123"/>
      <c r="W268" s="123"/>
      <c r="X268" s="123"/>
      <c r="Y268" s="123"/>
      <c r="Z268" s="123"/>
      <c r="AA268" s="123"/>
      <c r="AB268" s="123"/>
      <c r="AC268" s="123"/>
      <c r="AD268" s="123"/>
      <c r="AE268" s="123"/>
      <c r="AF268" s="123"/>
      <c r="AG268" s="123"/>
      <c r="AH268" s="123"/>
      <c r="AI268" s="123"/>
      <c r="AJ268" s="123"/>
      <c r="AL268" s="80"/>
      <c r="AM268" s="80"/>
      <c r="AN268" s="80"/>
      <c r="AO268" s="80"/>
      <c r="AP268" s="80"/>
      <c r="AQ268" s="80"/>
      <c r="AR268" s="80"/>
      <c r="AS268" s="80"/>
      <c r="AT268" s="80"/>
      <c r="AU268" s="80"/>
      <c r="AV268" s="80"/>
      <c r="AW268" s="80"/>
    </row>
    <row r="269" spans="1:49" s="79" customFormat="1" ht="15.75">
      <c r="A269" s="120"/>
      <c r="B269" s="121"/>
      <c r="C269" s="122"/>
      <c r="D269" s="122"/>
      <c r="E269" s="122"/>
      <c r="F269" s="123"/>
      <c r="G269" s="123"/>
      <c r="H269" s="123"/>
      <c r="I269" s="123"/>
      <c r="J269" s="123"/>
      <c r="K269" s="123"/>
      <c r="L269" s="123"/>
      <c r="M269" s="123"/>
      <c r="N269" s="123"/>
      <c r="O269" s="123"/>
      <c r="P269" s="123"/>
      <c r="Q269" s="123"/>
      <c r="R269" s="123"/>
      <c r="S269" s="123"/>
      <c r="T269" s="123"/>
      <c r="U269" s="123"/>
      <c r="V269" s="123"/>
      <c r="W269" s="123"/>
      <c r="X269" s="123"/>
      <c r="Y269" s="123"/>
      <c r="Z269" s="123"/>
      <c r="AA269" s="123"/>
      <c r="AB269" s="123"/>
      <c r="AC269" s="123"/>
      <c r="AD269" s="123"/>
      <c r="AE269" s="123"/>
      <c r="AF269" s="123"/>
      <c r="AG269" s="123"/>
      <c r="AH269" s="123"/>
      <c r="AI269" s="123"/>
      <c r="AJ269" s="123"/>
      <c r="AL269" s="80"/>
      <c r="AM269" s="80"/>
      <c r="AN269" s="80"/>
      <c r="AO269" s="80"/>
      <c r="AP269" s="80"/>
      <c r="AQ269" s="80"/>
      <c r="AR269" s="80"/>
      <c r="AS269" s="80"/>
      <c r="AT269" s="80"/>
      <c r="AU269" s="80"/>
      <c r="AV269" s="80"/>
      <c r="AW269" s="80"/>
    </row>
    <row r="270" spans="1:49" s="79" customFormat="1" ht="15.75">
      <c r="A270" s="120"/>
      <c r="B270" s="121"/>
      <c r="C270" s="122"/>
      <c r="D270" s="122"/>
      <c r="E270" s="122"/>
      <c r="F270" s="123"/>
      <c r="G270" s="123"/>
      <c r="H270" s="123"/>
      <c r="I270" s="123"/>
      <c r="J270" s="123"/>
      <c r="K270" s="123"/>
      <c r="L270" s="123"/>
      <c r="M270" s="123"/>
      <c r="N270" s="123"/>
      <c r="O270" s="123"/>
      <c r="P270" s="123"/>
      <c r="Q270" s="123"/>
      <c r="R270" s="123"/>
      <c r="S270" s="123"/>
      <c r="T270" s="123"/>
      <c r="U270" s="123"/>
      <c r="V270" s="123"/>
      <c r="W270" s="123"/>
      <c r="X270" s="123"/>
      <c r="Y270" s="123"/>
      <c r="Z270" s="123"/>
      <c r="AA270" s="123"/>
      <c r="AB270" s="123"/>
      <c r="AC270" s="123"/>
      <c r="AD270" s="123"/>
      <c r="AE270" s="123"/>
      <c r="AF270" s="123"/>
      <c r="AG270" s="123"/>
      <c r="AH270" s="123"/>
      <c r="AI270" s="123"/>
      <c r="AJ270" s="123"/>
      <c r="AL270" s="80"/>
      <c r="AM270" s="80"/>
      <c r="AN270" s="80"/>
      <c r="AO270" s="80"/>
      <c r="AP270" s="80"/>
      <c r="AQ270" s="80"/>
      <c r="AR270" s="80"/>
      <c r="AS270" s="80"/>
      <c r="AT270" s="80"/>
      <c r="AU270" s="80"/>
      <c r="AV270" s="80"/>
      <c r="AW270" s="80"/>
    </row>
    <row r="271" spans="1:49" s="79" customFormat="1" ht="15.75">
      <c r="A271" s="120"/>
      <c r="B271" s="121"/>
      <c r="C271" s="122"/>
      <c r="D271" s="122"/>
      <c r="E271" s="122"/>
      <c r="F271" s="123"/>
      <c r="G271" s="123"/>
      <c r="H271" s="123"/>
      <c r="I271" s="123"/>
      <c r="J271" s="123"/>
      <c r="K271" s="123"/>
      <c r="L271" s="123"/>
      <c r="M271" s="123"/>
      <c r="N271" s="123"/>
      <c r="O271" s="123"/>
      <c r="P271" s="123"/>
      <c r="Q271" s="123"/>
      <c r="R271" s="123"/>
      <c r="S271" s="123"/>
      <c r="T271" s="123"/>
      <c r="U271" s="123"/>
      <c r="V271" s="123"/>
      <c r="W271" s="123"/>
      <c r="X271" s="123"/>
      <c r="Y271" s="123"/>
      <c r="Z271" s="123"/>
      <c r="AA271" s="123"/>
      <c r="AB271" s="123"/>
      <c r="AC271" s="123"/>
      <c r="AD271" s="123"/>
      <c r="AE271" s="123"/>
      <c r="AF271" s="123"/>
      <c r="AG271" s="123"/>
      <c r="AH271" s="123"/>
      <c r="AI271" s="123"/>
      <c r="AJ271" s="123"/>
      <c r="AL271" s="80"/>
      <c r="AM271" s="80"/>
      <c r="AN271" s="80"/>
      <c r="AO271" s="80"/>
      <c r="AP271" s="80"/>
      <c r="AQ271" s="80"/>
      <c r="AR271" s="80"/>
      <c r="AS271" s="80"/>
      <c r="AT271" s="80"/>
      <c r="AU271" s="80"/>
      <c r="AV271" s="80"/>
      <c r="AW271" s="80"/>
    </row>
    <row r="272" spans="1:49" s="79" customFormat="1" ht="15.75">
      <c r="A272" s="120"/>
      <c r="B272" s="121"/>
      <c r="C272" s="122"/>
      <c r="D272" s="122"/>
      <c r="E272" s="122"/>
      <c r="F272" s="123"/>
      <c r="G272" s="123"/>
      <c r="H272" s="123"/>
      <c r="I272" s="123"/>
      <c r="J272" s="123"/>
      <c r="K272" s="123"/>
      <c r="L272" s="123"/>
      <c r="M272" s="123"/>
      <c r="N272" s="123"/>
      <c r="O272" s="123"/>
      <c r="P272" s="123"/>
      <c r="Q272" s="123"/>
      <c r="R272" s="123"/>
      <c r="S272" s="123"/>
      <c r="T272" s="123"/>
      <c r="U272" s="123"/>
      <c r="V272" s="123"/>
      <c r="W272" s="123"/>
      <c r="X272" s="123"/>
      <c r="Y272" s="123"/>
      <c r="Z272" s="123"/>
      <c r="AA272" s="123"/>
      <c r="AB272" s="123"/>
      <c r="AC272" s="123"/>
      <c r="AD272" s="123"/>
      <c r="AE272" s="123"/>
      <c r="AF272" s="123"/>
      <c r="AG272" s="123"/>
      <c r="AH272" s="123"/>
      <c r="AI272" s="123"/>
      <c r="AJ272" s="123"/>
      <c r="AL272" s="80"/>
      <c r="AM272" s="80"/>
      <c r="AN272" s="80"/>
      <c r="AO272" s="80"/>
      <c r="AP272" s="80"/>
      <c r="AQ272" s="80"/>
      <c r="AR272" s="80"/>
      <c r="AS272" s="80"/>
      <c r="AT272" s="80"/>
      <c r="AU272" s="80"/>
      <c r="AV272" s="80"/>
      <c r="AW272" s="80"/>
    </row>
    <row r="273" spans="1:49" s="79" customFormat="1" ht="15.75">
      <c r="A273" s="120"/>
      <c r="B273" s="121"/>
      <c r="C273" s="122"/>
      <c r="D273" s="122"/>
      <c r="E273" s="122"/>
      <c r="F273" s="123"/>
      <c r="G273" s="123"/>
      <c r="H273" s="123"/>
      <c r="I273" s="123"/>
      <c r="J273" s="123"/>
      <c r="K273" s="123"/>
      <c r="L273" s="123"/>
      <c r="M273" s="123"/>
      <c r="N273" s="123"/>
      <c r="O273" s="123"/>
      <c r="P273" s="123"/>
      <c r="Q273" s="123"/>
      <c r="R273" s="123"/>
      <c r="S273" s="123"/>
      <c r="T273" s="123"/>
      <c r="U273" s="123"/>
      <c r="V273" s="123"/>
      <c r="W273" s="123"/>
      <c r="X273" s="123"/>
      <c r="Y273" s="123"/>
      <c r="Z273" s="123"/>
      <c r="AA273" s="123"/>
      <c r="AB273" s="123"/>
      <c r="AC273" s="123"/>
      <c r="AD273" s="123"/>
      <c r="AE273" s="123"/>
      <c r="AF273" s="123"/>
      <c r="AG273" s="123"/>
      <c r="AH273" s="123"/>
      <c r="AI273" s="123"/>
      <c r="AJ273" s="123"/>
      <c r="AL273" s="80"/>
      <c r="AM273" s="80"/>
      <c r="AN273" s="80"/>
      <c r="AO273" s="80"/>
      <c r="AP273" s="80"/>
      <c r="AQ273" s="80"/>
      <c r="AR273" s="80"/>
      <c r="AS273" s="80"/>
      <c r="AT273" s="80"/>
      <c r="AU273" s="80"/>
      <c r="AV273" s="80"/>
      <c r="AW273" s="80"/>
    </row>
    <row r="274" spans="1:49" s="79" customFormat="1" ht="15.75">
      <c r="A274" s="120"/>
      <c r="B274" s="121"/>
      <c r="C274" s="122"/>
      <c r="D274" s="122"/>
      <c r="E274" s="122"/>
      <c r="F274" s="123"/>
      <c r="G274" s="123"/>
      <c r="H274" s="123"/>
      <c r="I274" s="123"/>
      <c r="J274" s="123"/>
      <c r="K274" s="123"/>
      <c r="L274" s="123"/>
      <c r="M274" s="123"/>
      <c r="N274" s="123"/>
      <c r="O274" s="123"/>
      <c r="P274" s="123"/>
      <c r="Q274" s="123"/>
      <c r="R274" s="123"/>
      <c r="S274" s="123"/>
      <c r="T274" s="123"/>
      <c r="U274" s="123"/>
      <c r="V274" s="123"/>
      <c r="W274" s="123"/>
      <c r="X274" s="123"/>
      <c r="Y274" s="123"/>
      <c r="Z274" s="123"/>
      <c r="AA274" s="123"/>
      <c r="AB274" s="123"/>
      <c r="AC274" s="123"/>
      <c r="AD274" s="123"/>
      <c r="AE274" s="123"/>
      <c r="AF274" s="123"/>
      <c r="AG274" s="123"/>
      <c r="AH274" s="123"/>
      <c r="AI274" s="123"/>
      <c r="AJ274" s="123"/>
      <c r="AL274" s="80"/>
      <c r="AM274" s="80"/>
      <c r="AN274" s="80"/>
      <c r="AO274" s="80"/>
      <c r="AP274" s="80"/>
      <c r="AQ274" s="80"/>
      <c r="AR274" s="80"/>
      <c r="AS274" s="80"/>
      <c r="AT274" s="80"/>
      <c r="AU274" s="80"/>
      <c r="AV274" s="80"/>
      <c r="AW274" s="80"/>
    </row>
    <row r="275" spans="1:49" s="79" customFormat="1" ht="15.75">
      <c r="A275" s="120"/>
      <c r="B275" s="121"/>
      <c r="C275" s="122"/>
      <c r="D275" s="122"/>
      <c r="E275" s="122"/>
      <c r="F275" s="123"/>
      <c r="G275" s="123"/>
      <c r="H275" s="123"/>
      <c r="I275" s="123"/>
      <c r="J275" s="123"/>
      <c r="K275" s="123"/>
      <c r="L275" s="123"/>
      <c r="M275" s="123"/>
      <c r="N275" s="123"/>
      <c r="O275" s="123"/>
      <c r="P275" s="123"/>
      <c r="Q275" s="123"/>
      <c r="R275" s="123"/>
      <c r="S275" s="123"/>
      <c r="T275" s="123"/>
      <c r="U275" s="123"/>
      <c r="V275" s="123"/>
      <c r="W275" s="123"/>
      <c r="X275" s="123"/>
      <c r="Y275" s="123"/>
      <c r="Z275" s="123"/>
      <c r="AA275" s="123"/>
      <c r="AB275" s="123"/>
      <c r="AC275" s="123"/>
      <c r="AD275" s="123"/>
      <c r="AE275" s="123"/>
      <c r="AF275" s="123"/>
      <c r="AG275" s="123"/>
      <c r="AH275" s="123"/>
      <c r="AI275" s="123"/>
      <c r="AJ275" s="123"/>
      <c r="AL275" s="80"/>
      <c r="AM275" s="80"/>
      <c r="AN275" s="80"/>
      <c r="AO275" s="80"/>
      <c r="AP275" s="80"/>
      <c r="AQ275" s="80"/>
      <c r="AR275" s="80"/>
      <c r="AS275" s="80"/>
      <c r="AT275" s="80"/>
      <c r="AU275" s="80"/>
      <c r="AV275" s="80"/>
      <c r="AW275" s="80"/>
    </row>
    <row r="276" spans="1:49" s="79" customFormat="1" ht="15.75">
      <c r="A276" s="120"/>
      <c r="B276" s="121"/>
      <c r="C276" s="122"/>
      <c r="D276" s="122"/>
      <c r="E276" s="122"/>
      <c r="F276" s="123"/>
      <c r="G276" s="123"/>
      <c r="H276" s="123"/>
      <c r="I276" s="123"/>
      <c r="J276" s="123"/>
      <c r="K276" s="123"/>
      <c r="L276" s="123"/>
      <c r="M276" s="123"/>
      <c r="N276" s="123"/>
      <c r="O276" s="123"/>
      <c r="P276" s="123"/>
      <c r="Q276" s="123"/>
      <c r="R276" s="123"/>
      <c r="S276" s="123"/>
      <c r="T276" s="123"/>
      <c r="U276" s="123"/>
      <c r="V276" s="123"/>
      <c r="W276" s="123"/>
      <c r="X276" s="123"/>
      <c r="Y276" s="123"/>
      <c r="Z276" s="123"/>
      <c r="AA276" s="123"/>
      <c r="AB276" s="123"/>
      <c r="AC276" s="123"/>
      <c r="AD276" s="123"/>
      <c r="AE276" s="123"/>
      <c r="AF276" s="123"/>
      <c r="AG276" s="123"/>
      <c r="AH276" s="123"/>
      <c r="AI276" s="123"/>
      <c r="AJ276" s="123"/>
      <c r="AL276" s="80"/>
      <c r="AM276" s="80"/>
      <c r="AN276" s="80"/>
      <c r="AO276" s="80"/>
      <c r="AP276" s="80"/>
      <c r="AQ276" s="80"/>
      <c r="AR276" s="80"/>
      <c r="AS276" s="80"/>
      <c r="AT276" s="80"/>
      <c r="AU276" s="80"/>
      <c r="AV276" s="80"/>
      <c r="AW276" s="80"/>
    </row>
    <row r="277" spans="1:49" s="79" customFormat="1" ht="15.75">
      <c r="A277" s="120"/>
      <c r="B277" s="121"/>
      <c r="C277" s="122"/>
      <c r="D277" s="122"/>
      <c r="E277" s="122"/>
      <c r="F277" s="123"/>
      <c r="G277" s="123"/>
      <c r="H277" s="123"/>
      <c r="I277" s="123"/>
      <c r="J277" s="123"/>
      <c r="K277" s="123"/>
      <c r="L277" s="123"/>
      <c r="M277" s="123"/>
      <c r="N277" s="123"/>
      <c r="O277" s="123"/>
      <c r="P277" s="123"/>
      <c r="Q277" s="123"/>
      <c r="R277" s="123"/>
      <c r="S277" s="123"/>
      <c r="T277" s="123"/>
      <c r="U277" s="123"/>
      <c r="V277" s="123"/>
      <c r="W277" s="123"/>
      <c r="X277" s="123"/>
      <c r="Y277" s="123"/>
      <c r="Z277" s="123"/>
      <c r="AA277" s="123"/>
      <c r="AB277" s="123"/>
      <c r="AC277" s="123"/>
      <c r="AD277" s="123"/>
      <c r="AE277" s="123"/>
      <c r="AF277" s="123"/>
      <c r="AG277" s="123"/>
      <c r="AH277" s="123"/>
      <c r="AI277" s="123"/>
      <c r="AJ277" s="123"/>
      <c r="AL277" s="80"/>
      <c r="AM277" s="80"/>
      <c r="AN277" s="80"/>
      <c r="AO277" s="80"/>
      <c r="AP277" s="80"/>
      <c r="AQ277" s="80"/>
      <c r="AR277" s="80"/>
      <c r="AS277" s="80"/>
      <c r="AT277" s="80"/>
      <c r="AU277" s="80"/>
      <c r="AV277" s="80"/>
      <c r="AW277" s="80"/>
    </row>
    <row r="278" spans="1:49" s="79" customFormat="1" ht="15.75">
      <c r="A278" s="120"/>
      <c r="B278" s="121"/>
      <c r="C278" s="122"/>
      <c r="D278" s="122"/>
      <c r="E278" s="122"/>
      <c r="F278" s="123"/>
      <c r="G278" s="123"/>
      <c r="H278" s="123"/>
      <c r="I278" s="123"/>
      <c r="J278" s="123"/>
      <c r="K278" s="123"/>
      <c r="L278" s="123"/>
      <c r="M278" s="123"/>
      <c r="N278" s="123"/>
      <c r="O278" s="123"/>
      <c r="P278" s="123"/>
      <c r="Q278" s="123"/>
      <c r="R278" s="123"/>
      <c r="S278" s="123"/>
      <c r="T278" s="123"/>
      <c r="U278" s="123"/>
      <c r="V278" s="123"/>
      <c r="W278" s="123"/>
      <c r="X278" s="123"/>
      <c r="Y278" s="123"/>
      <c r="Z278" s="123"/>
      <c r="AA278" s="123"/>
      <c r="AB278" s="123"/>
      <c r="AC278" s="123"/>
      <c r="AD278" s="123"/>
      <c r="AE278" s="123"/>
      <c r="AF278" s="123"/>
      <c r="AG278" s="123"/>
      <c r="AH278" s="123"/>
      <c r="AI278" s="123"/>
      <c r="AJ278" s="123"/>
      <c r="AL278" s="80"/>
      <c r="AM278" s="80"/>
      <c r="AN278" s="80"/>
      <c r="AO278" s="80"/>
      <c r="AP278" s="80"/>
      <c r="AQ278" s="80"/>
      <c r="AR278" s="80"/>
      <c r="AS278" s="80"/>
      <c r="AT278" s="80"/>
      <c r="AU278" s="80"/>
      <c r="AV278" s="80"/>
      <c r="AW278" s="80"/>
    </row>
    <row r="279" spans="1:49" s="79" customFormat="1" ht="15.75">
      <c r="A279" s="120"/>
      <c r="B279" s="121"/>
      <c r="C279" s="122"/>
      <c r="D279" s="122"/>
      <c r="E279" s="122"/>
      <c r="F279" s="123"/>
      <c r="G279" s="123"/>
      <c r="H279" s="123"/>
      <c r="I279" s="123"/>
      <c r="J279" s="123"/>
      <c r="K279" s="123"/>
      <c r="L279" s="123"/>
      <c r="M279" s="123"/>
      <c r="N279" s="123"/>
      <c r="O279" s="123"/>
      <c r="P279" s="123"/>
      <c r="Q279" s="123"/>
      <c r="R279" s="123"/>
      <c r="S279" s="123"/>
      <c r="T279" s="123"/>
      <c r="U279" s="123"/>
      <c r="V279" s="123"/>
      <c r="W279" s="123"/>
      <c r="X279" s="123"/>
      <c r="Y279" s="123"/>
      <c r="Z279" s="123"/>
      <c r="AA279" s="123"/>
      <c r="AB279" s="123"/>
      <c r="AC279" s="123"/>
      <c r="AD279" s="123"/>
      <c r="AE279" s="123"/>
      <c r="AF279" s="123"/>
      <c r="AG279" s="123"/>
      <c r="AH279" s="123"/>
      <c r="AI279" s="123"/>
      <c r="AJ279" s="123"/>
      <c r="AL279" s="80"/>
      <c r="AM279" s="80"/>
      <c r="AN279" s="80"/>
      <c r="AO279" s="80"/>
      <c r="AP279" s="80"/>
      <c r="AQ279" s="80"/>
      <c r="AR279" s="80"/>
      <c r="AS279" s="80"/>
      <c r="AT279" s="80"/>
      <c r="AU279" s="80"/>
      <c r="AV279" s="80"/>
      <c r="AW279" s="80"/>
    </row>
    <row r="280" spans="1:49" s="79" customFormat="1" ht="15.75">
      <c r="A280" s="120"/>
      <c r="B280" s="121"/>
      <c r="C280" s="122"/>
      <c r="D280" s="122"/>
      <c r="E280" s="122"/>
      <c r="F280" s="123"/>
      <c r="G280" s="123"/>
      <c r="H280" s="123"/>
      <c r="I280" s="123"/>
      <c r="J280" s="123"/>
      <c r="K280" s="123"/>
      <c r="L280" s="123"/>
      <c r="M280" s="123"/>
      <c r="N280" s="123"/>
      <c r="O280" s="123"/>
      <c r="P280" s="123"/>
      <c r="Q280" s="123"/>
      <c r="R280" s="123"/>
      <c r="S280" s="123"/>
      <c r="T280" s="123"/>
      <c r="U280" s="123"/>
      <c r="V280" s="123"/>
      <c r="W280" s="123"/>
      <c r="X280" s="123"/>
      <c r="Y280" s="123"/>
      <c r="Z280" s="123"/>
      <c r="AA280" s="123"/>
      <c r="AB280" s="123"/>
      <c r="AC280" s="123"/>
      <c r="AD280" s="123"/>
      <c r="AE280" s="123"/>
      <c r="AF280" s="123"/>
      <c r="AG280" s="123"/>
      <c r="AH280" s="123"/>
      <c r="AI280" s="123"/>
      <c r="AJ280" s="123"/>
      <c r="AL280" s="80"/>
      <c r="AM280" s="80"/>
      <c r="AN280" s="80"/>
      <c r="AO280" s="80"/>
      <c r="AP280" s="80"/>
      <c r="AQ280" s="80"/>
      <c r="AR280" s="80"/>
      <c r="AS280" s="80"/>
      <c r="AT280" s="80"/>
      <c r="AU280" s="80"/>
      <c r="AV280" s="80"/>
      <c r="AW280" s="80"/>
    </row>
    <row r="281" spans="1:49" s="79" customFormat="1" ht="15.75">
      <c r="A281" s="120"/>
      <c r="B281" s="121"/>
      <c r="C281" s="122"/>
      <c r="D281" s="122"/>
      <c r="E281" s="122"/>
      <c r="F281" s="123"/>
      <c r="G281" s="123"/>
      <c r="H281" s="123"/>
      <c r="I281" s="123"/>
      <c r="J281" s="123"/>
      <c r="K281" s="123"/>
      <c r="L281" s="123"/>
      <c r="M281" s="123"/>
      <c r="N281" s="123"/>
      <c r="O281" s="123"/>
      <c r="P281" s="123"/>
      <c r="Q281" s="123"/>
      <c r="R281" s="123"/>
      <c r="S281" s="123"/>
      <c r="T281" s="123"/>
      <c r="U281" s="123"/>
      <c r="V281" s="123"/>
      <c r="W281" s="123"/>
      <c r="X281" s="123"/>
      <c r="Y281" s="123"/>
      <c r="Z281" s="123"/>
      <c r="AA281" s="123"/>
      <c r="AB281" s="123"/>
      <c r="AC281" s="123"/>
      <c r="AD281" s="123"/>
      <c r="AE281" s="123"/>
      <c r="AF281" s="123"/>
      <c r="AG281" s="123"/>
      <c r="AH281" s="123"/>
      <c r="AI281" s="123"/>
      <c r="AJ281" s="123"/>
      <c r="AL281" s="80"/>
      <c r="AM281" s="80"/>
      <c r="AN281" s="80"/>
      <c r="AO281" s="80"/>
      <c r="AP281" s="80"/>
      <c r="AQ281" s="80"/>
      <c r="AR281" s="80"/>
      <c r="AS281" s="80"/>
      <c r="AT281" s="80"/>
      <c r="AU281" s="80"/>
      <c r="AV281" s="80"/>
      <c r="AW281" s="80"/>
    </row>
    <row r="282" spans="1:49" s="79" customFormat="1" ht="15.75">
      <c r="A282" s="120"/>
      <c r="B282" s="121"/>
      <c r="C282" s="122"/>
      <c r="D282" s="122"/>
      <c r="E282" s="122"/>
      <c r="F282" s="123"/>
      <c r="G282" s="123"/>
      <c r="H282" s="123"/>
      <c r="I282" s="123"/>
      <c r="J282" s="123"/>
      <c r="K282" s="123"/>
      <c r="L282" s="123"/>
      <c r="M282" s="123"/>
      <c r="N282" s="123"/>
      <c r="O282" s="123"/>
      <c r="P282" s="123"/>
      <c r="Q282" s="123"/>
      <c r="R282" s="123"/>
      <c r="S282" s="123"/>
      <c r="T282" s="123"/>
      <c r="U282" s="123"/>
      <c r="V282" s="123"/>
      <c r="W282" s="123"/>
      <c r="X282" s="123"/>
      <c r="Y282" s="123"/>
      <c r="Z282" s="123"/>
      <c r="AA282" s="123"/>
      <c r="AB282" s="123"/>
      <c r="AC282" s="123"/>
      <c r="AD282" s="123"/>
      <c r="AE282" s="123"/>
      <c r="AF282" s="123"/>
      <c r="AG282" s="123"/>
      <c r="AH282" s="123"/>
      <c r="AI282" s="123"/>
      <c r="AJ282" s="123"/>
      <c r="AL282" s="80"/>
      <c r="AM282" s="80"/>
      <c r="AN282" s="80"/>
      <c r="AO282" s="80"/>
      <c r="AP282" s="80"/>
      <c r="AQ282" s="80"/>
      <c r="AR282" s="80"/>
      <c r="AS282" s="80"/>
      <c r="AT282" s="80"/>
      <c r="AU282" s="80"/>
      <c r="AV282" s="80"/>
      <c r="AW282" s="80"/>
    </row>
    <row r="283" spans="1:49" s="79" customFormat="1" ht="15.75">
      <c r="A283" s="120"/>
      <c r="B283" s="121"/>
      <c r="C283" s="122"/>
      <c r="D283" s="122"/>
      <c r="E283" s="122"/>
      <c r="F283" s="123"/>
      <c r="G283" s="123"/>
      <c r="H283" s="123"/>
      <c r="I283" s="123"/>
      <c r="J283" s="123"/>
      <c r="K283" s="123"/>
      <c r="L283" s="123"/>
      <c r="M283" s="123"/>
      <c r="N283" s="123"/>
      <c r="O283" s="123"/>
      <c r="P283" s="123"/>
      <c r="Q283" s="123"/>
      <c r="R283" s="123"/>
      <c r="S283" s="123"/>
      <c r="T283" s="123"/>
      <c r="U283" s="123"/>
      <c r="V283" s="123"/>
      <c r="W283" s="123"/>
      <c r="X283" s="123"/>
      <c r="Y283" s="123"/>
      <c r="Z283" s="123"/>
      <c r="AA283" s="123"/>
      <c r="AB283" s="123"/>
      <c r="AC283" s="123"/>
      <c r="AD283" s="123"/>
      <c r="AE283" s="123"/>
      <c r="AF283" s="123"/>
      <c r="AG283" s="123"/>
      <c r="AH283" s="123"/>
      <c r="AI283" s="123"/>
      <c r="AJ283" s="123"/>
      <c r="AL283" s="80"/>
      <c r="AM283" s="80"/>
      <c r="AN283" s="80"/>
      <c r="AO283" s="80"/>
      <c r="AP283" s="80"/>
      <c r="AQ283" s="80"/>
      <c r="AR283" s="80"/>
      <c r="AS283" s="80"/>
      <c r="AT283" s="80"/>
      <c r="AU283" s="80"/>
      <c r="AV283" s="80"/>
      <c r="AW283" s="80"/>
    </row>
    <row r="284" spans="1:49" s="79" customFormat="1" ht="15.75">
      <c r="A284" s="120"/>
      <c r="B284" s="121"/>
      <c r="C284" s="122"/>
      <c r="D284" s="122"/>
      <c r="E284" s="122"/>
      <c r="F284" s="123"/>
      <c r="G284" s="123"/>
      <c r="H284" s="123"/>
      <c r="I284" s="123"/>
      <c r="J284" s="123"/>
      <c r="K284" s="123"/>
      <c r="L284" s="123"/>
      <c r="M284" s="123"/>
      <c r="N284" s="123"/>
      <c r="O284" s="123"/>
      <c r="P284" s="123"/>
      <c r="Q284" s="123"/>
      <c r="R284" s="123"/>
      <c r="S284" s="123"/>
      <c r="T284" s="123"/>
      <c r="U284" s="123"/>
      <c r="V284" s="123"/>
      <c r="W284" s="123"/>
      <c r="X284" s="123"/>
      <c r="Y284" s="123"/>
      <c r="Z284" s="123"/>
      <c r="AA284" s="123"/>
      <c r="AB284" s="123"/>
      <c r="AC284" s="123"/>
      <c r="AD284" s="123"/>
      <c r="AE284" s="123"/>
      <c r="AF284" s="123"/>
      <c r="AG284" s="123"/>
      <c r="AH284" s="123"/>
      <c r="AI284" s="123"/>
      <c r="AJ284" s="123"/>
      <c r="AL284" s="80"/>
      <c r="AM284" s="80"/>
      <c r="AN284" s="80"/>
      <c r="AO284" s="80"/>
      <c r="AP284" s="80"/>
      <c r="AQ284" s="80"/>
      <c r="AR284" s="80"/>
      <c r="AS284" s="80"/>
      <c r="AT284" s="80"/>
      <c r="AU284" s="80"/>
      <c r="AV284" s="80"/>
      <c r="AW284" s="80"/>
    </row>
    <row r="285" spans="1:49" s="79" customFormat="1" ht="15.75">
      <c r="A285" s="120"/>
      <c r="B285" s="121"/>
      <c r="C285" s="122"/>
      <c r="D285" s="122"/>
      <c r="E285" s="122"/>
      <c r="F285" s="123"/>
      <c r="G285" s="123"/>
      <c r="H285" s="123"/>
      <c r="I285" s="123"/>
      <c r="J285" s="123"/>
      <c r="K285" s="123"/>
      <c r="L285" s="123"/>
      <c r="M285" s="123"/>
      <c r="N285" s="123"/>
      <c r="O285" s="123"/>
      <c r="P285" s="123"/>
      <c r="Q285" s="123"/>
      <c r="R285" s="123"/>
      <c r="S285" s="123"/>
      <c r="T285" s="123"/>
      <c r="U285" s="123"/>
      <c r="V285" s="123"/>
      <c r="W285" s="123"/>
      <c r="X285" s="123"/>
      <c r="Y285" s="123"/>
      <c r="Z285" s="123"/>
      <c r="AA285" s="123"/>
      <c r="AB285" s="123"/>
      <c r="AC285" s="123"/>
      <c r="AD285" s="123"/>
      <c r="AE285" s="123"/>
      <c r="AF285" s="123"/>
      <c r="AG285" s="123"/>
      <c r="AH285" s="123"/>
      <c r="AI285" s="123"/>
      <c r="AJ285" s="123"/>
      <c r="AL285" s="80"/>
      <c r="AM285" s="80"/>
      <c r="AN285" s="80"/>
      <c r="AO285" s="80"/>
      <c r="AP285" s="80"/>
      <c r="AQ285" s="80"/>
      <c r="AR285" s="80"/>
      <c r="AS285" s="80"/>
      <c r="AT285" s="80"/>
      <c r="AU285" s="80"/>
      <c r="AV285" s="80"/>
      <c r="AW285" s="80"/>
    </row>
    <row r="286" spans="1:49" s="79" customFormat="1" ht="15.75">
      <c r="A286" s="120"/>
      <c r="B286" s="121"/>
      <c r="C286" s="122"/>
      <c r="D286" s="122"/>
      <c r="E286" s="122"/>
      <c r="F286" s="123"/>
      <c r="G286" s="123"/>
      <c r="H286" s="123"/>
      <c r="I286" s="123"/>
      <c r="J286" s="123"/>
      <c r="K286" s="123"/>
      <c r="L286" s="123"/>
      <c r="M286" s="123"/>
      <c r="N286" s="123"/>
      <c r="O286" s="123"/>
      <c r="P286" s="123"/>
      <c r="Q286" s="123"/>
      <c r="R286" s="123"/>
      <c r="S286" s="123"/>
      <c r="T286" s="123"/>
      <c r="U286" s="123"/>
      <c r="V286" s="123"/>
      <c r="W286" s="123"/>
      <c r="X286" s="123"/>
      <c r="Y286" s="123"/>
      <c r="Z286" s="123"/>
      <c r="AA286" s="123"/>
      <c r="AB286" s="123"/>
      <c r="AC286" s="123"/>
      <c r="AD286" s="123"/>
      <c r="AE286" s="123"/>
      <c r="AF286" s="123"/>
      <c r="AG286" s="123"/>
      <c r="AH286" s="123"/>
      <c r="AI286" s="123"/>
      <c r="AJ286" s="123"/>
      <c r="AL286" s="80"/>
      <c r="AM286" s="80"/>
      <c r="AN286" s="80"/>
      <c r="AO286" s="80"/>
      <c r="AP286" s="80"/>
      <c r="AQ286" s="80"/>
      <c r="AR286" s="80"/>
      <c r="AS286" s="80"/>
      <c r="AT286" s="80"/>
      <c r="AU286" s="80"/>
      <c r="AV286" s="80"/>
      <c r="AW286" s="80"/>
    </row>
    <row r="287" spans="1:49" s="79" customFormat="1" ht="15.75">
      <c r="A287" s="120"/>
      <c r="B287" s="121"/>
      <c r="C287" s="122"/>
      <c r="D287" s="122"/>
      <c r="E287" s="122"/>
      <c r="F287" s="123"/>
      <c r="G287" s="123"/>
      <c r="H287" s="123"/>
      <c r="I287" s="123"/>
      <c r="J287" s="123"/>
      <c r="K287" s="123"/>
      <c r="L287" s="123"/>
      <c r="M287" s="123"/>
      <c r="N287" s="123"/>
      <c r="O287" s="123"/>
      <c r="P287" s="123"/>
      <c r="Q287" s="123"/>
      <c r="R287" s="123"/>
      <c r="S287" s="123"/>
      <c r="T287" s="123"/>
      <c r="U287" s="123"/>
      <c r="V287" s="123"/>
      <c r="W287" s="123"/>
      <c r="X287" s="123"/>
      <c r="Y287" s="123"/>
      <c r="Z287" s="123"/>
      <c r="AA287" s="123"/>
      <c r="AB287" s="123"/>
      <c r="AC287" s="123"/>
      <c r="AD287" s="123"/>
      <c r="AE287" s="123"/>
      <c r="AF287" s="123"/>
      <c r="AG287" s="123"/>
      <c r="AH287" s="123"/>
      <c r="AI287" s="123"/>
      <c r="AJ287" s="123"/>
      <c r="AL287" s="80"/>
      <c r="AM287" s="80"/>
      <c r="AN287" s="80"/>
      <c r="AO287" s="80"/>
      <c r="AP287" s="80"/>
      <c r="AQ287" s="80"/>
      <c r="AR287" s="80"/>
      <c r="AS287" s="80"/>
      <c r="AT287" s="80"/>
      <c r="AU287" s="80"/>
      <c r="AV287" s="80"/>
      <c r="AW287" s="80"/>
    </row>
    <row r="288" spans="1:49" s="79" customFormat="1" ht="15.75">
      <c r="A288" s="120"/>
      <c r="B288" s="121"/>
      <c r="C288" s="122"/>
      <c r="D288" s="122"/>
      <c r="E288" s="122"/>
      <c r="F288" s="123"/>
      <c r="G288" s="123"/>
      <c r="H288" s="123"/>
      <c r="I288" s="123"/>
      <c r="J288" s="123"/>
      <c r="K288" s="123"/>
      <c r="L288" s="123"/>
      <c r="M288" s="123"/>
      <c r="N288" s="123"/>
      <c r="O288" s="123"/>
      <c r="P288" s="123"/>
      <c r="Q288" s="123"/>
      <c r="R288" s="123"/>
      <c r="S288" s="123"/>
      <c r="T288" s="123"/>
      <c r="U288" s="123"/>
      <c r="V288" s="123"/>
      <c r="W288" s="123"/>
      <c r="X288" s="123"/>
      <c r="Y288" s="123"/>
      <c r="Z288" s="123"/>
      <c r="AA288" s="123"/>
      <c r="AB288" s="123"/>
      <c r="AC288" s="123"/>
      <c r="AD288" s="123"/>
      <c r="AE288" s="123"/>
      <c r="AF288" s="123"/>
      <c r="AG288" s="123"/>
      <c r="AH288" s="123"/>
      <c r="AI288" s="123"/>
      <c r="AJ288" s="123"/>
      <c r="AL288" s="80"/>
      <c r="AM288" s="80"/>
      <c r="AN288" s="80"/>
      <c r="AO288" s="80"/>
      <c r="AP288" s="80"/>
      <c r="AQ288" s="80"/>
      <c r="AR288" s="80"/>
      <c r="AS288" s="80"/>
      <c r="AT288" s="80"/>
      <c r="AU288" s="80"/>
      <c r="AV288" s="80"/>
      <c r="AW288" s="80"/>
    </row>
    <row r="289" spans="1:49" s="79" customFormat="1" ht="15.75">
      <c r="A289" s="120"/>
      <c r="B289" s="121"/>
      <c r="C289" s="122"/>
      <c r="D289" s="122"/>
      <c r="E289" s="122"/>
      <c r="F289" s="123"/>
      <c r="G289" s="123"/>
      <c r="H289" s="123"/>
      <c r="I289" s="123"/>
      <c r="J289" s="123"/>
      <c r="K289" s="123"/>
      <c r="L289" s="123"/>
      <c r="M289" s="123"/>
      <c r="N289" s="123"/>
      <c r="O289" s="123"/>
      <c r="P289" s="123"/>
      <c r="Q289" s="123"/>
      <c r="R289" s="123"/>
      <c r="S289" s="123"/>
      <c r="T289" s="123"/>
      <c r="U289" s="123"/>
      <c r="V289" s="123"/>
      <c r="W289" s="123"/>
      <c r="X289" s="123"/>
      <c r="Y289" s="123"/>
      <c r="Z289" s="123"/>
      <c r="AA289" s="123"/>
      <c r="AB289" s="123"/>
      <c r="AC289" s="123"/>
      <c r="AD289" s="123"/>
      <c r="AE289" s="123"/>
      <c r="AF289" s="123"/>
      <c r="AG289" s="123"/>
      <c r="AH289" s="123"/>
      <c r="AI289" s="123"/>
      <c r="AJ289" s="123"/>
      <c r="AL289" s="80"/>
      <c r="AM289" s="80"/>
      <c r="AN289" s="80"/>
      <c r="AO289" s="80"/>
      <c r="AP289" s="80"/>
      <c r="AQ289" s="80"/>
      <c r="AR289" s="80"/>
      <c r="AS289" s="80"/>
      <c r="AT289" s="80"/>
      <c r="AU289" s="80"/>
      <c r="AV289" s="80"/>
      <c r="AW289" s="80"/>
    </row>
    <row r="290" spans="1:49" s="79" customFormat="1" ht="15.75">
      <c r="A290" s="120"/>
      <c r="B290" s="121"/>
      <c r="C290" s="122"/>
      <c r="D290" s="122"/>
      <c r="E290" s="122"/>
      <c r="F290" s="123"/>
      <c r="G290" s="123"/>
      <c r="H290" s="123"/>
      <c r="I290" s="123"/>
      <c r="J290" s="123"/>
      <c r="K290" s="123"/>
      <c r="L290" s="123"/>
      <c r="M290" s="123"/>
      <c r="N290" s="123"/>
      <c r="O290" s="123"/>
      <c r="P290" s="123"/>
      <c r="Q290" s="123"/>
      <c r="R290" s="123"/>
      <c r="S290" s="123"/>
      <c r="T290" s="123"/>
      <c r="U290" s="123"/>
      <c r="V290" s="123"/>
      <c r="W290" s="123"/>
      <c r="X290" s="123"/>
      <c r="Y290" s="123"/>
      <c r="Z290" s="123"/>
      <c r="AA290" s="123"/>
      <c r="AB290" s="123"/>
      <c r="AC290" s="123"/>
      <c r="AD290" s="123"/>
      <c r="AE290" s="123"/>
      <c r="AF290" s="123"/>
      <c r="AG290" s="123"/>
      <c r="AH290" s="123"/>
      <c r="AI290" s="123"/>
      <c r="AJ290" s="123"/>
      <c r="AL290" s="80"/>
      <c r="AM290" s="80"/>
      <c r="AN290" s="80"/>
      <c r="AO290" s="80"/>
      <c r="AP290" s="80"/>
      <c r="AQ290" s="80"/>
      <c r="AR290" s="80"/>
      <c r="AS290" s="80"/>
      <c r="AT290" s="80"/>
      <c r="AU290" s="80"/>
      <c r="AV290" s="80"/>
      <c r="AW290" s="80"/>
    </row>
    <row r="291" spans="1:49" s="79" customFormat="1" ht="15.75">
      <c r="A291" s="120"/>
      <c r="B291" s="121"/>
      <c r="C291" s="122"/>
      <c r="D291" s="122"/>
      <c r="E291" s="122"/>
      <c r="F291" s="123"/>
      <c r="G291" s="123"/>
      <c r="H291" s="123"/>
      <c r="I291" s="123"/>
      <c r="J291" s="123"/>
      <c r="K291" s="123"/>
      <c r="L291" s="123"/>
      <c r="M291" s="123"/>
      <c r="N291" s="123"/>
      <c r="O291" s="123"/>
      <c r="P291" s="123"/>
      <c r="Q291" s="123"/>
      <c r="R291" s="123"/>
      <c r="S291" s="123"/>
      <c r="T291" s="123"/>
      <c r="U291" s="123"/>
      <c r="V291" s="123"/>
      <c r="W291" s="123"/>
      <c r="X291" s="123"/>
      <c r="Y291" s="123"/>
      <c r="Z291" s="123"/>
      <c r="AA291" s="123"/>
      <c r="AB291" s="123"/>
      <c r="AC291" s="123"/>
      <c r="AD291" s="123"/>
      <c r="AE291" s="123"/>
      <c r="AF291" s="123"/>
      <c r="AG291" s="123"/>
      <c r="AH291" s="123"/>
      <c r="AI291" s="123"/>
      <c r="AJ291" s="123"/>
      <c r="AL291" s="80"/>
      <c r="AM291" s="80"/>
      <c r="AN291" s="80"/>
      <c r="AO291" s="80"/>
      <c r="AP291" s="80"/>
      <c r="AQ291" s="80"/>
      <c r="AR291" s="80"/>
      <c r="AS291" s="80"/>
      <c r="AT291" s="80"/>
      <c r="AU291" s="80"/>
      <c r="AV291" s="80"/>
      <c r="AW291" s="80"/>
    </row>
    <row r="292" spans="1:49" s="79" customFormat="1" ht="15.75">
      <c r="A292" s="120"/>
      <c r="B292" s="121"/>
      <c r="C292" s="122"/>
      <c r="D292" s="122"/>
      <c r="E292" s="122"/>
      <c r="F292" s="123"/>
      <c r="G292" s="123"/>
      <c r="H292" s="123"/>
      <c r="I292" s="123"/>
      <c r="J292" s="123"/>
      <c r="K292" s="123"/>
      <c r="L292" s="123"/>
      <c r="M292" s="123"/>
      <c r="N292" s="123"/>
      <c r="O292" s="123"/>
      <c r="P292" s="123"/>
      <c r="Q292" s="123"/>
      <c r="R292" s="123"/>
      <c r="S292" s="123"/>
      <c r="T292" s="123"/>
      <c r="U292" s="123"/>
      <c r="V292" s="123"/>
      <c r="W292" s="123"/>
      <c r="X292" s="123"/>
      <c r="Y292" s="123"/>
      <c r="Z292" s="123"/>
      <c r="AA292" s="123"/>
      <c r="AB292" s="123"/>
      <c r="AC292" s="123"/>
      <c r="AD292" s="123"/>
      <c r="AE292" s="123"/>
      <c r="AF292" s="123"/>
      <c r="AG292" s="123"/>
      <c r="AH292" s="123"/>
      <c r="AI292" s="123"/>
      <c r="AJ292" s="123"/>
      <c r="AL292" s="80"/>
      <c r="AM292" s="80"/>
      <c r="AN292" s="80"/>
      <c r="AO292" s="80"/>
      <c r="AP292" s="80"/>
      <c r="AQ292" s="80"/>
      <c r="AR292" s="80"/>
      <c r="AS292" s="80"/>
      <c r="AT292" s="80"/>
      <c r="AU292" s="80"/>
      <c r="AV292" s="80"/>
      <c r="AW292" s="80"/>
    </row>
    <row r="293" spans="1:49" s="79" customFormat="1" ht="15.75">
      <c r="A293" s="120"/>
      <c r="B293" s="121"/>
      <c r="C293" s="122"/>
      <c r="D293" s="122"/>
      <c r="E293" s="122"/>
      <c r="F293" s="123"/>
      <c r="G293" s="123"/>
      <c r="H293" s="123"/>
      <c r="I293" s="123"/>
      <c r="J293" s="123"/>
      <c r="K293" s="123"/>
      <c r="L293" s="123"/>
      <c r="M293" s="123"/>
      <c r="N293" s="123"/>
      <c r="O293" s="123"/>
      <c r="P293" s="123"/>
      <c r="Q293" s="123"/>
      <c r="R293" s="123"/>
      <c r="S293" s="123"/>
      <c r="T293" s="123"/>
      <c r="U293" s="123"/>
      <c r="V293" s="123"/>
      <c r="W293" s="123"/>
      <c r="X293" s="123"/>
      <c r="Y293" s="123"/>
      <c r="Z293" s="123"/>
      <c r="AA293" s="123"/>
      <c r="AB293" s="123"/>
      <c r="AC293" s="123"/>
      <c r="AD293" s="123"/>
      <c r="AE293" s="123"/>
      <c r="AF293" s="123"/>
      <c r="AG293" s="123"/>
      <c r="AH293" s="123"/>
      <c r="AI293" s="123"/>
      <c r="AJ293" s="123"/>
      <c r="AL293" s="80"/>
      <c r="AM293" s="80"/>
      <c r="AN293" s="80"/>
      <c r="AO293" s="80"/>
      <c r="AP293" s="80"/>
      <c r="AQ293" s="80"/>
      <c r="AR293" s="80"/>
      <c r="AS293" s="80"/>
      <c r="AT293" s="80"/>
      <c r="AU293" s="80"/>
      <c r="AV293" s="80"/>
      <c r="AW293" s="80"/>
    </row>
    <row r="294" spans="1:49" s="79" customFormat="1" ht="15.75">
      <c r="A294" s="120"/>
      <c r="B294" s="121"/>
      <c r="C294" s="122"/>
      <c r="D294" s="122"/>
      <c r="E294" s="122"/>
      <c r="F294" s="123"/>
      <c r="G294" s="123"/>
      <c r="H294" s="123"/>
      <c r="I294" s="123"/>
      <c r="J294" s="123"/>
      <c r="K294" s="123"/>
      <c r="L294" s="123"/>
      <c r="M294" s="123"/>
      <c r="N294" s="123"/>
      <c r="O294" s="123"/>
      <c r="P294" s="123"/>
      <c r="Q294" s="123"/>
      <c r="R294" s="123"/>
      <c r="S294" s="123"/>
      <c r="T294" s="123"/>
      <c r="U294" s="123"/>
      <c r="V294" s="123"/>
      <c r="W294" s="123"/>
      <c r="X294" s="123"/>
      <c r="Y294" s="123"/>
      <c r="Z294" s="123"/>
      <c r="AA294" s="123"/>
      <c r="AB294" s="123"/>
      <c r="AC294" s="123"/>
      <c r="AD294" s="123"/>
      <c r="AE294" s="123"/>
      <c r="AF294" s="123"/>
      <c r="AG294" s="123"/>
      <c r="AH294" s="123"/>
      <c r="AI294" s="123"/>
      <c r="AJ294" s="123"/>
      <c r="AL294" s="80"/>
      <c r="AM294" s="80"/>
      <c r="AN294" s="80"/>
      <c r="AO294" s="80"/>
      <c r="AP294" s="80"/>
      <c r="AQ294" s="80"/>
      <c r="AR294" s="80"/>
      <c r="AS294" s="80"/>
      <c r="AT294" s="80"/>
      <c r="AU294" s="80"/>
      <c r="AV294" s="80"/>
      <c r="AW294" s="80"/>
    </row>
    <row r="295" spans="1:49" s="79" customFormat="1" ht="15.75">
      <c r="A295" s="120"/>
      <c r="B295" s="121"/>
      <c r="C295" s="122"/>
      <c r="D295" s="122"/>
      <c r="E295" s="122"/>
      <c r="F295" s="123"/>
      <c r="G295" s="123"/>
      <c r="H295" s="123"/>
      <c r="I295" s="123"/>
      <c r="J295" s="123"/>
      <c r="K295" s="123"/>
      <c r="L295" s="123"/>
      <c r="M295" s="123"/>
      <c r="N295" s="123"/>
      <c r="O295" s="123"/>
      <c r="P295" s="123"/>
      <c r="Q295" s="123"/>
      <c r="R295" s="123"/>
      <c r="S295" s="123"/>
      <c r="T295" s="123"/>
      <c r="U295" s="123"/>
      <c r="V295" s="123"/>
      <c r="W295" s="123"/>
      <c r="X295" s="123"/>
      <c r="Y295" s="123"/>
      <c r="Z295" s="123"/>
      <c r="AA295" s="123"/>
      <c r="AB295" s="123"/>
      <c r="AC295" s="123"/>
      <c r="AD295" s="123"/>
      <c r="AE295" s="123"/>
      <c r="AF295" s="123"/>
      <c r="AG295" s="123"/>
      <c r="AH295" s="123"/>
      <c r="AI295" s="123"/>
      <c r="AJ295" s="123"/>
      <c r="AL295" s="80"/>
      <c r="AM295" s="80"/>
      <c r="AN295" s="80"/>
      <c r="AO295" s="80"/>
      <c r="AP295" s="80"/>
      <c r="AQ295" s="80"/>
      <c r="AR295" s="80"/>
      <c r="AS295" s="80"/>
      <c r="AT295" s="80"/>
      <c r="AU295" s="80"/>
      <c r="AV295" s="80"/>
      <c r="AW295" s="80"/>
    </row>
    <row r="296" spans="1:49" s="79" customFormat="1" ht="15.75">
      <c r="A296" s="120"/>
      <c r="B296" s="121"/>
      <c r="C296" s="122"/>
      <c r="D296" s="122"/>
      <c r="E296" s="122"/>
      <c r="F296" s="123"/>
      <c r="G296" s="123"/>
      <c r="H296" s="123"/>
      <c r="I296" s="123"/>
      <c r="J296" s="123"/>
      <c r="K296" s="123"/>
      <c r="L296" s="123"/>
      <c r="M296" s="123"/>
      <c r="N296" s="123"/>
      <c r="O296" s="123"/>
      <c r="P296" s="123"/>
      <c r="Q296" s="123"/>
      <c r="R296" s="123"/>
      <c r="S296" s="123"/>
      <c r="T296" s="123"/>
      <c r="U296" s="123"/>
      <c r="V296" s="123"/>
      <c r="W296" s="123"/>
      <c r="X296" s="123"/>
      <c r="Y296" s="123"/>
      <c r="Z296" s="123"/>
      <c r="AA296" s="123"/>
      <c r="AB296" s="123"/>
      <c r="AC296" s="123"/>
      <c r="AD296" s="123"/>
      <c r="AE296" s="123"/>
      <c r="AF296" s="123"/>
      <c r="AG296" s="123"/>
      <c r="AH296" s="123"/>
      <c r="AI296" s="123"/>
      <c r="AJ296" s="123"/>
      <c r="AL296" s="80"/>
      <c r="AM296" s="80"/>
      <c r="AN296" s="80"/>
      <c r="AO296" s="80"/>
      <c r="AP296" s="80"/>
      <c r="AQ296" s="80"/>
      <c r="AR296" s="80"/>
      <c r="AS296" s="80"/>
      <c r="AT296" s="80"/>
      <c r="AU296" s="80"/>
      <c r="AV296" s="80"/>
      <c r="AW296" s="80"/>
    </row>
    <row r="297" spans="1:49" s="79" customFormat="1" ht="15.75">
      <c r="A297" s="120"/>
      <c r="B297" s="121"/>
      <c r="C297" s="122"/>
      <c r="D297" s="122"/>
      <c r="E297" s="122"/>
      <c r="F297" s="123"/>
      <c r="G297" s="123"/>
      <c r="H297" s="123"/>
      <c r="I297" s="123"/>
      <c r="J297" s="123"/>
      <c r="K297" s="123"/>
      <c r="L297" s="123"/>
      <c r="M297" s="123"/>
      <c r="N297" s="123"/>
      <c r="O297" s="123"/>
      <c r="P297" s="123"/>
      <c r="Q297" s="123"/>
      <c r="R297" s="123"/>
      <c r="S297" s="123"/>
      <c r="T297" s="123"/>
      <c r="U297" s="123"/>
      <c r="V297" s="123"/>
      <c r="W297" s="123"/>
      <c r="X297" s="123"/>
      <c r="Y297" s="123"/>
      <c r="Z297" s="123"/>
      <c r="AA297" s="123"/>
      <c r="AB297" s="123"/>
      <c r="AC297" s="123"/>
      <c r="AD297" s="123"/>
      <c r="AE297" s="123"/>
      <c r="AF297" s="123"/>
      <c r="AG297" s="123"/>
      <c r="AH297" s="123"/>
      <c r="AI297" s="123"/>
      <c r="AJ297" s="123"/>
      <c r="AL297" s="80"/>
      <c r="AM297" s="80"/>
      <c r="AN297" s="80"/>
      <c r="AO297" s="80"/>
      <c r="AP297" s="80"/>
      <c r="AQ297" s="80"/>
      <c r="AR297" s="80"/>
      <c r="AS297" s="80"/>
      <c r="AT297" s="80"/>
      <c r="AU297" s="80"/>
      <c r="AV297" s="80"/>
      <c r="AW297" s="80"/>
    </row>
    <row r="298" spans="1:49" s="79" customFormat="1" ht="15.75">
      <c r="A298" s="120"/>
      <c r="B298" s="121"/>
      <c r="C298" s="122"/>
      <c r="D298" s="122"/>
      <c r="E298" s="122"/>
      <c r="F298" s="123"/>
      <c r="G298" s="123"/>
      <c r="H298" s="123"/>
      <c r="I298" s="123"/>
      <c r="J298" s="123"/>
      <c r="K298" s="123"/>
      <c r="L298" s="123"/>
      <c r="M298" s="123"/>
      <c r="N298" s="123"/>
      <c r="O298" s="123"/>
      <c r="P298" s="123"/>
      <c r="Q298" s="123"/>
      <c r="R298" s="123"/>
      <c r="S298" s="123"/>
      <c r="T298" s="123"/>
      <c r="U298" s="123"/>
      <c r="V298" s="123"/>
      <c r="W298" s="123"/>
      <c r="X298" s="123"/>
      <c r="Y298" s="123"/>
      <c r="Z298" s="123"/>
      <c r="AA298" s="123"/>
      <c r="AB298" s="123"/>
      <c r="AC298" s="123"/>
      <c r="AD298" s="123"/>
      <c r="AE298" s="123"/>
      <c r="AF298" s="123"/>
      <c r="AG298" s="123"/>
      <c r="AH298" s="123"/>
      <c r="AI298" s="123"/>
      <c r="AJ298" s="123"/>
      <c r="AL298" s="80"/>
      <c r="AM298" s="80"/>
      <c r="AN298" s="80"/>
      <c r="AO298" s="80"/>
      <c r="AP298" s="80"/>
      <c r="AQ298" s="80"/>
      <c r="AR298" s="80"/>
      <c r="AS298" s="80"/>
      <c r="AT298" s="80"/>
      <c r="AU298" s="80"/>
      <c r="AV298" s="80"/>
      <c r="AW298" s="80"/>
    </row>
    <row r="299" spans="1:49" s="79" customFormat="1" ht="15.75">
      <c r="A299" s="120"/>
      <c r="B299" s="121"/>
      <c r="C299" s="122"/>
      <c r="D299" s="122"/>
      <c r="E299" s="122"/>
      <c r="F299" s="123"/>
      <c r="G299" s="123"/>
      <c r="H299" s="123"/>
      <c r="I299" s="123"/>
      <c r="J299" s="123"/>
      <c r="K299" s="123"/>
      <c r="L299" s="123"/>
      <c r="M299" s="123"/>
      <c r="N299" s="123"/>
      <c r="O299" s="123"/>
      <c r="P299" s="123"/>
      <c r="Q299" s="123"/>
      <c r="R299" s="123"/>
      <c r="S299" s="123"/>
      <c r="T299" s="123"/>
      <c r="U299" s="123"/>
      <c r="V299" s="123"/>
      <c r="W299" s="123"/>
      <c r="X299" s="123"/>
      <c r="Y299" s="123"/>
      <c r="Z299" s="123"/>
      <c r="AA299" s="123"/>
      <c r="AB299" s="123"/>
      <c r="AC299" s="123"/>
      <c r="AD299" s="123"/>
      <c r="AE299" s="123"/>
      <c r="AF299" s="123"/>
      <c r="AG299" s="123"/>
      <c r="AH299" s="123"/>
      <c r="AI299" s="123"/>
      <c r="AJ299" s="123"/>
      <c r="AL299" s="80"/>
      <c r="AM299" s="80"/>
      <c r="AN299" s="80"/>
      <c r="AO299" s="80"/>
      <c r="AP299" s="80"/>
      <c r="AQ299" s="80"/>
      <c r="AR299" s="80"/>
      <c r="AS299" s="80"/>
      <c r="AT299" s="80"/>
      <c r="AU299" s="80"/>
      <c r="AV299" s="80"/>
      <c r="AW299" s="80"/>
    </row>
    <row r="300" spans="1:49" s="79" customFormat="1" ht="15.75">
      <c r="A300" s="120"/>
      <c r="B300" s="121"/>
      <c r="C300" s="122"/>
      <c r="D300" s="122"/>
      <c r="E300" s="122"/>
      <c r="F300" s="123"/>
      <c r="G300" s="123"/>
      <c r="H300" s="123"/>
      <c r="I300" s="123"/>
      <c r="J300" s="123"/>
      <c r="K300" s="123"/>
      <c r="L300" s="123"/>
      <c r="M300" s="123"/>
      <c r="N300" s="123"/>
      <c r="O300" s="123"/>
      <c r="P300" s="123"/>
      <c r="Q300" s="123"/>
      <c r="R300" s="123"/>
      <c r="S300" s="123"/>
      <c r="T300" s="123"/>
      <c r="U300" s="123"/>
      <c r="V300" s="123"/>
      <c r="W300" s="123"/>
      <c r="X300" s="123"/>
      <c r="Y300" s="123"/>
      <c r="Z300" s="123"/>
      <c r="AA300" s="123"/>
      <c r="AB300" s="123"/>
      <c r="AC300" s="123"/>
      <c r="AD300" s="123"/>
      <c r="AE300" s="123"/>
      <c r="AF300" s="123"/>
      <c r="AG300" s="123"/>
      <c r="AH300" s="123"/>
      <c r="AI300" s="123"/>
      <c r="AJ300" s="123"/>
      <c r="AL300" s="80"/>
      <c r="AM300" s="80"/>
      <c r="AN300" s="80"/>
      <c r="AO300" s="80"/>
      <c r="AP300" s="80"/>
      <c r="AQ300" s="80"/>
      <c r="AR300" s="80"/>
      <c r="AS300" s="80"/>
      <c r="AT300" s="80"/>
      <c r="AU300" s="80"/>
      <c r="AV300" s="80"/>
      <c r="AW300" s="80"/>
    </row>
    <row r="301" spans="1:49" s="79" customFormat="1" ht="15.75">
      <c r="A301" s="120"/>
      <c r="B301" s="121"/>
      <c r="C301" s="122"/>
      <c r="D301" s="122"/>
      <c r="E301" s="122"/>
      <c r="F301" s="123"/>
      <c r="G301" s="123"/>
      <c r="H301" s="123"/>
      <c r="I301" s="123"/>
      <c r="J301" s="123"/>
      <c r="K301" s="123"/>
      <c r="L301" s="123"/>
      <c r="M301" s="123"/>
      <c r="N301" s="123"/>
      <c r="O301" s="123"/>
      <c r="P301" s="123"/>
      <c r="Q301" s="123"/>
      <c r="R301" s="123"/>
      <c r="S301" s="123"/>
      <c r="T301" s="123"/>
      <c r="U301" s="123"/>
      <c r="V301" s="123"/>
      <c r="W301" s="123"/>
      <c r="X301" s="123"/>
      <c r="Y301" s="123"/>
      <c r="Z301" s="123"/>
      <c r="AA301" s="123"/>
      <c r="AB301" s="123"/>
      <c r="AC301" s="123"/>
      <c r="AD301" s="123"/>
      <c r="AE301" s="123"/>
      <c r="AF301" s="123"/>
      <c r="AG301" s="123"/>
      <c r="AH301" s="123"/>
      <c r="AI301" s="123"/>
      <c r="AJ301" s="123"/>
      <c r="AL301" s="80"/>
      <c r="AM301" s="80"/>
      <c r="AN301" s="80"/>
      <c r="AO301" s="80"/>
      <c r="AP301" s="80"/>
      <c r="AQ301" s="80"/>
      <c r="AR301" s="80"/>
      <c r="AS301" s="80"/>
      <c r="AT301" s="80"/>
      <c r="AU301" s="80"/>
      <c r="AV301" s="80"/>
      <c r="AW301" s="80"/>
    </row>
    <row r="302" spans="1:49" s="79" customFormat="1" ht="15.75">
      <c r="A302" s="120"/>
      <c r="B302" s="121"/>
      <c r="C302" s="122"/>
      <c r="D302" s="122"/>
      <c r="E302" s="122"/>
      <c r="F302" s="123"/>
      <c r="G302" s="123"/>
      <c r="H302" s="123"/>
      <c r="I302" s="123"/>
      <c r="J302" s="123"/>
      <c r="K302" s="123"/>
      <c r="L302" s="123"/>
      <c r="M302" s="123"/>
      <c r="N302" s="123"/>
      <c r="O302" s="123"/>
      <c r="P302" s="123"/>
      <c r="Q302" s="123"/>
      <c r="R302" s="123"/>
      <c r="S302" s="123"/>
      <c r="T302" s="123"/>
      <c r="U302" s="123"/>
      <c r="V302" s="123"/>
      <c r="W302" s="123"/>
      <c r="X302" s="123"/>
      <c r="Y302" s="123"/>
      <c r="Z302" s="123"/>
      <c r="AA302" s="123"/>
      <c r="AB302" s="123"/>
      <c r="AC302" s="123"/>
      <c r="AD302" s="123"/>
      <c r="AE302" s="123"/>
      <c r="AF302" s="123"/>
      <c r="AG302" s="123"/>
      <c r="AH302" s="123"/>
      <c r="AI302" s="123"/>
      <c r="AJ302" s="123"/>
      <c r="AL302" s="80"/>
      <c r="AM302" s="80"/>
      <c r="AN302" s="80"/>
      <c r="AO302" s="80"/>
      <c r="AP302" s="80"/>
      <c r="AQ302" s="80"/>
      <c r="AR302" s="80"/>
      <c r="AS302" s="80"/>
      <c r="AT302" s="80"/>
      <c r="AU302" s="80"/>
      <c r="AV302" s="80"/>
      <c r="AW302" s="80"/>
    </row>
    <row r="303" spans="1:49" s="79" customFormat="1" ht="15.75">
      <c r="A303" s="120"/>
      <c r="B303" s="121"/>
      <c r="C303" s="122"/>
      <c r="D303" s="122"/>
      <c r="E303" s="122"/>
      <c r="F303" s="123"/>
      <c r="G303" s="123"/>
      <c r="H303" s="123"/>
      <c r="I303" s="123"/>
      <c r="J303" s="123"/>
      <c r="K303" s="123"/>
      <c r="L303" s="123"/>
      <c r="M303" s="123"/>
      <c r="N303" s="123"/>
      <c r="O303" s="123"/>
      <c r="P303" s="123"/>
      <c r="Q303" s="123"/>
      <c r="R303" s="123"/>
      <c r="S303" s="123"/>
      <c r="T303" s="123"/>
      <c r="U303" s="123"/>
      <c r="V303" s="123"/>
      <c r="W303" s="123"/>
      <c r="X303" s="123"/>
      <c r="Y303" s="123"/>
      <c r="Z303" s="123"/>
      <c r="AA303" s="123"/>
      <c r="AB303" s="123"/>
      <c r="AC303" s="123"/>
      <c r="AD303" s="123"/>
      <c r="AE303" s="123"/>
      <c r="AF303" s="123"/>
      <c r="AG303" s="123"/>
      <c r="AH303" s="123"/>
      <c r="AI303" s="123"/>
      <c r="AJ303" s="123"/>
      <c r="AL303" s="80"/>
      <c r="AM303" s="80"/>
      <c r="AN303" s="80"/>
      <c r="AO303" s="80"/>
      <c r="AP303" s="80"/>
      <c r="AQ303" s="80"/>
      <c r="AR303" s="80"/>
      <c r="AS303" s="80"/>
      <c r="AT303" s="80"/>
      <c r="AU303" s="80"/>
      <c r="AV303" s="80"/>
      <c r="AW303" s="80"/>
    </row>
    <row r="304" spans="1:49" s="79" customFormat="1" ht="15.75">
      <c r="A304" s="120"/>
      <c r="B304" s="121"/>
      <c r="C304" s="122"/>
      <c r="D304" s="122"/>
      <c r="E304" s="122"/>
      <c r="F304" s="123"/>
      <c r="G304" s="123"/>
      <c r="H304" s="123"/>
      <c r="I304" s="123"/>
      <c r="J304" s="123"/>
      <c r="K304" s="123"/>
      <c r="L304" s="123"/>
      <c r="M304" s="123"/>
      <c r="N304" s="123"/>
      <c r="O304" s="123"/>
      <c r="P304" s="123"/>
      <c r="Q304" s="123"/>
      <c r="R304" s="123"/>
      <c r="S304" s="123"/>
      <c r="T304" s="123"/>
      <c r="U304" s="123"/>
      <c r="V304" s="123"/>
      <c r="W304" s="123"/>
      <c r="X304" s="123"/>
      <c r="Y304" s="123"/>
      <c r="Z304" s="123"/>
      <c r="AA304" s="123"/>
      <c r="AB304" s="123"/>
      <c r="AC304" s="123"/>
      <c r="AD304" s="123"/>
      <c r="AE304" s="123"/>
      <c r="AF304" s="123"/>
      <c r="AG304" s="123"/>
      <c r="AH304" s="123"/>
      <c r="AI304" s="123"/>
      <c r="AJ304" s="123"/>
      <c r="AL304" s="80"/>
      <c r="AM304" s="80"/>
      <c r="AN304" s="80"/>
      <c r="AO304" s="80"/>
      <c r="AP304" s="80"/>
      <c r="AQ304" s="80"/>
      <c r="AR304" s="80"/>
      <c r="AS304" s="80"/>
      <c r="AT304" s="80"/>
      <c r="AU304" s="80"/>
      <c r="AV304" s="80"/>
      <c r="AW304" s="80"/>
    </row>
    <row r="305" spans="1:49" s="79" customFormat="1" ht="15.75">
      <c r="A305" s="120"/>
      <c r="B305" s="121"/>
      <c r="C305" s="122"/>
      <c r="D305" s="122"/>
      <c r="E305" s="122"/>
      <c r="F305" s="123"/>
      <c r="G305" s="123"/>
      <c r="H305" s="123"/>
      <c r="I305" s="123"/>
      <c r="J305" s="123"/>
      <c r="K305" s="123"/>
      <c r="L305" s="123"/>
      <c r="M305" s="123"/>
      <c r="N305" s="123"/>
      <c r="O305" s="123"/>
      <c r="P305" s="123"/>
      <c r="Q305" s="123"/>
      <c r="R305" s="123"/>
      <c r="S305" s="123"/>
      <c r="T305" s="123"/>
      <c r="U305" s="123"/>
      <c r="V305" s="123"/>
      <c r="W305" s="123"/>
      <c r="X305" s="123"/>
      <c r="Y305" s="123"/>
      <c r="Z305" s="123"/>
      <c r="AA305" s="123"/>
      <c r="AB305" s="123"/>
      <c r="AC305" s="123"/>
      <c r="AD305" s="123"/>
      <c r="AE305" s="123"/>
      <c r="AF305" s="123"/>
      <c r="AG305" s="123"/>
      <c r="AH305" s="123"/>
      <c r="AI305" s="123"/>
      <c r="AJ305" s="123"/>
      <c r="AL305" s="80"/>
      <c r="AM305" s="80"/>
      <c r="AN305" s="80"/>
      <c r="AO305" s="80"/>
      <c r="AP305" s="80"/>
      <c r="AQ305" s="80"/>
      <c r="AR305" s="80"/>
      <c r="AS305" s="80"/>
      <c r="AT305" s="80"/>
      <c r="AU305" s="80"/>
      <c r="AV305" s="80"/>
      <c r="AW305" s="80"/>
    </row>
    <row r="306" spans="1:49" s="79" customFormat="1" ht="15.75">
      <c r="A306" s="120"/>
      <c r="B306" s="121"/>
      <c r="C306" s="122"/>
      <c r="D306" s="122"/>
      <c r="E306" s="122"/>
      <c r="F306" s="123"/>
      <c r="G306" s="123"/>
      <c r="H306" s="123"/>
      <c r="I306" s="123"/>
      <c r="J306" s="123"/>
      <c r="K306" s="123"/>
      <c r="L306" s="123"/>
      <c r="M306" s="123"/>
      <c r="N306" s="123"/>
      <c r="O306" s="123"/>
      <c r="P306" s="123"/>
      <c r="Q306" s="123"/>
      <c r="R306" s="123"/>
      <c r="S306" s="123"/>
      <c r="T306" s="123"/>
      <c r="U306" s="123"/>
      <c r="V306" s="123"/>
      <c r="W306" s="123"/>
      <c r="X306" s="123"/>
      <c r="Y306" s="123"/>
      <c r="Z306" s="123"/>
      <c r="AA306" s="123"/>
      <c r="AB306" s="123"/>
      <c r="AC306" s="123"/>
      <c r="AD306" s="123"/>
      <c r="AE306" s="123"/>
      <c r="AF306" s="123"/>
      <c r="AG306" s="123"/>
      <c r="AH306" s="123"/>
      <c r="AI306" s="123"/>
      <c r="AJ306" s="123"/>
      <c r="AL306" s="80"/>
      <c r="AM306" s="80"/>
      <c r="AN306" s="80"/>
      <c r="AO306" s="80"/>
      <c r="AP306" s="80"/>
      <c r="AQ306" s="80"/>
      <c r="AR306" s="80"/>
      <c r="AS306" s="80"/>
      <c r="AT306" s="80"/>
      <c r="AU306" s="80"/>
      <c r="AV306" s="80"/>
      <c r="AW306" s="80"/>
    </row>
    <row r="307" spans="1:49" s="79" customFormat="1" ht="15.75">
      <c r="A307" s="120"/>
      <c r="B307" s="121"/>
      <c r="C307" s="122"/>
      <c r="D307" s="122"/>
      <c r="E307" s="122"/>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L307" s="80"/>
      <c r="AM307" s="80"/>
      <c r="AN307" s="80"/>
      <c r="AO307" s="80"/>
      <c r="AP307" s="80"/>
      <c r="AQ307" s="80"/>
      <c r="AR307" s="80"/>
      <c r="AS307" s="80"/>
      <c r="AT307" s="80"/>
      <c r="AU307" s="80"/>
      <c r="AV307" s="80"/>
      <c r="AW307" s="80"/>
    </row>
    <row r="308" spans="1:49" s="79" customFormat="1" ht="15.75">
      <c r="A308" s="120"/>
      <c r="B308" s="121"/>
      <c r="C308" s="122"/>
      <c r="D308" s="122"/>
      <c r="E308" s="122"/>
      <c r="F308" s="123"/>
      <c r="G308" s="123"/>
      <c r="H308" s="123"/>
      <c r="I308" s="123"/>
      <c r="J308" s="123"/>
      <c r="K308" s="123"/>
      <c r="L308" s="123"/>
      <c r="M308" s="123"/>
      <c r="N308" s="123"/>
      <c r="O308" s="123"/>
      <c r="P308" s="123"/>
      <c r="Q308" s="123"/>
      <c r="R308" s="123"/>
      <c r="S308" s="123"/>
      <c r="T308" s="123"/>
      <c r="U308" s="123"/>
      <c r="V308" s="123"/>
      <c r="W308" s="123"/>
      <c r="X308" s="123"/>
      <c r="Y308" s="123"/>
      <c r="Z308" s="123"/>
      <c r="AA308" s="123"/>
      <c r="AB308" s="123"/>
      <c r="AC308" s="123"/>
      <c r="AD308" s="123"/>
      <c r="AE308" s="123"/>
      <c r="AF308" s="123"/>
      <c r="AG308" s="123"/>
      <c r="AH308" s="123"/>
      <c r="AI308" s="123"/>
      <c r="AJ308" s="123"/>
      <c r="AL308" s="80"/>
      <c r="AM308" s="80"/>
      <c r="AN308" s="80"/>
      <c r="AO308" s="80"/>
      <c r="AP308" s="80"/>
      <c r="AQ308" s="80"/>
      <c r="AR308" s="80"/>
      <c r="AS308" s="80"/>
      <c r="AT308" s="80"/>
      <c r="AU308" s="80"/>
      <c r="AV308" s="80"/>
      <c r="AW308" s="80"/>
    </row>
    <row r="309" spans="1:49" s="79" customFormat="1" ht="15.75">
      <c r="A309" s="120"/>
      <c r="B309" s="121"/>
      <c r="C309" s="122"/>
      <c r="D309" s="122"/>
      <c r="E309" s="122"/>
      <c r="F309" s="123"/>
      <c r="G309" s="123"/>
      <c r="H309" s="123"/>
      <c r="I309" s="123"/>
      <c r="J309" s="123"/>
      <c r="K309" s="123"/>
      <c r="L309" s="123"/>
      <c r="M309" s="123"/>
      <c r="N309" s="123"/>
      <c r="O309" s="123"/>
      <c r="P309" s="123"/>
      <c r="Q309" s="123"/>
      <c r="R309" s="123"/>
      <c r="S309" s="123"/>
      <c r="T309" s="123"/>
      <c r="U309" s="123"/>
      <c r="V309" s="123"/>
      <c r="W309" s="123"/>
      <c r="X309" s="123"/>
      <c r="Y309" s="123"/>
      <c r="Z309" s="123"/>
      <c r="AA309" s="123"/>
      <c r="AB309" s="123"/>
      <c r="AC309" s="123"/>
      <c r="AD309" s="123"/>
      <c r="AE309" s="123"/>
      <c r="AF309" s="123"/>
      <c r="AG309" s="123"/>
      <c r="AH309" s="123"/>
      <c r="AI309" s="123"/>
      <c r="AJ309" s="123"/>
      <c r="AL309" s="80"/>
      <c r="AM309" s="80"/>
      <c r="AN309" s="80"/>
      <c r="AO309" s="80"/>
      <c r="AP309" s="80"/>
      <c r="AQ309" s="80"/>
      <c r="AR309" s="80"/>
      <c r="AS309" s="80"/>
      <c r="AT309" s="80"/>
      <c r="AU309" s="80"/>
      <c r="AV309" s="80"/>
      <c r="AW309" s="80"/>
    </row>
    <row r="310" spans="1:49" s="79" customFormat="1" ht="15.75">
      <c r="A310" s="120"/>
      <c r="B310" s="121"/>
      <c r="C310" s="122"/>
      <c r="D310" s="122"/>
      <c r="E310" s="122"/>
      <c r="F310" s="123"/>
      <c r="G310" s="123"/>
      <c r="H310" s="123"/>
      <c r="I310" s="123"/>
      <c r="J310" s="123"/>
      <c r="K310" s="123"/>
      <c r="L310" s="123"/>
      <c r="M310" s="123"/>
      <c r="N310" s="123"/>
      <c r="O310" s="123"/>
      <c r="P310" s="123"/>
      <c r="Q310" s="123"/>
      <c r="R310" s="123"/>
      <c r="S310" s="123"/>
      <c r="T310" s="123"/>
      <c r="U310" s="123"/>
      <c r="V310" s="123"/>
      <c r="W310" s="123"/>
      <c r="X310" s="123"/>
      <c r="Y310" s="123"/>
      <c r="Z310" s="123"/>
      <c r="AA310" s="123"/>
      <c r="AB310" s="123"/>
      <c r="AC310" s="123"/>
      <c r="AD310" s="123"/>
      <c r="AE310" s="123"/>
      <c r="AF310" s="123"/>
      <c r="AG310" s="123"/>
      <c r="AH310" s="123"/>
      <c r="AI310" s="123"/>
      <c r="AJ310" s="123"/>
      <c r="AL310" s="80"/>
      <c r="AM310" s="80"/>
      <c r="AN310" s="80"/>
      <c r="AO310" s="80"/>
      <c r="AP310" s="80"/>
      <c r="AQ310" s="80"/>
      <c r="AR310" s="80"/>
      <c r="AS310" s="80"/>
      <c r="AT310" s="80"/>
      <c r="AU310" s="80"/>
      <c r="AV310" s="80"/>
      <c r="AW310" s="80"/>
    </row>
    <row r="311" spans="1:49" s="79" customFormat="1" ht="15.75">
      <c r="A311" s="120"/>
      <c r="B311" s="121"/>
      <c r="C311" s="122"/>
      <c r="D311" s="122"/>
      <c r="E311" s="122"/>
      <c r="F311" s="123"/>
      <c r="G311" s="123"/>
      <c r="H311" s="123"/>
      <c r="I311" s="123"/>
      <c r="J311" s="123"/>
      <c r="K311" s="123"/>
      <c r="L311" s="123"/>
      <c r="M311" s="123"/>
      <c r="N311" s="123"/>
      <c r="O311" s="123"/>
      <c r="P311" s="123"/>
      <c r="Q311" s="123"/>
      <c r="R311" s="123"/>
      <c r="S311" s="123"/>
      <c r="T311" s="123"/>
      <c r="U311" s="123"/>
      <c r="V311" s="123"/>
      <c r="W311" s="123"/>
      <c r="X311" s="123"/>
      <c r="Y311" s="123"/>
      <c r="Z311" s="123"/>
      <c r="AA311" s="123"/>
      <c r="AB311" s="123"/>
      <c r="AC311" s="123"/>
      <c r="AD311" s="123"/>
      <c r="AE311" s="123"/>
      <c r="AF311" s="123"/>
      <c r="AG311" s="123"/>
      <c r="AH311" s="123"/>
      <c r="AI311" s="123"/>
      <c r="AJ311" s="123"/>
      <c r="AL311" s="80"/>
      <c r="AM311" s="80"/>
      <c r="AN311" s="80"/>
      <c r="AO311" s="80"/>
      <c r="AP311" s="80"/>
      <c r="AQ311" s="80"/>
      <c r="AR311" s="80"/>
      <c r="AS311" s="80"/>
      <c r="AT311" s="80"/>
      <c r="AU311" s="80"/>
      <c r="AV311" s="80"/>
      <c r="AW311" s="80"/>
    </row>
    <row r="312" spans="1:49" s="79" customFormat="1" ht="15.75">
      <c r="A312" s="120"/>
      <c r="B312" s="121"/>
      <c r="C312" s="122"/>
      <c r="D312" s="122"/>
      <c r="E312" s="122"/>
      <c r="F312" s="123"/>
      <c r="G312" s="123"/>
      <c r="H312" s="123"/>
      <c r="I312" s="123"/>
      <c r="J312" s="123"/>
      <c r="K312" s="123"/>
      <c r="L312" s="123"/>
      <c r="M312" s="123"/>
      <c r="N312" s="123"/>
      <c r="O312" s="123"/>
      <c r="P312" s="123"/>
      <c r="Q312" s="123"/>
      <c r="R312" s="123"/>
      <c r="S312" s="123"/>
      <c r="T312" s="123"/>
      <c r="U312" s="123"/>
      <c r="V312" s="123"/>
      <c r="W312" s="123"/>
      <c r="X312" s="123"/>
      <c r="Y312" s="123"/>
      <c r="Z312" s="123"/>
      <c r="AA312" s="123"/>
      <c r="AB312" s="123"/>
      <c r="AC312" s="123"/>
      <c r="AD312" s="123"/>
      <c r="AE312" s="123"/>
      <c r="AF312" s="123"/>
      <c r="AG312" s="123"/>
      <c r="AH312" s="123"/>
      <c r="AI312" s="123"/>
      <c r="AJ312" s="123"/>
      <c r="AL312" s="80"/>
      <c r="AM312" s="80"/>
      <c r="AN312" s="80"/>
      <c r="AO312" s="80"/>
      <c r="AP312" s="80"/>
      <c r="AQ312" s="80"/>
      <c r="AR312" s="80"/>
      <c r="AS312" s="80"/>
      <c r="AT312" s="80"/>
      <c r="AU312" s="80"/>
      <c r="AV312" s="80"/>
      <c r="AW312" s="80"/>
    </row>
    <row r="313" spans="1:49" s="79" customFormat="1" ht="15.75">
      <c r="A313" s="120"/>
      <c r="B313" s="121"/>
      <c r="C313" s="122"/>
      <c r="D313" s="122"/>
      <c r="E313" s="122"/>
      <c r="F313" s="123"/>
      <c r="G313" s="123"/>
      <c r="H313" s="123"/>
      <c r="I313" s="123"/>
      <c r="J313" s="123"/>
      <c r="K313" s="123"/>
      <c r="L313" s="123"/>
      <c r="M313" s="123"/>
      <c r="N313" s="123"/>
      <c r="O313" s="123"/>
      <c r="P313" s="123"/>
      <c r="Q313" s="123"/>
      <c r="R313" s="123"/>
      <c r="S313" s="123"/>
      <c r="T313" s="123"/>
      <c r="U313" s="123"/>
      <c r="V313" s="123"/>
      <c r="W313" s="123"/>
      <c r="X313" s="123"/>
      <c r="Y313" s="123"/>
      <c r="Z313" s="123"/>
      <c r="AA313" s="123"/>
      <c r="AB313" s="123"/>
      <c r="AC313" s="123"/>
      <c r="AD313" s="123"/>
      <c r="AE313" s="123"/>
      <c r="AF313" s="123"/>
      <c r="AG313" s="123"/>
      <c r="AH313" s="123"/>
      <c r="AI313" s="123"/>
      <c r="AJ313" s="123"/>
      <c r="AL313" s="80"/>
      <c r="AM313" s="80"/>
      <c r="AN313" s="80"/>
      <c r="AO313" s="80"/>
      <c r="AP313" s="80"/>
      <c r="AQ313" s="80"/>
      <c r="AR313" s="80"/>
      <c r="AS313" s="80"/>
      <c r="AT313" s="80"/>
      <c r="AU313" s="80"/>
      <c r="AV313" s="80"/>
      <c r="AW313" s="80"/>
    </row>
    <row r="314" spans="1:49" s="79" customFormat="1" ht="15.75">
      <c r="A314" s="120"/>
      <c r="B314" s="121"/>
      <c r="C314" s="122"/>
      <c r="D314" s="122"/>
      <c r="E314" s="122"/>
      <c r="F314" s="123"/>
      <c r="G314" s="123"/>
      <c r="H314" s="123"/>
      <c r="I314" s="123"/>
      <c r="J314" s="123"/>
      <c r="K314" s="123"/>
      <c r="L314" s="123"/>
      <c r="M314" s="123"/>
      <c r="N314" s="123"/>
      <c r="O314" s="123"/>
      <c r="P314" s="123"/>
      <c r="Q314" s="123"/>
      <c r="R314" s="123"/>
      <c r="S314" s="123"/>
      <c r="T314" s="123"/>
      <c r="U314" s="123"/>
      <c r="V314" s="123"/>
      <c r="W314" s="123"/>
      <c r="X314" s="123"/>
      <c r="Y314" s="123"/>
      <c r="Z314" s="123"/>
      <c r="AA314" s="123"/>
      <c r="AB314" s="123"/>
      <c r="AC314" s="123"/>
      <c r="AD314" s="123"/>
      <c r="AE314" s="123"/>
      <c r="AF314" s="123"/>
      <c r="AG314" s="123"/>
      <c r="AH314" s="123"/>
      <c r="AI314" s="123"/>
      <c r="AJ314" s="123"/>
      <c r="AL314" s="80"/>
      <c r="AM314" s="80"/>
      <c r="AN314" s="80"/>
      <c r="AO314" s="80"/>
      <c r="AP314" s="80"/>
      <c r="AQ314" s="80"/>
      <c r="AR314" s="80"/>
      <c r="AS314" s="80"/>
      <c r="AT314" s="80"/>
      <c r="AU314" s="80"/>
      <c r="AV314" s="80"/>
      <c r="AW314" s="80"/>
    </row>
    <row r="315" spans="1:49" s="79" customFormat="1" ht="15.75">
      <c r="A315" s="120"/>
      <c r="B315" s="121"/>
      <c r="C315" s="122"/>
      <c r="D315" s="122"/>
      <c r="E315" s="122"/>
      <c r="F315" s="123"/>
      <c r="G315" s="123"/>
      <c r="H315" s="123"/>
      <c r="I315" s="123"/>
      <c r="J315" s="123"/>
      <c r="K315" s="123"/>
      <c r="L315" s="123"/>
      <c r="M315" s="123"/>
      <c r="N315" s="123"/>
      <c r="O315" s="123"/>
      <c r="P315" s="123"/>
      <c r="Q315" s="123"/>
      <c r="R315" s="123"/>
      <c r="S315" s="123"/>
      <c r="T315" s="123"/>
      <c r="U315" s="123"/>
      <c r="V315" s="123"/>
      <c r="W315" s="123"/>
      <c r="X315" s="123"/>
      <c r="Y315" s="123"/>
      <c r="Z315" s="123"/>
      <c r="AA315" s="123"/>
      <c r="AB315" s="123"/>
      <c r="AC315" s="123"/>
      <c r="AD315" s="123"/>
      <c r="AE315" s="123"/>
      <c r="AF315" s="123"/>
      <c r="AG315" s="123"/>
      <c r="AH315" s="123"/>
      <c r="AI315" s="123"/>
      <c r="AJ315" s="123"/>
      <c r="AL315" s="80"/>
      <c r="AM315" s="80"/>
      <c r="AN315" s="80"/>
      <c r="AO315" s="80"/>
      <c r="AP315" s="80"/>
      <c r="AQ315" s="80"/>
      <c r="AR315" s="80"/>
      <c r="AS315" s="80"/>
      <c r="AT315" s="80"/>
      <c r="AU315" s="80"/>
      <c r="AV315" s="80"/>
      <c r="AW315" s="80"/>
    </row>
    <row r="316" spans="1:49" s="79" customFormat="1" ht="15.75">
      <c r="A316" s="120"/>
      <c r="B316" s="121"/>
      <c r="C316" s="122"/>
      <c r="D316" s="122"/>
      <c r="E316" s="122"/>
      <c r="F316" s="123"/>
      <c r="G316" s="123"/>
      <c r="H316" s="123"/>
      <c r="I316" s="123"/>
      <c r="J316" s="123"/>
      <c r="K316" s="123"/>
      <c r="L316" s="123"/>
      <c r="M316" s="123"/>
      <c r="N316" s="123"/>
      <c r="O316" s="123"/>
      <c r="P316" s="123"/>
      <c r="Q316" s="123"/>
      <c r="R316" s="123"/>
      <c r="S316" s="123"/>
      <c r="T316" s="123"/>
      <c r="U316" s="123"/>
      <c r="V316" s="123"/>
      <c r="W316" s="123"/>
      <c r="X316" s="123"/>
      <c r="Y316" s="123"/>
      <c r="Z316" s="123"/>
      <c r="AA316" s="123"/>
      <c r="AB316" s="123"/>
      <c r="AC316" s="123"/>
      <c r="AD316" s="123"/>
      <c r="AE316" s="123"/>
      <c r="AF316" s="123"/>
      <c r="AG316" s="123"/>
      <c r="AH316" s="123"/>
      <c r="AI316" s="123"/>
      <c r="AJ316" s="123"/>
      <c r="AL316" s="80"/>
      <c r="AM316" s="80"/>
      <c r="AN316" s="80"/>
      <c r="AO316" s="80"/>
      <c r="AP316" s="80"/>
      <c r="AQ316" s="80"/>
      <c r="AR316" s="80"/>
      <c r="AS316" s="80"/>
      <c r="AT316" s="80"/>
      <c r="AU316" s="80"/>
      <c r="AV316" s="80"/>
      <c r="AW316" s="80"/>
    </row>
    <row r="317" spans="1:49" s="79" customFormat="1" ht="15.75">
      <c r="A317" s="120"/>
      <c r="B317" s="121"/>
      <c r="C317" s="122"/>
      <c r="D317" s="122"/>
      <c r="E317" s="122"/>
      <c r="F317" s="123"/>
      <c r="G317" s="123"/>
      <c r="H317" s="123"/>
      <c r="I317" s="123"/>
      <c r="J317" s="123"/>
      <c r="K317" s="123"/>
      <c r="L317" s="123"/>
      <c r="M317" s="123"/>
      <c r="N317" s="123"/>
      <c r="O317" s="123"/>
      <c r="P317" s="123"/>
      <c r="Q317" s="123"/>
      <c r="R317" s="123"/>
      <c r="S317" s="123"/>
      <c r="T317" s="123"/>
      <c r="U317" s="123"/>
      <c r="V317" s="123"/>
      <c r="W317" s="123"/>
      <c r="X317" s="123"/>
      <c r="Y317" s="123"/>
      <c r="Z317" s="123"/>
      <c r="AA317" s="123"/>
      <c r="AB317" s="123"/>
      <c r="AC317" s="123"/>
      <c r="AD317" s="123"/>
      <c r="AE317" s="123"/>
      <c r="AF317" s="123"/>
      <c r="AG317" s="123"/>
      <c r="AH317" s="123"/>
      <c r="AI317" s="123"/>
      <c r="AJ317" s="123"/>
      <c r="AL317" s="80"/>
      <c r="AM317" s="80"/>
      <c r="AN317" s="80"/>
      <c r="AO317" s="80"/>
      <c r="AP317" s="80"/>
      <c r="AQ317" s="80"/>
      <c r="AR317" s="80"/>
      <c r="AS317" s="80"/>
      <c r="AT317" s="80"/>
      <c r="AU317" s="80"/>
      <c r="AV317" s="80"/>
      <c r="AW317" s="80"/>
    </row>
    <row r="318" spans="1:49" s="79" customFormat="1" ht="15.75">
      <c r="A318" s="120"/>
      <c r="B318" s="121"/>
      <c r="C318" s="122"/>
      <c r="D318" s="122"/>
      <c r="E318" s="122"/>
      <c r="F318" s="123"/>
      <c r="G318" s="123"/>
      <c r="H318" s="123"/>
      <c r="I318" s="123"/>
      <c r="J318" s="123"/>
      <c r="K318" s="123"/>
      <c r="L318" s="123"/>
      <c r="M318" s="123"/>
      <c r="N318" s="123"/>
      <c r="O318" s="123"/>
      <c r="P318" s="123"/>
      <c r="Q318" s="123"/>
      <c r="R318" s="123"/>
      <c r="S318" s="123"/>
      <c r="T318" s="123"/>
      <c r="U318" s="123"/>
      <c r="V318" s="123"/>
      <c r="W318" s="123"/>
      <c r="X318" s="123"/>
      <c r="Y318" s="123"/>
      <c r="Z318" s="123"/>
      <c r="AA318" s="123"/>
      <c r="AB318" s="123"/>
      <c r="AC318" s="123"/>
      <c r="AD318" s="123"/>
      <c r="AE318" s="123"/>
      <c r="AF318" s="123"/>
      <c r="AG318" s="123"/>
      <c r="AH318" s="123"/>
      <c r="AI318" s="123"/>
      <c r="AJ318" s="123"/>
      <c r="AL318" s="80"/>
      <c r="AM318" s="80"/>
      <c r="AN318" s="80"/>
      <c r="AO318" s="80"/>
      <c r="AP318" s="80"/>
      <c r="AQ318" s="80"/>
      <c r="AR318" s="80"/>
      <c r="AS318" s="80"/>
      <c r="AT318" s="80"/>
      <c r="AU318" s="80"/>
      <c r="AV318" s="80"/>
      <c r="AW318" s="80"/>
    </row>
    <row r="319" spans="1:49" s="79" customFormat="1" ht="15.75">
      <c r="A319" s="120"/>
      <c r="B319" s="121"/>
      <c r="C319" s="122"/>
      <c r="D319" s="122"/>
      <c r="E319" s="122"/>
      <c r="F319" s="123"/>
      <c r="G319" s="123"/>
      <c r="H319" s="123"/>
      <c r="I319" s="123"/>
      <c r="J319" s="123"/>
      <c r="K319" s="123"/>
      <c r="L319" s="123"/>
      <c r="M319" s="123"/>
      <c r="N319" s="123"/>
      <c r="O319" s="123"/>
      <c r="P319" s="123"/>
      <c r="Q319" s="123"/>
      <c r="R319" s="123"/>
      <c r="S319" s="123"/>
      <c r="T319" s="123"/>
      <c r="U319" s="123"/>
      <c r="V319" s="123"/>
      <c r="W319" s="123"/>
      <c r="X319" s="123"/>
      <c r="Y319" s="123"/>
      <c r="Z319" s="123"/>
      <c r="AA319" s="123"/>
      <c r="AB319" s="123"/>
      <c r="AC319" s="123"/>
      <c r="AD319" s="123"/>
      <c r="AE319" s="123"/>
      <c r="AF319" s="123"/>
      <c r="AG319" s="123"/>
      <c r="AH319" s="123"/>
      <c r="AI319" s="123"/>
      <c r="AJ319" s="123"/>
      <c r="AL319" s="80"/>
      <c r="AM319" s="80"/>
      <c r="AN319" s="80"/>
      <c r="AO319" s="80"/>
      <c r="AP319" s="80"/>
      <c r="AQ319" s="80"/>
      <c r="AR319" s="80"/>
      <c r="AS319" s="80"/>
      <c r="AT319" s="80"/>
      <c r="AU319" s="80"/>
      <c r="AV319" s="80"/>
      <c r="AW319" s="80"/>
    </row>
    <row r="320" spans="1:49" s="79" customFormat="1" ht="15.75">
      <c r="A320" s="120"/>
      <c r="B320" s="121"/>
      <c r="C320" s="122"/>
      <c r="D320" s="122"/>
      <c r="E320" s="122"/>
      <c r="F320" s="123"/>
      <c r="G320" s="123"/>
      <c r="H320" s="123"/>
      <c r="I320" s="123"/>
      <c r="J320" s="123"/>
      <c r="K320" s="123"/>
      <c r="L320" s="123"/>
      <c r="M320" s="123"/>
      <c r="N320" s="123"/>
      <c r="O320" s="123"/>
      <c r="P320" s="123"/>
      <c r="Q320" s="123"/>
      <c r="R320" s="123"/>
      <c r="S320" s="123"/>
      <c r="T320" s="123"/>
      <c r="U320" s="123"/>
      <c r="V320" s="123"/>
      <c r="W320" s="123"/>
      <c r="X320" s="123"/>
      <c r="Y320" s="123"/>
      <c r="Z320" s="123"/>
      <c r="AA320" s="123"/>
      <c r="AB320" s="123"/>
      <c r="AC320" s="123"/>
      <c r="AD320" s="123"/>
      <c r="AE320" s="123"/>
      <c r="AF320" s="123"/>
      <c r="AG320" s="123"/>
      <c r="AH320" s="123"/>
      <c r="AI320" s="123"/>
      <c r="AJ320" s="123"/>
      <c r="AL320" s="80"/>
      <c r="AM320" s="80"/>
      <c r="AN320" s="80"/>
      <c r="AO320" s="80"/>
      <c r="AP320" s="80"/>
      <c r="AQ320" s="80"/>
      <c r="AR320" s="80"/>
      <c r="AS320" s="80"/>
      <c r="AT320" s="80"/>
      <c r="AU320" s="80"/>
      <c r="AV320" s="80"/>
      <c r="AW320" s="80"/>
    </row>
    <row r="321" spans="1:49" s="79" customFormat="1" ht="15.75">
      <c r="A321" s="120"/>
      <c r="B321" s="121"/>
      <c r="C321" s="122"/>
      <c r="D321" s="122"/>
      <c r="E321" s="122"/>
      <c r="F321" s="123"/>
      <c r="G321" s="123"/>
      <c r="H321" s="123"/>
      <c r="I321" s="123"/>
      <c r="J321" s="123"/>
      <c r="K321" s="123"/>
      <c r="L321" s="123"/>
      <c r="M321" s="123"/>
      <c r="N321" s="123"/>
      <c r="O321" s="123"/>
      <c r="P321" s="123"/>
      <c r="Q321" s="123"/>
      <c r="R321" s="123"/>
      <c r="S321" s="123"/>
      <c r="T321" s="123"/>
      <c r="U321" s="123"/>
      <c r="V321" s="123"/>
      <c r="W321" s="123"/>
      <c r="X321" s="123"/>
      <c r="Y321" s="123"/>
      <c r="Z321" s="123"/>
      <c r="AA321" s="123"/>
      <c r="AB321" s="123"/>
      <c r="AC321" s="123"/>
      <c r="AD321" s="123"/>
      <c r="AE321" s="123"/>
      <c r="AF321" s="123"/>
      <c r="AG321" s="123"/>
      <c r="AH321" s="123"/>
      <c r="AI321" s="123"/>
      <c r="AJ321" s="123"/>
      <c r="AL321" s="80"/>
      <c r="AM321" s="80"/>
      <c r="AN321" s="80"/>
      <c r="AO321" s="80"/>
      <c r="AP321" s="80"/>
      <c r="AQ321" s="80"/>
      <c r="AR321" s="80"/>
      <c r="AS321" s="80"/>
      <c r="AT321" s="80"/>
      <c r="AU321" s="80"/>
      <c r="AV321" s="80"/>
      <c r="AW321" s="80"/>
    </row>
    <row r="322" spans="1:49" s="79" customFormat="1" ht="15.75">
      <c r="A322" s="120"/>
      <c r="B322" s="121"/>
      <c r="C322" s="122"/>
      <c r="D322" s="122"/>
      <c r="E322" s="122"/>
      <c r="F322" s="123"/>
      <c r="G322" s="123"/>
      <c r="H322" s="123"/>
      <c r="I322" s="123"/>
      <c r="J322" s="123"/>
      <c r="K322" s="123"/>
      <c r="L322" s="123"/>
      <c r="M322" s="123"/>
      <c r="N322" s="123"/>
      <c r="O322" s="123"/>
      <c r="P322" s="123"/>
      <c r="Q322" s="123"/>
      <c r="R322" s="123"/>
      <c r="S322" s="123"/>
      <c r="T322" s="123"/>
      <c r="U322" s="123"/>
      <c r="V322" s="123"/>
      <c r="W322" s="123"/>
      <c r="X322" s="123"/>
      <c r="Y322" s="123"/>
      <c r="Z322" s="123"/>
      <c r="AA322" s="123"/>
      <c r="AB322" s="123"/>
      <c r="AC322" s="123"/>
      <c r="AD322" s="123"/>
      <c r="AE322" s="123"/>
      <c r="AF322" s="123"/>
      <c r="AG322" s="123"/>
      <c r="AH322" s="123"/>
      <c r="AI322" s="123"/>
      <c r="AJ322" s="123"/>
      <c r="AL322" s="80"/>
      <c r="AM322" s="80"/>
      <c r="AN322" s="80"/>
      <c r="AO322" s="80"/>
      <c r="AP322" s="80"/>
      <c r="AQ322" s="80"/>
      <c r="AR322" s="80"/>
      <c r="AS322" s="80"/>
      <c r="AT322" s="80"/>
      <c r="AU322" s="80"/>
      <c r="AV322" s="80"/>
      <c r="AW322" s="80"/>
    </row>
    <row r="323" spans="1:49" s="79" customFormat="1" ht="15.75">
      <c r="A323" s="120"/>
      <c r="B323" s="121"/>
      <c r="C323" s="122"/>
      <c r="D323" s="122"/>
      <c r="E323" s="122"/>
      <c r="F323" s="123"/>
      <c r="G323" s="123"/>
      <c r="H323" s="123"/>
      <c r="I323" s="123"/>
      <c r="J323" s="123"/>
      <c r="K323" s="123"/>
      <c r="L323" s="123"/>
      <c r="M323" s="123"/>
      <c r="N323" s="123"/>
      <c r="O323" s="123"/>
      <c r="P323" s="123"/>
      <c r="Q323" s="123"/>
      <c r="R323" s="123"/>
      <c r="S323" s="123"/>
      <c r="T323" s="123"/>
      <c r="U323" s="123"/>
      <c r="V323" s="123"/>
      <c r="W323" s="123"/>
      <c r="X323" s="123"/>
      <c r="Y323" s="123"/>
      <c r="Z323" s="123"/>
      <c r="AA323" s="123"/>
      <c r="AB323" s="123"/>
      <c r="AC323" s="123"/>
      <c r="AD323" s="123"/>
      <c r="AE323" s="123"/>
      <c r="AF323" s="123"/>
      <c r="AG323" s="123"/>
      <c r="AH323" s="123"/>
      <c r="AI323" s="123"/>
      <c r="AJ323" s="123"/>
      <c r="AL323" s="80"/>
      <c r="AM323" s="80"/>
      <c r="AN323" s="80"/>
      <c r="AO323" s="80"/>
      <c r="AP323" s="80"/>
      <c r="AQ323" s="80"/>
      <c r="AR323" s="80"/>
      <c r="AS323" s="80"/>
      <c r="AT323" s="80"/>
      <c r="AU323" s="80"/>
      <c r="AV323" s="80"/>
      <c r="AW323" s="80"/>
    </row>
    <row r="324" spans="1:49" s="79" customFormat="1" ht="15.75">
      <c r="A324" s="120"/>
      <c r="B324" s="121"/>
      <c r="C324" s="122"/>
      <c r="D324" s="122"/>
      <c r="E324" s="122"/>
      <c r="F324" s="123"/>
      <c r="G324" s="123"/>
      <c r="H324" s="123"/>
      <c r="I324" s="123"/>
      <c r="J324" s="123"/>
      <c r="K324" s="123"/>
      <c r="L324" s="123"/>
      <c r="M324" s="123"/>
      <c r="N324" s="123"/>
      <c r="O324" s="123"/>
      <c r="P324" s="123"/>
      <c r="Q324" s="123"/>
      <c r="R324" s="123"/>
      <c r="S324" s="123"/>
      <c r="T324" s="123"/>
      <c r="U324" s="123"/>
      <c r="V324" s="123"/>
      <c r="W324" s="123"/>
      <c r="X324" s="123"/>
      <c r="Y324" s="123"/>
      <c r="Z324" s="123"/>
      <c r="AA324" s="123"/>
      <c r="AB324" s="123"/>
      <c r="AC324" s="123"/>
      <c r="AD324" s="123"/>
      <c r="AE324" s="123"/>
      <c r="AF324" s="123"/>
      <c r="AG324" s="123"/>
      <c r="AH324" s="123"/>
      <c r="AI324" s="123"/>
      <c r="AJ324" s="123"/>
      <c r="AL324" s="80"/>
      <c r="AM324" s="80"/>
      <c r="AN324" s="80"/>
      <c r="AO324" s="80"/>
      <c r="AP324" s="80"/>
      <c r="AQ324" s="80"/>
      <c r="AR324" s="80"/>
      <c r="AS324" s="80"/>
      <c r="AT324" s="80"/>
      <c r="AU324" s="80"/>
      <c r="AV324" s="80"/>
      <c r="AW324" s="80"/>
    </row>
    <row r="325" spans="1:49" s="79" customFormat="1" ht="15.75">
      <c r="A325" s="120"/>
      <c r="B325" s="121"/>
      <c r="C325" s="122"/>
      <c r="D325" s="122"/>
      <c r="E325" s="122"/>
      <c r="F325" s="123"/>
      <c r="G325" s="123"/>
      <c r="H325" s="123"/>
      <c r="I325" s="123"/>
      <c r="J325" s="123"/>
      <c r="K325" s="123"/>
      <c r="L325" s="123"/>
      <c r="M325" s="123"/>
      <c r="N325" s="123"/>
      <c r="O325" s="123"/>
      <c r="P325" s="123"/>
      <c r="Q325" s="123"/>
      <c r="R325" s="123"/>
      <c r="S325" s="123"/>
      <c r="T325" s="123"/>
      <c r="U325" s="123"/>
      <c r="V325" s="123"/>
      <c r="W325" s="123"/>
      <c r="X325" s="123"/>
      <c r="Y325" s="123"/>
      <c r="Z325" s="123"/>
      <c r="AA325" s="123"/>
      <c r="AB325" s="123"/>
      <c r="AC325" s="123"/>
      <c r="AD325" s="123"/>
      <c r="AE325" s="123"/>
      <c r="AF325" s="123"/>
      <c r="AG325" s="123"/>
      <c r="AH325" s="123"/>
      <c r="AI325" s="123"/>
      <c r="AJ325" s="123"/>
      <c r="AL325" s="80"/>
      <c r="AM325" s="80"/>
      <c r="AN325" s="80"/>
      <c r="AO325" s="80"/>
      <c r="AP325" s="80"/>
      <c r="AQ325" s="80"/>
      <c r="AR325" s="80"/>
      <c r="AS325" s="80"/>
      <c r="AT325" s="80"/>
      <c r="AU325" s="80"/>
      <c r="AV325" s="80"/>
      <c r="AW325" s="80"/>
    </row>
    <row r="326" spans="1:49" s="79" customFormat="1" ht="15.75">
      <c r="A326" s="120"/>
      <c r="B326" s="121"/>
      <c r="C326" s="122"/>
      <c r="D326" s="122"/>
      <c r="E326" s="122"/>
      <c r="F326" s="123"/>
      <c r="G326" s="123"/>
      <c r="H326" s="123"/>
      <c r="I326" s="123"/>
      <c r="J326" s="123"/>
      <c r="K326" s="123"/>
      <c r="L326" s="123"/>
      <c r="M326" s="123"/>
      <c r="N326" s="123"/>
      <c r="O326" s="123"/>
      <c r="P326" s="123"/>
      <c r="Q326" s="123"/>
      <c r="R326" s="123"/>
      <c r="S326" s="123"/>
      <c r="T326" s="123"/>
      <c r="U326" s="123"/>
      <c r="V326" s="123"/>
      <c r="W326" s="123"/>
      <c r="X326" s="123"/>
      <c r="Y326" s="123"/>
      <c r="Z326" s="123"/>
      <c r="AA326" s="123"/>
      <c r="AB326" s="123"/>
      <c r="AC326" s="123"/>
      <c r="AD326" s="123"/>
      <c r="AE326" s="123"/>
      <c r="AF326" s="123"/>
      <c r="AG326" s="123"/>
      <c r="AH326" s="123"/>
      <c r="AI326" s="123"/>
      <c r="AJ326" s="123"/>
      <c r="AL326" s="80"/>
      <c r="AM326" s="80"/>
      <c r="AN326" s="80"/>
      <c r="AO326" s="80"/>
      <c r="AP326" s="80"/>
      <c r="AQ326" s="80"/>
      <c r="AR326" s="80"/>
      <c r="AS326" s="80"/>
      <c r="AT326" s="80"/>
      <c r="AU326" s="80"/>
      <c r="AV326" s="80"/>
      <c r="AW326" s="80"/>
    </row>
    <row r="327" spans="1:49" s="79" customFormat="1" ht="15.75">
      <c r="A327" s="120"/>
      <c r="B327" s="121"/>
      <c r="C327" s="122"/>
      <c r="D327" s="122"/>
      <c r="E327" s="122"/>
      <c r="F327" s="123"/>
      <c r="G327" s="123"/>
      <c r="H327" s="123"/>
      <c r="I327" s="123"/>
      <c r="J327" s="123"/>
      <c r="K327" s="123"/>
      <c r="L327" s="123"/>
      <c r="M327" s="123"/>
      <c r="N327" s="123"/>
      <c r="O327" s="123"/>
      <c r="P327" s="123"/>
      <c r="Q327" s="123"/>
      <c r="R327" s="123"/>
      <c r="S327" s="123"/>
      <c r="T327" s="123"/>
      <c r="U327" s="123"/>
      <c r="V327" s="123"/>
      <c r="W327" s="123"/>
      <c r="X327" s="123"/>
      <c r="Y327" s="123"/>
      <c r="Z327" s="123"/>
      <c r="AA327" s="123"/>
      <c r="AB327" s="123"/>
      <c r="AC327" s="123"/>
      <c r="AD327" s="123"/>
      <c r="AE327" s="123"/>
      <c r="AF327" s="123"/>
      <c r="AG327" s="123"/>
      <c r="AH327" s="123"/>
      <c r="AI327" s="123"/>
      <c r="AJ327" s="123"/>
      <c r="AL327" s="80"/>
      <c r="AM327" s="80"/>
      <c r="AN327" s="80"/>
      <c r="AO327" s="80"/>
      <c r="AP327" s="80"/>
      <c r="AQ327" s="80"/>
      <c r="AR327" s="80"/>
      <c r="AS327" s="80"/>
      <c r="AT327" s="80"/>
      <c r="AU327" s="80"/>
      <c r="AV327" s="80"/>
      <c r="AW327" s="80"/>
    </row>
    <row r="328" spans="1:49" s="79" customFormat="1" ht="15.75">
      <c r="A328" s="120"/>
      <c r="B328" s="121"/>
      <c r="C328" s="122"/>
      <c r="D328" s="122"/>
      <c r="E328" s="122"/>
      <c r="F328" s="123"/>
      <c r="G328" s="123"/>
      <c r="H328" s="123"/>
      <c r="I328" s="123"/>
      <c r="J328" s="123"/>
      <c r="K328" s="123"/>
      <c r="L328" s="123"/>
      <c r="M328" s="123"/>
      <c r="N328" s="123"/>
      <c r="O328" s="123"/>
      <c r="P328" s="123"/>
      <c r="Q328" s="123"/>
      <c r="R328" s="123"/>
      <c r="S328" s="123"/>
      <c r="T328" s="123"/>
      <c r="U328" s="123"/>
      <c r="V328" s="123"/>
      <c r="W328" s="123"/>
      <c r="X328" s="123"/>
      <c r="Y328" s="123"/>
      <c r="Z328" s="123"/>
      <c r="AA328" s="123"/>
      <c r="AB328" s="123"/>
      <c r="AC328" s="123"/>
      <c r="AD328" s="123"/>
      <c r="AE328" s="123"/>
      <c r="AF328" s="123"/>
      <c r="AG328" s="123"/>
      <c r="AH328" s="123"/>
      <c r="AI328" s="123"/>
      <c r="AJ328" s="123"/>
      <c r="AL328" s="80"/>
      <c r="AM328" s="80"/>
      <c r="AN328" s="80"/>
      <c r="AO328" s="80"/>
      <c r="AP328" s="80"/>
      <c r="AQ328" s="80"/>
      <c r="AR328" s="80"/>
      <c r="AS328" s="80"/>
      <c r="AT328" s="80"/>
      <c r="AU328" s="80"/>
      <c r="AV328" s="80"/>
      <c r="AW328" s="80"/>
    </row>
    <row r="329" spans="1:49" s="79" customFormat="1" ht="15.75">
      <c r="A329" s="120"/>
      <c r="B329" s="121"/>
      <c r="C329" s="122"/>
      <c r="D329" s="122"/>
      <c r="E329" s="122"/>
      <c r="F329" s="123"/>
      <c r="G329" s="123"/>
      <c r="H329" s="123"/>
      <c r="I329" s="123"/>
      <c r="J329" s="123"/>
      <c r="K329" s="123"/>
      <c r="L329" s="123"/>
      <c r="M329" s="123"/>
      <c r="N329" s="123"/>
      <c r="O329" s="123"/>
      <c r="P329" s="123"/>
      <c r="Q329" s="123"/>
      <c r="R329" s="123"/>
      <c r="S329" s="123"/>
      <c r="T329" s="123"/>
      <c r="U329" s="123"/>
      <c r="V329" s="123"/>
      <c r="W329" s="123"/>
      <c r="X329" s="123"/>
      <c r="Y329" s="123"/>
      <c r="Z329" s="123"/>
      <c r="AA329" s="123"/>
      <c r="AB329" s="123"/>
      <c r="AC329" s="123"/>
      <c r="AD329" s="123"/>
      <c r="AE329" s="123"/>
      <c r="AF329" s="123"/>
      <c r="AG329" s="123"/>
      <c r="AH329" s="123"/>
      <c r="AI329" s="123"/>
      <c r="AJ329" s="123"/>
      <c r="AL329" s="80"/>
      <c r="AM329" s="80"/>
      <c r="AN329" s="80"/>
      <c r="AO329" s="80"/>
      <c r="AP329" s="80"/>
      <c r="AQ329" s="80"/>
      <c r="AR329" s="80"/>
      <c r="AS329" s="80"/>
      <c r="AT329" s="80"/>
      <c r="AU329" s="80"/>
      <c r="AV329" s="80"/>
      <c r="AW329" s="80"/>
    </row>
    <row r="330" spans="1:49" s="79" customFormat="1" ht="15.75">
      <c r="A330" s="120"/>
      <c r="B330" s="121"/>
      <c r="C330" s="122"/>
      <c r="D330" s="122"/>
      <c r="E330" s="122"/>
      <c r="F330" s="123"/>
      <c r="G330" s="123"/>
      <c r="H330" s="123"/>
      <c r="I330" s="123"/>
      <c r="J330" s="123"/>
      <c r="K330" s="123"/>
      <c r="L330" s="123"/>
      <c r="M330" s="123"/>
      <c r="N330" s="123"/>
      <c r="O330" s="123"/>
      <c r="P330" s="123"/>
      <c r="Q330" s="123"/>
      <c r="R330" s="123"/>
      <c r="S330" s="123"/>
      <c r="T330" s="123"/>
      <c r="U330" s="123"/>
      <c r="V330" s="123"/>
      <c r="W330" s="123"/>
      <c r="X330" s="123"/>
      <c r="Y330" s="123"/>
      <c r="Z330" s="123"/>
      <c r="AA330" s="123"/>
      <c r="AB330" s="123"/>
      <c r="AC330" s="123"/>
      <c r="AD330" s="123"/>
      <c r="AE330" s="123"/>
      <c r="AF330" s="123"/>
      <c r="AG330" s="123"/>
      <c r="AH330" s="123"/>
      <c r="AI330" s="123"/>
      <c r="AJ330" s="123"/>
      <c r="AL330" s="80"/>
      <c r="AM330" s="80"/>
      <c r="AN330" s="80"/>
      <c r="AO330" s="80"/>
      <c r="AP330" s="80"/>
      <c r="AQ330" s="80"/>
      <c r="AR330" s="80"/>
      <c r="AS330" s="80"/>
      <c r="AT330" s="80"/>
      <c r="AU330" s="80"/>
      <c r="AV330" s="80"/>
      <c r="AW330" s="80"/>
    </row>
    <row r="331" spans="1:49" s="79" customFormat="1" ht="15.75">
      <c r="A331" s="120"/>
      <c r="B331" s="121"/>
      <c r="C331" s="122"/>
      <c r="D331" s="122"/>
      <c r="E331" s="122"/>
      <c r="F331" s="123"/>
      <c r="G331" s="123"/>
      <c r="H331" s="123"/>
      <c r="I331" s="123"/>
      <c r="J331" s="123"/>
      <c r="K331" s="123"/>
      <c r="L331" s="123"/>
      <c r="M331" s="123"/>
      <c r="N331" s="123"/>
      <c r="O331" s="123"/>
      <c r="P331" s="123"/>
      <c r="Q331" s="123"/>
      <c r="R331" s="123"/>
      <c r="S331" s="123"/>
      <c r="T331" s="123"/>
      <c r="U331" s="123"/>
      <c r="V331" s="123"/>
      <c r="W331" s="123"/>
      <c r="X331" s="123"/>
      <c r="Y331" s="123"/>
      <c r="Z331" s="123"/>
      <c r="AA331" s="123"/>
      <c r="AB331" s="123"/>
      <c r="AC331" s="123"/>
      <c r="AD331" s="123"/>
      <c r="AE331" s="123"/>
      <c r="AF331" s="123"/>
      <c r="AG331" s="123"/>
      <c r="AH331" s="123"/>
      <c r="AI331" s="123"/>
      <c r="AJ331" s="123"/>
      <c r="AL331" s="80"/>
      <c r="AM331" s="80"/>
      <c r="AN331" s="80"/>
      <c r="AO331" s="80"/>
      <c r="AP331" s="80"/>
      <c r="AQ331" s="80"/>
      <c r="AR331" s="80"/>
      <c r="AS331" s="80"/>
      <c r="AT331" s="80"/>
      <c r="AU331" s="80"/>
      <c r="AV331" s="80"/>
      <c r="AW331" s="80"/>
    </row>
    <row r="332" spans="1:49" s="79" customFormat="1" ht="15.75">
      <c r="A332" s="120"/>
      <c r="B332" s="121"/>
      <c r="C332" s="122"/>
      <c r="D332" s="122"/>
      <c r="E332" s="122"/>
      <c r="F332" s="123"/>
      <c r="G332" s="123"/>
      <c r="H332" s="123"/>
      <c r="I332" s="123"/>
      <c r="J332" s="123"/>
      <c r="K332" s="123"/>
      <c r="L332" s="123"/>
      <c r="M332" s="123"/>
      <c r="N332" s="123"/>
      <c r="O332" s="123"/>
      <c r="P332" s="123"/>
      <c r="Q332" s="123"/>
      <c r="R332" s="123"/>
      <c r="S332" s="123"/>
      <c r="T332" s="123"/>
      <c r="U332" s="123"/>
      <c r="V332" s="123"/>
      <c r="W332" s="123"/>
      <c r="X332" s="123"/>
      <c r="Y332" s="123"/>
      <c r="Z332" s="123"/>
      <c r="AA332" s="123"/>
      <c r="AB332" s="123"/>
      <c r="AC332" s="123"/>
      <c r="AD332" s="123"/>
      <c r="AE332" s="123"/>
      <c r="AF332" s="123"/>
      <c r="AG332" s="123"/>
      <c r="AH332" s="123"/>
      <c r="AI332" s="123"/>
      <c r="AJ332" s="123"/>
      <c r="AL332" s="80"/>
      <c r="AM332" s="80"/>
      <c r="AN332" s="80"/>
      <c r="AO332" s="80"/>
      <c r="AP332" s="80"/>
      <c r="AQ332" s="80"/>
      <c r="AR332" s="80"/>
      <c r="AS332" s="80"/>
      <c r="AT332" s="80"/>
      <c r="AU332" s="80"/>
      <c r="AV332" s="80"/>
      <c r="AW332" s="80"/>
    </row>
    <row r="333" spans="1:49" s="79" customFormat="1" ht="15.75">
      <c r="A333" s="120"/>
      <c r="B333" s="121"/>
      <c r="C333" s="122"/>
      <c r="D333" s="122"/>
      <c r="E333" s="122"/>
      <c r="F333" s="123"/>
      <c r="G333" s="123"/>
      <c r="H333" s="123"/>
      <c r="I333" s="123"/>
      <c r="J333" s="123"/>
      <c r="K333" s="123"/>
      <c r="L333" s="123"/>
      <c r="M333" s="123"/>
      <c r="N333" s="123"/>
      <c r="O333" s="123"/>
      <c r="P333" s="123"/>
      <c r="Q333" s="123"/>
      <c r="R333" s="123"/>
      <c r="S333" s="123"/>
      <c r="T333" s="123"/>
      <c r="U333" s="123"/>
      <c r="V333" s="123"/>
      <c r="W333" s="123"/>
      <c r="X333" s="123"/>
      <c r="Y333" s="123"/>
      <c r="Z333" s="123"/>
      <c r="AA333" s="123"/>
      <c r="AB333" s="123"/>
      <c r="AC333" s="123"/>
      <c r="AD333" s="123"/>
      <c r="AE333" s="123"/>
      <c r="AF333" s="123"/>
      <c r="AG333" s="123"/>
      <c r="AH333" s="123"/>
      <c r="AI333" s="123"/>
      <c r="AJ333" s="123"/>
      <c r="AL333" s="80"/>
      <c r="AM333" s="80"/>
      <c r="AN333" s="80"/>
      <c r="AO333" s="80"/>
      <c r="AP333" s="80"/>
      <c r="AQ333" s="80"/>
      <c r="AR333" s="80"/>
      <c r="AS333" s="80"/>
      <c r="AT333" s="80"/>
      <c r="AU333" s="80"/>
      <c r="AV333" s="80"/>
      <c r="AW333" s="80"/>
    </row>
    <row r="334" spans="1:49" s="79" customFormat="1" ht="15.75">
      <c r="A334" s="120"/>
      <c r="B334" s="121"/>
      <c r="C334" s="122"/>
      <c r="D334" s="122"/>
      <c r="E334" s="122"/>
      <c r="F334" s="123"/>
      <c r="G334" s="123"/>
      <c r="H334" s="123"/>
      <c r="I334" s="123"/>
      <c r="J334" s="123"/>
      <c r="K334" s="123"/>
      <c r="L334" s="123"/>
      <c r="M334" s="123"/>
      <c r="N334" s="123"/>
      <c r="O334" s="123"/>
      <c r="P334" s="123"/>
      <c r="Q334" s="123"/>
      <c r="R334" s="123"/>
      <c r="S334" s="123"/>
      <c r="T334" s="123"/>
      <c r="U334" s="123"/>
      <c r="V334" s="123"/>
      <c r="W334" s="123"/>
      <c r="X334" s="123"/>
      <c r="Y334" s="123"/>
      <c r="Z334" s="123"/>
      <c r="AA334" s="123"/>
      <c r="AB334" s="123"/>
      <c r="AC334" s="123"/>
      <c r="AD334" s="123"/>
      <c r="AE334" s="123"/>
      <c r="AF334" s="123"/>
      <c r="AG334" s="123"/>
      <c r="AH334" s="123"/>
      <c r="AI334" s="123"/>
      <c r="AJ334" s="123"/>
      <c r="AL334" s="80"/>
      <c r="AM334" s="80"/>
      <c r="AN334" s="80"/>
      <c r="AO334" s="80"/>
      <c r="AP334" s="80"/>
      <c r="AQ334" s="80"/>
      <c r="AR334" s="80"/>
      <c r="AS334" s="80"/>
      <c r="AT334" s="80"/>
      <c r="AU334" s="80"/>
      <c r="AV334" s="80"/>
      <c r="AW334" s="80"/>
    </row>
    <row r="335" spans="1:49" s="79" customFormat="1" ht="15.75">
      <c r="A335" s="120"/>
      <c r="B335" s="121"/>
      <c r="C335" s="122"/>
      <c r="D335" s="122"/>
      <c r="E335" s="122"/>
      <c r="F335" s="123"/>
      <c r="G335" s="123"/>
      <c r="H335" s="123"/>
      <c r="I335" s="123"/>
      <c r="J335" s="123"/>
      <c r="K335" s="123"/>
      <c r="L335" s="123"/>
      <c r="M335" s="123"/>
      <c r="N335" s="123"/>
      <c r="O335" s="123"/>
      <c r="P335" s="123"/>
      <c r="Q335" s="123"/>
      <c r="R335" s="123"/>
      <c r="S335" s="123"/>
      <c r="T335" s="123"/>
      <c r="U335" s="123"/>
      <c r="V335" s="123"/>
      <c r="W335" s="123"/>
      <c r="X335" s="123"/>
      <c r="Y335" s="123"/>
      <c r="Z335" s="123"/>
      <c r="AA335" s="123"/>
      <c r="AB335" s="123"/>
      <c r="AC335" s="123"/>
      <c r="AD335" s="123"/>
      <c r="AE335" s="123"/>
      <c r="AF335" s="123"/>
      <c r="AG335" s="123"/>
      <c r="AH335" s="123"/>
      <c r="AI335" s="123"/>
      <c r="AJ335" s="123"/>
      <c r="AL335" s="80"/>
      <c r="AM335" s="80"/>
      <c r="AN335" s="80"/>
      <c r="AO335" s="80"/>
      <c r="AP335" s="80"/>
      <c r="AQ335" s="80"/>
      <c r="AR335" s="80"/>
      <c r="AS335" s="80"/>
      <c r="AT335" s="80"/>
      <c r="AU335" s="80"/>
      <c r="AV335" s="80"/>
      <c r="AW335" s="80"/>
    </row>
    <row r="336" spans="1:49" s="79" customFormat="1" ht="15.75">
      <c r="A336" s="120"/>
      <c r="B336" s="121"/>
      <c r="C336" s="122"/>
      <c r="D336" s="122"/>
      <c r="E336" s="122"/>
      <c r="F336" s="123"/>
      <c r="G336" s="123"/>
      <c r="H336" s="123"/>
      <c r="I336" s="123"/>
      <c r="J336" s="123"/>
      <c r="K336" s="123"/>
      <c r="L336" s="123"/>
      <c r="M336" s="123"/>
      <c r="N336" s="123"/>
      <c r="O336" s="123"/>
      <c r="P336" s="123"/>
      <c r="Q336" s="123"/>
      <c r="R336" s="123"/>
      <c r="S336" s="123"/>
      <c r="T336" s="123"/>
      <c r="U336" s="123"/>
      <c r="V336" s="123"/>
      <c r="W336" s="123"/>
      <c r="X336" s="123"/>
      <c r="Y336" s="123"/>
      <c r="Z336" s="123"/>
      <c r="AA336" s="123"/>
      <c r="AB336" s="123"/>
      <c r="AC336" s="123"/>
      <c r="AD336" s="123"/>
      <c r="AE336" s="123"/>
      <c r="AF336" s="123"/>
      <c r="AG336" s="123"/>
      <c r="AH336" s="123"/>
      <c r="AI336" s="123"/>
      <c r="AJ336" s="123"/>
      <c r="AL336" s="80"/>
      <c r="AM336" s="80"/>
      <c r="AN336" s="80"/>
      <c r="AO336" s="80"/>
      <c r="AP336" s="80"/>
      <c r="AQ336" s="80"/>
      <c r="AR336" s="80"/>
      <c r="AS336" s="80"/>
      <c r="AT336" s="80"/>
      <c r="AU336" s="80"/>
      <c r="AV336" s="80"/>
      <c r="AW336" s="80"/>
    </row>
    <row r="337" spans="1:49" s="79" customFormat="1" ht="15.75">
      <c r="A337" s="120"/>
      <c r="B337" s="121"/>
      <c r="C337" s="122"/>
      <c r="D337" s="122"/>
      <c r="E337" s="122"/>
      <c r="F337" s="123"/>
      <c r="G337" s="123"/>
      <c r="H337" s="123"/>
      <c r="I337" s="123"/>
      <c r="J337" s="123"/>
      <c r="K337" s="123"/>
      <c r="L337" s="123"/>
      <c r="M337" s="123"/>
      <c r="N337" s="123"/>
      <c r="O337" s="123"/>
      <c r="P337" s="123"/>
      <c r="Q337" s="123"/>
      <c r="R337" s="123"/>
      <c r="S337" s="123"/>
      <c r="T337" s="123"/>
      <c r="U337" s="123"/>
      <c r="V337" s="123"/>
      <c r="W337" s="123"/>
      <c r="X337" s="123"/>
      <c r="Y337" s="123"/>
      <c r="Z337" s="123"/>
      <c r="AA337" s="123"/>
      <c r="AB337" s="123"/>
      <c r="AC337" s="123"/>
      <c r="AD337" s="123"/>
      <c r="AE337" s="123"/>
      <c r="AF337" s="123"/>
      <c r="AG337" s="123"/>
      <c r="AH337" s="123"/>
      <c r="AI337" s="123"/>
      <c r="AJ337" s="123"/>
      <c r="AL337" s="80"/>
      <c r="AM337" s="80"/>
      <c r="AN337" s="80"/>
      <c r="AO337" s="80"/>
      <c r="AP337" s="80"/>
      <c r="AQ337" s="80"/>
      <c r="AR337" s="80"/>
      <c r="AS337" s="80"/>
      <c r="AT337" s="80"/>
      <c r="AU337" s="80"/>
      <c r="AV337" s="80"/>
      <c r="AW337" s="80"/>
    </row>
    <row r="338" spans="1:49" s="79" customFormat="1" ht="15.75">
      <c r="A338" s="120"/>
      <c r="B338" s="121"/>
      <c r="C338" s="122"/>
      <c r="D338" s="122"/>
      <c r="E338" s="122"/>
      <c r="F338" s="123"/>
      <c r="G338" s="123"/>
      <c r="H338" s="123"/>
      <c r="I338" s="123"/>
      <c r="J338" s="123"/>
      <c r="K338" s="123"/>
      <c r="L338" s="123"/>
      <c r="M338" s="123"/>
      <c r="N338" s="123"/>
      <c r="O338" s="123"/>
      <c r="P338" s="123"/>
      <c r="Q338" s="123"/>
      <c r="R338" s="123"/>
      <c r="S338" s="123"/>
      <c r="T338" s="123"/>
      <c r="U338" s="123"/>
      <c r="V338" s="123"/>
      <c r="W338" s="123"/>
      <c r="X338" s="123"/>
      <c r="Y338" s="123"/>
      <c r="Z338" s="123"/>
      <c r="AA338" s="123"/>
      <c r="AB338" s="123"/>
      <c r="AC338" s="123"/>
      <c r="AD338" s="123"/>
      <c r="AE338" s="123"/>
      <c r="AF338" s="123"/>
      <c r="AG338" s="123"/>
      <c r="AH338" s="123"/>
      <c r="AI338" s="123"/>
      <c r="AJ338" s="123"/>
      <c r="AL338" s="80"/>
      <c r="AM338" s="80"/>
      <c r="AN338" s="80"/>
      <c r="AO338" s="80"/>
      <c r="AP338" s="80"/>
      <c r="AQ338" s="80"/>
      <c r="AR338" s="80"/>
      <c r="AS338" s="80"/>
      <c r="AT338" s="80"/>
      <c r="AU338" s="80"/>
      <c r="AV338" s="80"/>
      <c r="AW338" s="80"/>
    </row>
    <row r="339" spans="1:49" s="79" customFormat="1" ht="15.75">
      <c r="A339" s="120"/>
      <c r="B339" s="121"/>
      <c r="C339" s="122"/>
      <c r="D339" s="122"/>
      <c r="E339" s="122"/>
      <c r="F339" s="123"/>
      <c r="G339" s="123"/>
      <c r="H339" s="123"/>
      <c r="I339" s="123"/>
      <c r="J339" s="123"/>
      <c r="K339" s="123"/>
      <c r="L339" s="123"/>
      <c r="M339" s="123"/>
      <c r="N339" s="123"/>
      <c r="O339" s="123"/>
      <c r="P339" s="123"/>
      <c r="Q339" s="123"/>
      <c r="R339" s="123"/>
      <c r="S339" s="123"/>
      <c r="T339" s="123"/>
      <c r="U339" s="123"/>
      <c r="V339" s="123"/>
      <c r="W339" s="123"/>
      <c r="X339" s="123"/>
      <c r="Y339" s="123"/>
      <c r="Z339" s="123"/>
      <c r="AA339" s="123"/>
      <c r="AB339" s="123"/>
      <c r="AC339" s="123"/>
      <c r="AD339" s="123"/>
      <c r="AE339" s="123"/>
      <c r="AF339" s="123"/>
      <c r="AG339" s="123"/>
      <c r="AH339" s="123"/>
      <c r="AI339" s="123"/>
      <c r="AJ339" s="123"/>
      <c r="AL339" s="80"/>
      <c r="AM339" s="80"/>
      <c r="AN339" s="80"/>
      <c r="AO339" s="80"/>
      <c r="AP339" s="80"/>
      <c r="AQ339" s="80"/>
      <c r="AR339" s="80"/>
      <c r="AS339" s="80"/>
      <c r="AT339" s="80"/>
      <c r="AU339" s="80"/>
      <c r="AV339" s="80"/>
      <c r="AW339" s="80"/>
    </row>
    <row r="340" spans="1:49" s="79" customFormat="1" ht="15.75">
      <c r="A340" s="120"/>
      <c r="B340" s="121"/>
      <c r="C340" s="122"/>
      <c r="D340" s="122"/>
      <c r="E340" s="122"/>
      <c r="F340" s="123"/>
      <c r="G340" s="123"/>
      <c r="H340" s="123"/>
      <c r="I340" s="123"/>
      <c r="J340" s="123"/>
      <c r="K340" s="123"/>
      <c r="L340" s="123"/>
      <c r="M340" s="123"/>
      <c r="N340" s="123"/>
      <c r="O340" s="123"/>
      <c r="P340" s="123"/>
      <c r="Q340" s="123"/>
      <c r="R340" s="123"/>
      <c r="S340" s="123"/>
      <c r="T340" s="123"/>
      <c r="U340" s="123"/>
      <c r="V340" s="123"/>
      <c r="W340" s="123"/>
      <c r="X340" s="123"/>
      <c r="Y340" s="123"/>
      <c r="Z340" s="123"/>
      <c r="AA340" s="123"/>
      <c r="AB340" s="123"/>
      <c r="AC340" s="123"/>
      <c r="AD340" s="123"/>
      <c r="AE340" s="123"/>
      <c r="AF340" s="123"/>
      <c r="AG340" s="123"/>
      <c r="AH340" s="123"/>
      <c r="AI340" s="123"/>
      <c r="AJ340" s="123"/>
      <c r="AL340" s="80"/>
      <c r="AM340" s="80"/>
      <c r="AN340" s="80"/>
      <c r="AO340" s="80"/>
      <c r="AP340" s="80"/>
      <c r="AQ340" s="80"/>
      <c r="AR340" s="80"/>
      <c r="AS340" s="80"/>
      <c r="AT340" s="80"/>
      <c r="AU340" s="80"/>
      <c r="AV340" s="80"/>
      <c r="AW340" s="80"/>
    </row>
    <row r="341" spans="1:49" s="79" customFormat="1" ht="15.75">
      <c r="A341" s="120"/>
      <c r="B341" s="121"/>
      <c r="C341" s="122"/>
      <c r="D341" s="122"/>
      <c r="E341" s="122"/>
      <c r="F341" s="123"/>
      <c r="G341" s="123"/>
      <c r="H341" s="123"/>
      <c r="I341" s="123"/>
      <c r="J341" s="123"/>
      <c r="K341" s="123"/>
      <c r="L341" s="123"/>
      <c r="M341" s="123"/>
      <c r="N341" s="123"/>
      <c r="O341" s="123"/>
      <c r="P341" s="123"/>
      <c r="Q341" s="123"/>
      <c r="R341" s="123"/>
      <c r="S341" s="123"/>
      <c r="T341" s="123"/>
      <c r="U341" s="123"/>
      <c r="V341" s="123"/>
      <c r="W341" s="123"/>
      <c r="X341" s="123"/>
      <c r="Y341" s="123"/>
      <c r="Z341" s="123"/>
      <c r="AA341" s="123"/>
      <c r="AB341" s="123"/>
      <c r="AC341" s="123"/>
      <c r="AD341" s="123"/>
      <c r="AE341" s="123"/>
      <c r="AF341" s="123"/>
      <c r="AG341" s="123"/>
      <c r="AH341" s="123"/>
      <c r="AI341" s="123"/>
      <c r="AJ341" s="123"/>
      <c r="AL341" s="80"/>
      <c r="AM341" s="80"/>
      <c r="AN341" s="80"/>
      <c r="AO341" s="80"/>
      <c r="AP341" s="80"/>
      <c r="AQ341" s="80"/>
      <c r="AR341" s="80"/>
      <c r="AS341" s="80"/>
      <c r="AT341" s="80"/>
      <c r="AU341" s="80"/>
      <c r="AV341" s="80"/>
      <c r="AW341" s="80"/>
    </row>
    <row r="342" spans="1:49" s="79" customFormat="1" ht="15.75">
      <c r="A342" s="120"/>
      <c r="B342" s="121"/>
      <c r="C342" s="122"/>
      <c r="D342" s="122"/>
      <c r="E342" s="122"/>
      <c r="F342" s="123"/>
      <c r="G342" s="123"/>
      <c r="H342" s="123"/>
      <c r="I342" s="123"/>
      <c r="J342" s="123"/>
      <c r="K342" s="123"/>
      <c r="L342" s="123"/>
      <c r="M342" s="123"/>
      <c r="N342" s="123"/>
      <c r="O342" s="123"/>
      <c r="P342" s="123"/>
      <c r="Q342" s="123"/>
      <c r="R342" s="123"/>
      <c r="S342" s="123"/>
      <c r="T342" s="123"/>
      <c r="U342" s="123"/>
      <c r="V342" s="123"/>
      <c r="W342" s="123"/>
      <c r="X342" s="123"/>
      <c r="Y342" s="123"/>
      <c r="Z342" s="123"/>
      <c r="AA342" s="123"/>
      <c r="AB342" s="123"/>
      <c r="AC342" s="123"/>
      <c r="AD342" s="123"/>
      <c r="AE342" s="123"/>
      <c r="AF342" s="123"/>
      <c r="AG342" s="123"/>
      <c r="AH342" s="123"/>
      <c r="AI342" s="123"/>
      <c r="AJ342" s="123"/>
      <c r="AL342" s="80"/>
      <c r="AM342" s="80"/>
      <c r="AN342" s="80"/>
      <c r="AO342" s="80"/>
      <c r="AP342" s="80"/>
      <c r="AQ342" s="80"/>
      <c r="AR342" s="80"/>
      <c r="AS342" s="80"/>
      <c r="AT342" s="80"/>
      <c r="AU342" s="80"/>
      <c r="AV342" s="80"/>
      <c r="AW342" s="80"/>
    </row>
    <row r="343" spans="1:49" s="79" customFormat="1" ht="15.75">
      <c r="A343" s="120"/>
      <c r="B343" s="121"/>
      <c r="C343" s="122"/>
      <c r="D343" s="122"/>
      <c r="E343" s="122"/>
      <c r="F343" s="123"/>
      <c r="G343" s="123"/>
      <c r="H343" s="123"/>
      <c r="I343" s="123"/>
      <c r="J343" s="123"/>
      <c r="K343" s="123"/>
      <c r="L343" s="123"/>
      <c r="M343" s="123"/>
      <c r="N343" s="123"/>
      <c r="O343" s="123"/>
      <c r="P343" s="123"/>
      <c r="Q343" s="123"/>
      <c r="R343" s="123"/>
      <c r="S343" s="123"/>
      <c r="T343" s="123"/>
      <c r="U343" s="123"/>
      <c r="V343" s="123"/>
      <c r="W343" s="123"/>
      <c r="X343" s="123"/>
      <c r="Y343" s="123"/>
      <c r="Z343" s="123"/>
      <c r="AA343" s="123"/>
      <c r="AB343" s="123"/>
      <c r="AC343" s="123"/>
      <c r="AD343" s="123"/>
      <c r="AE343" s="123"/>
      <c r="AF343" s="123"/>
      <c r="AG343" s="123"/>
      <c r="AH343" s="123"/>
      <c r="AI343" s="123"/>
      <c r="AJ343" s="123"/>
      <c r="AL343" s="80"/>
      <c r="AM343" s="80"/>
      <c r="AN343" s="80"/>
      <c r="AO343" s="80"/>
      <c r="AP343" s="80"/>
      <c r="AQ343" s="80"/>
      <c r="AR343" s="80"/>
      <c r="AS343" s="80"/>
      <c r="AT343" s="80"/>
      <c r="AU343" s="80"/>
      <c r="AV343" s="80"/>
      <c r="AW343" s="80"/>
    </row>
    <row r="344" spans="1:49" s="79" customFormat="1" ht="15.75">
      <c r="A344" s="120"/>
      <c r="B344" s="121"/>
      <c r="C344" s="122"/>
      <c r="D344" s="122"/>
      <c r="E344" s="122"/>
      <c r="F344" s="123"/>
      <c r="G344" s="123"/>
      <c r="H344" s="123"/>
      <c r="I344" s="123"/>
      <c r="J344" s="123"/>
      <c r="K344" s="123"/>
      <c r="L344" s="123"/>
      <c r="M344" s="123"/>
      <c r="N344" s="123"/>
      <c r="O344" s="123"/>
      <c r="P344" s="123"/>
      <c r="Q344" s="123"/>
      <c r="R344" s="123"/>
      <c r="S344" s="123"/>
      <c r="T344" s="123"/>
      <c r="U344" s="123"/>
      <c r="V344" s="123"/>
      <c r="W344" s="123"/>
      <c r="X344" s="123"/>
      <c r="Y344" s="123"/>
      <c r="Z344" s="123"/>
      <c r="AA344" s="123"/>
      <c r="AB344" s="123"/>
      <c r="AC344" s="123"/>
      <c r="AD344" s="123"/>
      <c r="AE344" s="123"/>
      <c r="AF344" s="123"/>
      <c r="AG344" s="123"/>
      <c r="AH344" s="123"/>
      <c r="AI344" s="123"/>
      <c r="AJ344" s="123"/>
      <c r="AL344" s="80"/>
      <c r="AM344" s="80"/>
      <c r="AN344" s="80"/>
      <c r="AO344" s="80"/>
      <c r="AP344" s="80"/>
      <c r="AQ344" s="80"/>
      <c r="AR344" s="80"/>
      <c r="AS344" s="80"/>
      <c r="AT344" s="80"/>
      <c r="AU344" s="80"/>
      <c r="AV344" s="80"/>
      <c r="AW344" s="80"/>
    </row>
    <row r="345" spans="1:49" s="79" customFormat="1" ht="15.75">
      <c r="A345" s="120"/>
      <c r="B345" s="121"/>
      <c r="C345" s="122"/>
      <c r="D345" s="122"/>
      <c r="E345" s="122"/>
      <c r="F345" s="123"/>
      <c r="G345" s="123"/>
      <c r="H345" s="123"/>
      <c r="I345" s="123"/>
      <c r="J345" s="123"/>
      <c r="K345" s="123"/>
      <c r="L345" s="123"/>
      <c r="M345" s="123"/>
      <c r="N345" s="123"/>
      <c r="O345" s="123"/>
      <c r="P345" s="123"/>
      <c r="Q345" s="123"/>
      <c r="R345" s="123"/>
      <c r="S345" s="123"/>
      <c r="T345" s="123"/>
      <c r="U345" s="123"/>
      <c r="V345" s="123"/>
      <c r="W345" s="123"/>
      <c r="X345" s="123"/>
      <c r="Y345" s="123"/>
      <c r="Z345" s="123"/>
      <c r="AA345" s="123"/>
      <c r="AB345" s="123"/>
      <c r="AC345" s="123"/>
      <c r="AD345" s="123"/>
      <c r="AE345" s="123"/>
      <c r="AF345" s="123"/>
      <c r="AG345" s="123"/>
      <c r="AH345" s="123"/>
      <c r="AI345" s="123"/>
      <c r="AJ345" s="123"/>
      <c r="AL345" s="80"/>
      <c r="AM345" s="80"/>
      <c r="AN345" s="80"/>
      <c r="AO345" s="80"/>
      <c r="AP345" s="80"/>
      <c r="AQ345" s="80"/>
      <c r="AR345" s="80"/>
      <c r="AS345" s="80"/>
      <c r="AT345" s="80"/>
      <c r="AU345" s="80"/>
      <c r="AV345" s="80"/>
      <c r="AW345" s="80"/>
    </row>
    <row r="346" spans="1:49" s="79" customFormat="1" ht="15.75">
      <c r="A346" s="120"/>
      <c r="B346" s="121"/>
      <c r="C346" s="122"/>
      <c r="D346" s="122"/>
      <c r="E346" s="122"/>
      <c r="F346" s="123"/>
      <c r="G346" s="123"/>
      <c r="H346" s="123"/>
      <c r="I346" s="123"/>
      <c r="J346" s="123"/>
      <c r="K346" s="123"/>
      <c r="L346" s="123"/>
      <c r="M346" s="123"/>
      <c r="N346" s="123"/>
      <c r="O346" s="123"/>
      <c r="P346" s="123"/>
      <c r="Q346" s="123"/>
      <c r="R346" s="123"/>
      <c r="S346" s="123"/>
      <c r="T346" s="123"/>
      <c r="U346" s="123"/>
      <c r="V346" s="123"/>
      <c r="W346" s="123"/>
      <c r="X346" s="123"/>
      <c r="Y346" s="123"/>
      <c r="Z346" s="123"/>
      <c r="AA346" s="123"/>
      <c r="AB346" s="123"/>
      <c r="AC346" s="123"/>
      <c r="AD346" s="123"/>
      <c r="AE346" s="123"/>
      <c r="AF346" s="123"/>
      <c r="AG346" s="123"/>
      <c r="AH346" s="123"/>
      <c r="AI346" s="123"/>
      <c r="AJ346" s="123"/>
      <c r="AL346" s="80"/>
      <c r="AM346" s="80"/>
      <c r="AN346" s="80"/>
      <c r="AO346" s="80"/>
      <c r="AP346" s="80"/>
      <c r="AQ346" s="80"/>
      <c r="AR346" s="80"/>
      <c r="AS346" s="80"/>
      <c r="AT346" s="80"/>
      <c r="AU346" s="80"/>
      <c r="AV346" s="80"/>
      <c r="AW346" s="80"/>
    </row>
    <row r="347" spans="1:49" s="79" customFormat="1" ht="15.75">
      <c r="A347" s="120"/>
      <c r="B347" s="121"/>
      <c r="C347" s="122"/>
      <c r="D347" s="122"/>
      <c r="E347" s="122"/>
      <c r="F347" s="123"/>
      <c r="G347" s="123"/>
      <c r="H347" s="123"/>
      <c r="I347" s="123"/>
      <c r="J347" s="123"/>
      <c r="K347" s="123"/>
      <c r="L347" s="123"/>
      <c r="M347" s="123"/>
      <c r="N347" s="123"/>
      <c r="O347" s="123"/>
      <c r="P347" s="123"/>
      <c r="Q347" s="123"/>
      <c r="R347" s="123"/>
      <c r="S347" s="123"/>
      <c r="T347" s="123"/>
      <c r="U347" s="123"/>
      <c r="V347" s="123"/>
      <c r="W347" s="123"/>
      <c r="X347" s="123"/>
      <c r="Y347" s="123"/>
      <c r="Z347" s="123"/>
      <c r="AA347" s="123"/>
      <c r="AB347" s="123"/>
      <c r="AC347" s="123"/>
      <c r="AD347" s="123"/>
      <c r="AE347" s="123"/>
      <c r="AF347" s="123"/>
      <c r="AG347" s="123"/>
      <c r="AH347" s="123"/>
      <c r="AI347" s="123"/>
      <c r="AJ347" s="123"/>
      <c r="AL347" s="80"/>
      <c r="AM347" s="80"/>
      <c r="AN347" s="80"/>
      <c r="AO347" s="80"/>
      <c r="AP347" s="80"/>
      <c r="AQ347" s="80"/>
      <c r="AR347" s="80"/>
      <c r="AS347" s="80"/>
      <c r="AT347" s="80"/>
      <c r="AU347" s="80"/>
      <c r="AV347" s="80"/>
      <c r="AW347" s="80"/>
    </row>
    <row r="348" spans="1:49" s="79" customFormat="1" ht="15.75">
      <c r="A348" s="120"/>
      <c r="B348" s="121"/>
      <c r="C348" s="122"/>
      <c r="D348" s="122"/>
      <c r="E348" s="122"/>
      <c r="F348" s="123"/>
      <c r="G348" s="123"/>
      <c r="H348" s="123"/>
      <c r="I348" s="123"/>
      <c r="J348" s="123"/>
      <c r="K348" s="123"/>
      <c r="L348" s="123"/>
      <c r="M348" s="123"/>
      <c r="N348" s="123"/>
      <c r="O348" s="123"/>
      <c r="P348" s="123"/>
      <c r="Q348" s="123"/>
      <c r="R348" s="123"/>
      <c r="S348" s="123"/>
      <c r="T348" s="123"/>
      <c r="U348" s="123"/>
      <c r="V348" s="123"/>
      <c r="W348" s="123"/>
      <c r="X348" s="123"/>
      <c r="Y348" s="123"/>
      <c r="Z348" s="123"/>
      <c r="AA348" s="123"/>
      <c r="AB348" s="123"/>
      <c r="AC348" s="123"/>
      <c r="AD348" s="123"/>
      <c r="AE348" s="123"/>
      <c r="AF348" s="123"/>
      <c r="AG348" s="123"/>
      <c r="AH348" s="123"/>
      <c r="AI348" s="123"/>
      <c r="AJ348" s="123"/>
      <c r="AL348" s="80"/>
      <c r="AM348" s="80"/>
      <c r="AN348" s="80"/>
      <c r="AO348" s="80"/>
      <c r="AP348" s="80"/>
      <c r="AQ348" s="80"/>
      <c r="AR348" s="80"/>
      <c r="AS348" s="80"/>
      <c r="AT348" s="80"/>
      <c r="AU348" s="80"/>
      <c r="AV348" s="80"/>
      <c r="AW348" s="80"/>
    </row>
    <row r="349" spans="1:49" s="79" customFormat="1" ht="15.75">
      <c r="A349" s="120"/>
      <c r="B349" s="121"/>
      <c r="C349" s="122"/>
      <c r="D349" s="122"/>
      <c r="E349" s="122"/>
      <c r="F349" s="123"/>
      <c r="G349" s="123"/>
      <c r="H349" s="123"/>
      <c r="I349" s="123"/>
      <c r="J349" s="123"/>
      <c r="K349" s="123"/>
      <c r="L349" s="123"/>
      <c r="M349" s="123"/>
      <c r="N349" s="123"/>
      <c r="O349" s="123"/>
      <c r="P349" s="123"/>
      <c r="Q349" s="123"/>
      <c r="R349" s="123"/>
      <c r="S349" s="123"/>
      <c r="T349" s="123"/>
      <c r="U349" s="123"/>
      <c r="V349" s="123"/>
      <c r="W349" s="123"/>
      <c r="X349" s="123"/>
      <c r="Y349" s="123"/>
      <c r="Z349" s="123"/>
      <c r="AA349" s="123"/>
      <c r="AB349" s="123"/>
      <c r="AC349" s="123"/>
      <c r="AD349" s="123"/>
      <c r="AE349" s="123"/>
      <c r="AF349" s="123"/>
      <c r="AG349" s="123"/>
      <c r="AH349" s="123"/>
      <c r="AI349" s="123"/>
      <c r="AJ349" s="123"/>
      <c r="AL349" s="80"/>
      <c r="AM349" s="80"/>
      <c r="AN349" s="80"/>
      <c r="AO349" s="80"/>
      <c r="AP349" s="80"/>
      <c r="AQ349" s="80"/>
      <c r="AR349" s="80"/>
      <c r="AS349" s="80"/>
      <c r="AT349" s="80"/>
      <c r="AU349" s="80"/>
      <c r="AV349" s="80"/>
      <c r="AW349" s="80"/>
    </row>
    <row r="350" spans="1:49" s="79" customFormat="1" ht="15.75">
      <c r="A350" s="120"/>
      <c r="B350" s="121"/>
      <c r="C350" s="122"/>
      <c r="D350" s="122"/>
      <c r="E350" s="122"/>
      <c r="F350" s="123"/>
      <c r="G350" s="123"/>
      <c r="H350" s="123"/>
      <c r="I350" s="123"/>
      <c r="J350" s="123"/>
      <c r="K350" s="123"/>
      <c r="L350" s="123"/>
      <c r="M350" s="123"/>
      <c r="N350" s="123"/>
      <c r="O350" s="123"/>
      <c r="P350" s="123"/>
      <c r="Q350" s="123"/>
      <c r="R350" s="123"/>
      <c r="S350" s="123"/>
      <c r="T350" s="123"/>
      <c r="U350" s="123"/>
      <c r="V350" s="123"/>
      <c r="W350" s="123"/>
      <c r="X350" s="123"/>
      <c r="Y350" s="123"/>
      <c r="Z350" s="123"/>
      <c r="AA350" s="123"/>
      <c r="AB350" s="123"/>
      <c r="AC350" s="123"/>
      <c r="AD350" s="123"/>
      <c r="AE350" s="123"/>
      <c r="AF350" s="123"/>
      <c r="AG350" s="123"/>
      <c r="AH350" s="123"/>
      <c r="AI350" s="123"/>
      <c r="AJ350" s="123"/>
      <c r="AL350" s="80"/>
      <c r="AM350" s="80"/>
      <c r="AN350" s="80"/>
      <c r="AO350" s="80"/>
      <c r="AP350" s="80"/>
      <c r="AQ350" s="80"/>
      <c r="AR350" s="80"/>
      <c r="AS350" s="80"/>
      <c r="AT350" s="80"/>
      <c r="AU350" s="80"/>
      <c r="AV350" s="80"/>
      <c r="AW350" s="80"/>
    </row>
    <row r="351" spans="1:49" s="79" customFormat="1" ht="15.75">
      <c r="A351" s="120"/>
      <c r="B351" s="121"/>
      <c r="C351" s="122"/>
      <c r="D351" s="122"/>
      <c r="E351" s="122"/>
      <c r="F351" s="123"/>
      <c r="G351" s="123"/>
      <c r="H351" s="123"/>
      <c r="I351" s="123"/>
      <c r="J351" s="123"/>
      <c r="K351" s="123"/>
      <c r="L351" s="123"/>
      <c r="M351" s="123"/>
      <c r="N351" s="123"/>
      <c r="O351" s="123"/>
      <c r="P351" s="123"/>
      <c r="Q351" s="123"/>
      <c r="R351" s="123"/>
      <c r="S351" s="123"/>
      <c r="T351" s="123"/>
      <c r="U351" s="123"/>
      <c r="V351" s="123"/>
      <c r="W351" s="123"/>
      <c r="X351" s="123"/>
      <c r="Y351" s="123"/>
      <c r="Z351" s="123"/>
      <c r="AA351" s="123"/>
      <c r="AB351" s="123"/>
      <c r="AC351" s="123"/>
      <c r="AD351" s="123"/>
      <c r="AE351" s="123"/>
      <c r="AF351" s="123"/>
      <c r="AG351" s="123"/>
      <c r="AH351" s="123"/>
      <c r="AI351" s="123"/>
      <c r="AJ351" s="123"/>
      <c r="AL351" s="80"/>
      <c r="AM351" s="80"/>
      <c r="AN351" s="80"/>
      <c r="AO351" s="80"/>
      <c r="AP351" s="80"/>
      <c r="AQ351" s="80"/>
      <c r="AR351" s="80"/>
      <c r="AS351" s="80"/>
      <c r="AT351" s="80"/>
      <c r="AU351" s="80"/>
      <c r="AV351" s="80"/>
      <c r="AW351" s="80"/>
    </row>
    <row r="352" spans="1:49" s="79" customFormat="1" ht="15.75">
      <c r="A352" s="120"/>
      <c r="B352" s="121"/>
      <c r="C352" s="122"/>
      <c r="D352" s="122"/>
      <c r="E352" s="122"/>
      <c r="F352" s="123"/>
      <c r="G352" s="123"/>
      <c r="H352" s="123"/>
      <c r="I352" s="123"/>
      <c r="J352" s="123"/>
      <c r="K352" s="123"/>
      <c r="L352" s="123"/>
      <c r="M352" s="123"/>
      <c r="N352" s="123"/>
      <c r="O352" s="123"/>
      <c r="P352" s="123"/>
      <c r="Q352" s="123"/>
      <c r="R352" s="123"/>
      <c r="S352" s="123"/>
      <c r="T352" s="123"/>
      <c r="U352" s="123"/>
      <c r="V352" s="123"/>
      <c r="W352" s="123"/>
      <c r="X352" s="123"/>
      <c r="Y352" s="123"/>
      <c r="Z352" s="123"/>
      <c r="AA352" s="123"/>
      <c r="AB352" s="123"/>
      <c r="AC352" s="123"/>
      <c r="AD352" s="123"/>
      <c r="AE352" s="123"/>
      <c r="AF352" s="123"/>
      <c r="AG352" s="123"/>
      <c r="AH352" s="123"/>
      <c r="AI352" s="123"/>
      <c r="AJ352" s="123"/>
      <c r="AL352" s="80"/>
      <c r="AM352" s="80"/>
      <c r="AN352" s="80"/>
      <c r="AO352" s="80"/>
      <c r="AP352" s="80"/>
      <c r="AQ352" s="80"/>
      <c r="AR352" s="80"/>
      <c r="AS352" s="80"/>
      <c r="AT352" s="80"/>
      <c r="AU352" s="80"/>
      <c r="AV352" s="80"/>
      <c r="AW352" s="80"/>
    </row>
    <row r="353" spans="1:49" s="79" customFormat="1" ht="15.75">
      <c r="A353" s="120"/>
      <c r="B353" s="121"/>
      <c r="C353" s="122"/>
      <c r="D353" s="122"/>
      <c r="E353" s="122"/>
      <c r="F353" s="123"/>
      <c r="G353" s="123"/>
      <c r="H353" s="123"/>
      <c r="I353" s="123"/>
      <c r="J353" s="123"/>
      <c r="K353" s="123"/>
      <c r="L353" s="123"/>
      <c r="M353" s="123"/>
      <c r="N353" s="123"/>
      <c r="O353" s="123"/>
      <c r="P353" s="123"/>
      <c r="Q353" s="123"/>
      <c r="R353" s="123"/>
      <c r="S353" s="123"/>
      <c r="T353" s="123"/>
      <c r="U353" s="123"/>
      <c r="V353" s="123"/>
      <c r="W353" s="123"/>
      <c r="X353" s="123"/>
      <c r="Y353" s="123"/>
      <c r="Z353" s="123"/>
      <c r="AA353" s="123"/>
      <c r="AB353" s="123"/>
      <c r="AC353" s="123"/>
      <c r="AD353" s="123"/>
      <c r="AE353" s="123"/>
      <c r="AF353" s="123"/>
      <c r="AG353" s="123"/>
      <c r="AH353" s="123"/>
      <c r="AI353" s="123"/>
      <c r="AJ353" s="123"/>
      <c r="AL353" s="80"/>
      <c r="AM353" s="80"/>
      <c r="AN353" s="80"/>
      <c r="AO353" s="80"/>
      <c r="AP353" s="80"/>
      <c r="AQ353" s="80"/>
      <c r="AR353" s="80"/>
      <c r="AS353" s="80"/>
      <c r="AT353" s="80"/>
      <c r="AU353" s="80"/>
      <c r="AV353" s="80"/>
      <c r="AW353" s="80"/>
    </row>
    <row r="354" spans="1:49" s="79" customFormat="1" ht="15.75">
      <c r="A354" s="120"/>
      <c r="B354" s="121"/>
      <c r="C354" s="122"/>
      <c r="D354" s="122"/>
      <c r="E354" s="122"/>
      <c r="F354" s="123"/>
      <c r="G354" s="123"/>
      <c r="H354" s="123"/>
      <c r="I354" s="123"/>
      <c r="J354" s="123"/>
      <c r="K354" s="123"/>
      <c r="L354" s="123"/>
      <c r="M354" s="123"/>
      <c r="N354" s="123"/>
      <c r="O354" s="123"/>
      <c r="P354" s="123"/>
      <c r="Q354" s="123"/>
      <c r="R354" s="123"/>
      <c r="S354" s="123"/>
      <c r="T354" s="123"/>
      <c r="U354" s="123"/>
      <c r="V354" s="123"/>
      <c r="W354" s="123"/>
      <c r="X354" s="123"/>
      <c r="Y354" s="123"/>
      <c r="Z354" s="123"/>
      <c r="AA354" s="123"/>
      <c r="AB354" s="123"/>
      <c r="AC354" s="123"/>
      <c r="AD354" s="123"/>
      <c r="AE354" s="123"/>
      <c r="AF354" s="123"/>
      <c r="AG354" s="123"/>
      <c r="AH354" s="123"/>
      <c r="AI354" s="123"/>
      <c r="AJ354" s="123"/>
      <c r="AL354" s="80"/>
      <c r="AM354" s="80"/>
      <c r="AN354" s="80"/>
      <c r="AO354" s="80"/>
      <c r="AP354" s="80"/>
      <c r="AQ354" s="80"/>
      <c r="AR354" s="80"/>
      <c r="AS354" s="80"/>
      <c r="AT354" s="80"/>
      <c r="AU354" s="80"/>
      <c r="AV354" s="80"/>
      <c r="AW354" s="80"/>
    </row>
    <row r="355" spans="1:49" s="79" customFormat="1" ht="15.75">
      <c r="A355" s="120"/>
      <c r="B355" s="121"/>
      <c r="C355" s="122"/>
      <c r="D355" s="122"/>
      <c r="E355" s="122"/>
      <c r="F355" s="123"/>
      <c r="G355" s="123"/>
      <c r="H355" s="123"/>
      <c r="I355" s="123"/>
      <c r="J355" s="123"/>
      <c r="K355" s="123"/>
      <c r="L355" s="123"/>
      <c r="M355" s="123"/>
      <c r="N355" s="123"/>
      <c r="O355" s="123"/>
      <c r="P355" s="123"/>
      <c r="Q355" s="123"/>
      <c r="R355" s="123"/>
      <c r="S355" s="123"/>
      <c r="T355" s="123"/>
      <c r="U355" s="123"/>
      <c r="V355" s="123"/>
      <c r="W355" s="123"/>
      <c r="X355" s="123"/>
      <c r="Y355" s="123"/>
      <c r="Z355" s="123"/>
      <c r="AA355" s="123"/>
      <c r="AB355" s="123"/>
      <c r="AC355" s="123"/>
      <c r="AD355" s="123"/>
      <c r="AE355" s="123"/>
      <c r="AF355" s="123"/>
      <c r="AG355" s="123"/>
      <c r="AH355" s="123"/>
      <c r="AI355" s="123"/>
      <c r="AJ355" s="123"/>
      <c r="AL355" s="80"/>
      <c r="AM355" s="80"/>
      <c r="AN355" s="80"/>
      <c r="AO355" s="80"/>
      <c r="AP355" s="80"/>
      <c r="AQ355" s="80"/>
      <c r="AR355" s="80"/>
      <c r="AS355" s="80"/>
      <c r="AT355" s="80"/>
      <c r="AU355" s="80"/>
      <c r="AV355" s="80"/>
      <c r="AW355" s="80"/>
    </row>
    <row r="356" spans="1:49" s="79" customFormat="1" ht="15.75">
      <c r="A356" s="120"/>
      <c r="B356" s="121"/>
      <c r="C356" s="122"/>
      <c r="D356" s="122"/>
      <c r="E356" s="122"/>
      <c r="F356" s="123"/>
      <c r="G356" s="123"/>
      <c r="H356" s="123"/>
      <c r="I356" s="123"/>
      <c r="J356" s="123"/>
      <c r="K356" s="123"/>
      <c r="L356" s="123"/>
      <c r="M356" s="123"/>
      <c r="N356" s="123"/>
      <c r="O356" s="123"/>
      <c r="P356" s="123"/>
      <c r="Q356" s="123"/>
      <c r="R356" s="123"/>
      <c r="S356" s="123"/>
      <c r="T356" s="123"/>
      <c r="U356" s="123"/>
      <c r="V356" s="123"/>
      <c r="W356" s="123"/>
      <c r="X356" s="123"/>
      <c r="Y356" s="123"/>
      <c r="Z356" s="123"/>
      <c r="AA356" s="123"/>
      <c r="AB356" s="123"/>
      <c r="AC356" s="123"/>
      <c r="AD356" s="123"/>
      <c r="AE356" s="123"/>
      <c r="AF356" s="123"/>
      <c r="AG356" s="123"/>
      <c r="AH356" s="123"/>
      <c r="AI356" s="123"/>
      <c r="AJ356" s="123"/>
      <c r="AL356" s="80"/>
      <c r="AM356" s="80"/>
      <c r="AN356" s="80"/>
      <c r="AO356" s="80"/>
      <c r="AP356" s="80"/>
      <c r="AQ356" s="80"/>
      <c r="AR356" s="80"/>
      <c r="AS356" s="80"/>
      <c r="AT356" s="80"/>
      <c r="AU356" s="80"/>
      <c r="AV356" s="80"/>
      <c r="AW356" s="80"/>
    </row>
    <row r="357" spans="1:49" s="79" customFormat="1" ht="15.75">
      <c r="A357" s="120"/>
      <c r="B357" s="121"/>
      <c r="C357" s="122"/>
      <c r="D357" s="122"/>
      <c r="E357" s="122"/>
      <c r="F357" s="123"/>
      <c r="G357" s="123"/>
      <c r="H357" s="123"/>
      <c r="I357" s="123"/>
      <c r="J357" s="123"/>
      <c r="K357" s="123"/>
      <c r="L357" s="123"/>
      <c r="M357" s="123"/>
      <c r="N357" s="123"/>
      <c r="O357" s="123"/>
      <c r="P357" s="123"/>
      <c r="Q357" s="123"/>
      <c r="R357" s="123"/>
      <c r="S357" s="123"/>
      <c r="T357" s="123"/>
      <c r="U357" s="123"/>
      <c r="V357" s="123"/>
      <c r="W357" s="123"/>
      <c r="X357" s="123"/>
      <c r="Y357" s="123"/>
      <c r="Z357" s="123"/>
      <c r="AA357" s="123"/>
      <c r="AB357" s="123"/>
      <c r="AC357" s="123"/>
      <c r="AD357" s="123"/>
      <c r="AE357" s="123"/>
      <c r="AF357" s="123"/>
      <c r="AG357" s="123"/>
      <c r="AH357" s="123"/>
      <c r="AI357" s="123"/>
      <c r="AJ357" s="123"/>
      <c r="AL357" s="80"/>
      <c r="AM357" s="80"/>
      <c r="AN357" s="80"/>
      <c r="AO357" s="80"/>
      <c r="AP357" s="80"/>
      <c r="AQ357" s="80"/>
      <c r="AR357" s="80"/>
      <c r="AS357" s="80"/>
      <c r="AT357" s="80"/>
      <c r="AU357" s="80"/>
      <c r="AV357" s="80"/>
      <c r="AW357" s="80"/>
    </row>
    <row r="358" spans="1:49" s="79" customFormat="1" ht="15.75">
      <c r="A358" s="120"/>
      <c r="B358" s="121"/>
      <c r="C358" s="122"/>
      <c r="D358" s="122"/>
      <c r="E358" s="122"/>
      <c r="F358" s="123"/>
      <c r="G358" s="123"/>
      <c r="H358" s="123"/>
      <c r="I358" s="123"/>
      <c r="J358" s="123"/>
      <c r="K358" s="123"/>
      <c r="L358" s="123"/>
      <c r="M358" s="123"/>
      <c r="N358" s="123"/>
      <c r="O358" s="123"/>
      <c r="P358" s="123"/>
      <c r="Q358" s="123"/>
      <c r="R358" s="123"/>
      <c r="S358" s="123"/>
      <c r="T358" s="123"/>
      <c r="U358" s="123"/>
      <c r="V358" s="123"/>
      <c r="W358" s="123"/>
      <c r="X358" s="123"/>
      <c r="Y358" s="123"/>
      <c r="Z358" s="123"/>
      <c r="AA358" s="123"/>
      <c r="AB358" s="123"/>
      <c r="AC358" s="123"/>
      <c r="AD358" s="123"/>
      <c r="AE358" s="123"/>
      <c r="AF358" s="123"/>
      <c r="AG358" s="123"/>
      <c r="AH358" s="123"/>
      <c r="AI358" s="123"/>
      <c r="AJ358" s="123"/>
      <c r="AL358" s="80"/>
      <c r="AM358" s="80"/>
      <c r="AN358" s="80"/>
      <c r="AO358" s="80"/>
      <c r="AP358" s="80"/>
      <c r="AQ358" s="80"/>
      <c r="AR358" s="80"/>
      <c r="AS358" s="80"/>
      <c r="AT358" s="80"/>
      <c r="AU358" s="80"/>
      <c r="AV358" s="80"/>
      <c r="AW358" s="80"/>
    </row>
    <row r="359" spans="1:49" s="79" customFormat="1" ht="15.75">
      <c r="A359" s="120"/>
      <c r="B359" s="121"/>
      <c r="C359" s="122"/>
      <c r="D359" s="122"/>
      <c r="E359" s="122"/>
      <c r="F359" s="123"/>
      <c r="G359" s="123"/>
      <c r="H359" s="123"/>
      <c r="I359" s="123"/>
      <c r="J359" s="123"/>
      <c r="K359" s="123"/>
      <c r="L359" s="123"/>
      <c r="M359" s="123"/>
      <c r="N359" s="123"/>
      <c r="O359" s="123"/>
      <c r="P359" s="123"/>
      <c r="Q359" s="123"/>
      <c r="R359" s="123"/>
      <c r="S359" s="123"/>
      <c r="T359" s="123"/>
      <c r="U359" s="123"/>
      <c r="V359" s="123"/>
      <c r="W359" s="123"/>
      <c r="X359" s="123"/>
      <c r="Y359" s="123"/>
      <c r="Z359" s="123"/>
      <c r="AA359" s="123"/>
      <c r="AB359" s="123"/>
      <c r="AC359" s="123"/>
      <c r="AD359" s="123"/>
      <c r="AE359" s="123"/>
      <c r="AF359" s="123"/>
      <c r="AG359" s="123"/>
      <c r="AH359" s="123"/>
      <c r="AI359" s="123"/>
      <c r="AJ359" s="123"/>
      <c r="AL359" s="80"/>
      <c r="AM359" s="80"/>
      <c r="AN359" s="80"/>
      <c r="AO359" s="80"/>
      <c r="AP359" s="80"/>
      <c r="AQ359" s="80"/>
      <c r="AR359" s="80"/>
      <c r="AS359" s="80"/>
      <c r="AT359" s="80"/>
      <c r="AU359" s="80"/>
      <c r="AV359" s="80"/>
      <c r="AW359" s="80"/>
    </row>
    <row r="360" spans="1:49" s="79" customFormat="1" ht="15.75">
      <c r="A360" s="120"/>
      <c r="B360" s="121"/>
      <c r="C360" s="122"/>
      <c r="D360" s="122"/>
      <c r="E360" s="122"/>
      <c r="F360" s="123"/>
      <c r="G360" s="123"/>
      <c r="H360" s="123"/>
      <c r="I360" s="123"/>
      <c r="J360" s="123"/>
      <c r="K360" s="123"/>
      <c r="L360" s="123"/>
      <c r="M360" s="123"/>
      <c r="N360" s="123"/>
      <c r="O360" s="123"/>
      <c r="P360" s="123"/>
      <c r="Q360" s="123"/>
      <c r="R360" s="123"/>
      <c r="S360" s="123"/>
      <c r="T360" s="123"/>
      <c r="U360" s="123"/>
      <c r="V360" s="123"/>
      <c r="W360" s="123"/>
      <c r="X360" s="123"/>
      <c r="Y360" s="123"/>
      <c r="Z360" s="123"/>
      <c r="AA360" s="123"/>
      <c r="AB360" s="123"/>
      <c r="AC360" s="123"/>
      <c r="AD360" s="123"/>
      <c r="AE360" s="123"/>
      <c r="AF360" s="123"/>
      <c r="AG360" s="123"/>
      <c r="AH360" s="123"/>
      <c r="AI360" s="123"/>
      <c r="AJ360" s="123"/>
      <c r="AL360" s="80"/>
      <c r="AM360" s="80"/>
      <c r="AN360" s="80"/>
      <c r="AO360" s="80"/>
      <c r="AP360" s="80"/>
      <c r="AQ360" s="80"/>
      <c r="AR360" s="80"/>
      <c r="AS360" s="80"/>
      <c r="AT360" s="80"/>
      <c r="AU360" s="80"/>
      <c r="AV360" s="80"/>
      <c r="AW360" s="80"/>
    </row>
    <row r="361" spans="1:49" s="79" customFormat="1" ht="15.75">
      <c r="A361" s="120"/>
      <c r="B361" s="121"/>
      <c r="C361" s="122"/>
      <c r="D361" s="122"/>
      <c r="E361" s="122"/>
      <c r="F361" s="123"/>
      <c r="G361" s="123"/>
      <c r="H361" s="123"/>
      <c r="I361" s="123"/>
      <c r="J361" s="123"/>
      <c r="K361" s="123"/>
      <c r="L361" s="123"/>
      <c r="M361" s="123"/>
      <c r="N361" s="123"/>
      <c r="O361" s="123"/>
      <c r="P361" s="123"/>
      <c r="Q361" s="123"/>
      <c r="R361" s="123"/>
      <c r="S361" s="123"/>
      <c r="T361" s="123"/>
      <c r="U361" s="123"/>
      <c r="V361" s="123"/>
      <c r="W361" s="123"/>
      <c r="X361" s="123"/>
      <c r="Y361" s="123"/>
      <c r="Z361" s="123"/>
      <c r="AA361" s="123"/>
      <c r="AB361" s="123"/>
      <c r="AC361" s="123"/>
      <c r="AD361" s="123"/>
      <c r="AE361" s="123"/>
      <c r="AF361" s="123"/>
      <c r="AG361" s="123"/>
      <c r="AH361" s="123"/>
      <c r="AI361" s="123"/>
      <c r="AJ361" s="123"/>
      <c r="AL361" s="80"/>
      <c r="AM361" s="80"/>
      <c r="AN361" s="80"/>
      <c r="AO361" s="80"/>
      <c r="AP361" s="80"/>
      <c r="AQ361" s="80"/>
      <c r="AR361" s="80"/>
      <c r="AS361" s="80"/>
      <c r="AT361" s="80"/>
      <c r="AU361" s="80"/>
      <c r="AV361" s="80"/>
      <c r="AW361" s="80"/>
    </row>
    <row r="362" spans="1:49" s="79" customFormat="1" ht="15.75">
      <c r="A362" s="120"/>
      <c r="B362" s="121"/>
      <c r="C362" s="122"/>
      <c r="D362" s="122"/>
      <c r="E362" s="122"/>
      <c r="F362" s="123"/>
      <c r="G362" s="123"/>
      <c r="H362" s="123"/>
      <c r="I362" s="123"/>
      <c r="J362" s="123"/>
      <c r="K362" s="123"/>
      <c r="L362" s="123"/>
      <c r="M362" s="123"/>
      <c r="N362" s="123"/>
      <c r="O362" s="123"/>
      <c r="P362" s="123"/>
      <c r="Q362" s="123"/>
      <c r="R362" s="123"/>
      <c r="S362" s="123"/>
      <c r="T362" s="123"/>
      <c r="U362" s="123"/>
      <c r="V362" s="123"/>
      <c r="W362" s="123"/>
      <c r="X362" s="123"/>
      <c r="Y362" s="123"/>
      <c r="Z362" s="123"/>
      <c r="AA362" s="123"/>
      <c r="AB362" s="123"/>
      <c r="AC362" s="123"/>
      <c r="AD362" s="123"/>
      <c r="AE362" s="123"/>
      <c r="AF362" s="123"/>
      <c r="AG362" s="123"/>
      <c r="AH362" s="123"/>
      <c r="AI362" s="123"/>
      <c r="AJ362" s="123"/>
      <c r="AL362" s="80"/>
      <c r="AM362" s="80"/>
      <c r="AN362" s="80"/>
      <c r="AO362" s="80"/>
      <c r="AP362" s="80"/>
      <c r="AQ362" s="80"/>
      <c r="AR362" s="80"/>
      <c r="AS362" s="80"/>
      <c r="AT362" s="80"/>
      <c r="AU362" s="80"/>
      <c r="AV362" s="80"/>
      <c r="AW362" s="80"/>
    </row>
    <row r="363" spans="1:49" s="79" customFormat="1" ht="15.75">
      <c r="A363" s="120"/>
      <c r="B363" s="121"/>
      <c r="C363" s="122"/>
      <c r="D363" s="122"/>
      <c r="E363" s="122"/>
      <c r="F363" s="123"/>
      <c r="G363" s="123"/>
      <c r="H363" s="123"/>
      <c r="I363" s="123"/>
      <c r="J363" s="123"/>
      <c r="K363" s="123"/>
      <c r="L363" s="123"/>
      <c r="M363" s="123"/>
      <c r="N363" s="123"/>
      <c r="O363" s="123"/>
      <c r="P363" s="123"/>
      <c r="Q363" s="123"/>
      <c r="R363" s="123"/>
      <c r="S363" s="123"/>
      <c r="T363" s="123"/>
      <c r="U363" s="123"/>
      <c r="V363" s="123"/>
      <c r="W363" s="123"/>
      <c r="X363" s="123"/>
      <c r="Y363" s="123"/>
      <c r="Z363" s="123"/>
      <c r="AA363" s="123"/>
      <c r="AB363" s="123"/>
      <c r="AC363" s="123"/>
      <c r="AD363" s="123"/>
      <c r="AE363" s="123"/>
      <c r="AF363" s="123"/>
      <c r="AG363" s="123"/>
      <c r="AH363" s="123"/>
      <c r="AI363" s="123"/>
      <c r="AJ363" s="123"/>
      <c r="AL363" s="80"/>
      <c r="AM363" s="80"/>
      <c r="AN363" s="80"/>
      <c r="AO363" s="80"/>
      <c r="AP363" s="80"/>
      <c r="AQ363" s="80"/>
      <c r="AR363" s="80"/>
      <c r="AS363" s="80"/>
      <c r="AT363" s="80"/>
      <c r="AU363" s="80"/>
      <c r="AV363" s="80"/>
      <c r="AW363" s="80"/>
    </row>
    <row r="364" spans="1:49" s="79" customFormat="1" ht="15.75">
      <c r="A364" s="120"/>
      <c r="B364" s="121"/>
      <c r="C364" s="122"/>
      <c r="D364" s="122"/>
      <c r="E364" s="122"/>
      <c r="F364" s="123"/>
      <c r="G364" s="123"/>
      <c r="H364" s="123"/>
      <c r="I364" s="123"/>
      <c r="J364" s="123"/>
      <c r="K364" s="123"/>
      <c r="L364" s="123"/>
      <c r="M364" s="123"/>
      <c r="N364" s="123"/>
      <c r="O364" s="123"/>
      <c r="P364" s="123"/>
      <c r="Q364" s="123"/>
      <c r="R364" s="123"/>
      <c r="S364" s="123"/>
      <c r="T364" s="123"/>
      <c r="U364" s="123"/>
      <c r="V364" s="123"/>
      <c r="W364" s="123"/>
      <c r="X364" s="123"/>
      <c r="Y364" s="123"/>
      <c r="Z364" s="123"/>
      <c r="AA364" s="123"/>
      <c r="AB364" s="123"/>
      <c r="AC364" s="123"/>
      <c r="AD364" s="123"/>
      <c r="AE364" s="123"/>
      <c r="AF364" s="123"/>
      <c r="AG364" s="123"/>
      <c r="AH364" s="123"/>
      <c r="AI364" s="123"/>
      <c r="AJ364" s="123"/>
      <c r="AL364" s="80"/>
      <c r="AM364" s="80"/>
      <c r="AN364" s="80"/>
      <c r="AO364" s="80"/>
      <c r="AP364" s="80"/>
      <c r="AQ364" s="80"/>
      <c r="AR364" s="80"/>
      <c r="AS364" s="80"/>
      <c r="AT364" s="80"/>
      <c r="AU364" s="80"/>
      <c r="AV364" s="80"/>
      <c r="AW364" s="80"/>
    </row>
    <row r="365" spans="1:49" s="79" customFormat="1" ht="15.75">
      <c r="A365" s="120"/>
      <c r="B365" s="121"/>
      <c r="C365" s="122"/>
      <c r="D365" s="122"/>
      <c r="E365" s="122"/>
      <c r="F365" s="123"/>
      <c r="G365" s="123"/>
      <c r="H365" s="123"/>
      <c r="I365" s="123"/>
      <c r="J365" s="123"/>
      <c r="K365" s="123"/>
      <c r="L365" s="123"/>
      <c r="M365" s="123"/>
      <c r="N365" s="123"/>
      <c r="O365" s="123"/>
      <c r="P365" s="123"/>
      <c r="Q365" s="123"/>
      <c r="R365" s="123"/>
      <c r="S365" s="123"/>
      <c r="T365" s="123"/>
      <c r="U365" s="123"/>
      <c r="V365" s="123"/>
      <c r="W365" s="123"/>
      <c r="X365" s="123"/>
      <c r="Y365" s="123"/>
      <c r="Z365" s="123"/>
      <c r="AA365" s="123"/>
      <c r="AB365" s="123"/>
      <c r="AC365" s="123"/>
      <c r="AD365" s="123"/>
      <c r="AE365" s="123"/>
      <c r="AF365" s="123"/>
      <c r="AG365" s="123"/>
      <c r="AH365" s="123"/>
      <c r="AI365" s="123"/>
      <c r="AJ365" s="123"/>
      <c r="AL365" s="80"/>
      <c r="AM365" s="80"/>
      <c r="AN365" s="80"/>
      <c r="AO365" s="80"/>
      <c r="AP365" s="80"/>
      <c r="AQ365" s="80"/>
      <c r="AR365" s="80"/>
      <c r="AS365" s="80"/>
      <c r="AT365" s="80"/>
      <c r="AU365" s="80"/>
      <c r="AV365" s="80"/>
      <c r="AW365" s="80"/>
    </row>
    <row r="366" spans="1:49" s="79" customFormat="1" ht="15.75">
      <c r="A366" s="120"/>
      <c r="B366" s="121"/>
      <c r="C366" s="122"/>
      <c r="D366" s="122"/>
      <c r="E366" s="122"/>
      <c r="F366" s="123"/>
      <c r="G366" s="123"/>
      <c r="H366" s="123"/>
      <c r="I366" s="123"/>
      <c r="J366" s="123"/>
      <c r="K366" s="123"/>
      <c r="L366" s="123"/>
      <c r="M366" s="123"/>
      <c r="N366" s="123"/>
      <c r="O366" s="123"/>
      <c r="P366" s="123"/>
      <c r="Q366" s="123"/>
      <c r="R366" s="123"/>
      <c r="S366" s="123"/>
      <c r="T366" s="123"/>
      <c r="U366" s="123"/>
      <c r="V366" s="123"/>
      <c r="W366" s="123"/>
      <c r="X366" s="123"/>
      <c r="Y366" s="123"/>
      <c r="Z366" s="123"/>
      <c r="AA366" s="123"/>
      <c r="AB366" s="123"/>
      <c r="AC366" s="123"/>
      <c r="AD366" s="123"/>
      <c r="AE366" s="123"/>
      <c r="AF366" s="123"/>
      <c r="AG366" s="123"/>
      <c r="AH366" s="123"/>
      <c r="AI366" s="123"/>
      <c r="AJ366" s="123"/>
      <c r="AL366" s="80"/>
      <c r="AM366" s="80"/>
      <c r="AN366" s="80"/>
      <c r="AO366" s="80"/>
      <c r="AP366" s="80"/>
      <c r="AQ366" s="80"/>
      <c r="AR366" s="80"/>
      <c r="AS366" s="80"/>
      <c r="AT366" s="80"/>
      <c r="AU366" s="80"/>
      <c r="AV366" s="80"/>
      <c r="AW366" s="80"/>
    </row>
    <row r="367" spans="1:49" s="79" customFormat="1" ht="15.75">
      <c r="A367" s="120"/>
      <c r="B367" s="121"/>
      <c r="C367" s="122"/>
      <c r="D367" s="122"/>
      <c r="E367" s="122"/>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L367" s="80"/>
      <c r="AM367" s="80"/>
      <c r="AN367" s="80"/>
      <c r="AO367" s="80"/>
      <c r="AP367" s="80"/>
      <c r="AQ367" s="80"/>
      <c r="AR367" s="80"/>
      <c r="AS367" s="80"/>
      <c r="AT367" s="80"/>
      <c r="AU367" s="80"/>
      <c r="AV367" s="80"/>
      <c r="AW367" s="80"/>
    </row>
    <row r="368" spans="1:49" s="79" customFormat="1" ht="15.75">
      <c r="A368" s="120"/>
      <c r="B368" s="121"/>
      <c r="C368" s="122"/>
      <c r="D368" s="122"/>
      <c r="E368" s="122"/>
      <c r="F368" s="123"/>
      <c r="G368" s="123"/>
      <c r="H368" s="123"/>
      <c r="I368" s="123"/>
      <c r="J368" s="123"/>
      <c r="K368" s="123"/>
      <c r="L368" s="123"/>
      <c r="M368" s="123"/>
      <c r="N368" s="123"/>
      <c r="O368" s="123"/>
      <c r="P368" s="123"/>
      <c r="Q368" s="123"/>
      <c r="R368" s="123"/>
      <c r="S368" s="123"/>
      <c r="T368" s="123"/>
      <c r="U368" s="123"/>
      <c r="V368" s="123"/>
      <c r="W368" s="123"/>
      <c r="X368" s="123"/>
      <c r="Y368" s="123"/>
      <c r="Z368" s="123"/>
      <c r="AA368" s="123"/>
      <c r="AB368" s="123"/>
      <c r="AC368" s="123"/>
      <c r="AD368" s="123"/>
      <c r="AE368" s="123"/>
      <c r="AF368" s="123"/>
      <c r="AG368" s="123"/>
      <c r="AH368" s="123"/>
      <c r="AI368" s="123"/>
      <c r="AJ368" s="123"/>
      <c r="AL368" s="80"/>
      <c r="AM368" s="80"/>
      <c r="AN368" s="80"/>
      <c r="AO368" s="80"/>
      <c r="AP368" s="80"/>
      <c r="AQ368" s="80"/>
      <c r="AR368" s="80"/>
      <c r="AS368" s="80"/>
      <c r="AT368" s="80"/>
      <c r="AU368" s="80"/>
      <c r="AV368" s="80"/>
      <c r="AW368" s="80"/>
    </row>
    <row r="369" spans="1:49" s="79" customFormat="1" ht="15.75">
      <c r="A369" s="120"/>
      <c r="B369" s="121"/>
      <c r="C369" s="122"/>
      <c r="D369" s="122"/>
      <c r="E369" s="122"/>
      <c r="F369" s="123"/>
      <c r="G369" s="123"/>
      <c r="H369" s="123"/>
      <c r="I369" s="123"/>
      <c r="J369" s="123"/>
      <c r="K369" s="123"/>
      <c r="L369" s="123"/>
      <c r="M369" s="123"/>
      <c r="N369" s="123"/>
      <c r="O369" s="123"/>
      <c r="P369" s="123"/>
      <c r="Q369" s="123"/>
      <c r="R369" s="123"/>
      <c r="S369" s="123"/>
      <c r="T369" s="123"/>
      <c r="U369" s="123"/>
      <c r="V369" s="123"/>
      <c r="W369" s="123"/>
      <c r="X369" s="123"/>
      <c r="Y369" s="123"/>
      <c r="Z369" s="123"/>
      <c r="AA369" s="123"/>
      <c r="AB369" s="123"/>
      <c r="AC369" s="123"/>
      <c r="AD369" s="123"/>
      <c r="AE369" s="123"/>
      <c r="AF369" s="123"/>
      <c r="AG369" s="123"/>
      <c r="AH369" s="123"/>
      <c r="AI369" s="123"/>
      <c r="AJ369" s="123"/>
      <c r="AL369" s="80"/>
      <c r="AM369" s="80"/>
      <c r="AN369" s="80"/>
      <c r="AO369" s="80"/>
      <c r="AP369" s="80"/>
      <c r="AQ369" s="80"/>
      <c r="AR369" s="80"/>
      <c r="AS369" s="80"/>
      <c r="AT369" s="80"/>
      <c r="AU369" s="80"/>
      <c r="AV369" s="80"/>
      <c r="AW369" s="80"/>
    </row>
    <row r="370" spans="1:49" s="79" customFormat="1" ht="15.75">
      <c r="A370" s="120"/>
      <c r="B370" s="121"/>
      <c r="C370" s="122"/>
      <c r="D370" s="122"/>
      <c r="E370" s="122"/>
      <c r="F370" s="123"/>
      <c r="G370" s="123"/>
      <c r="H370" s="123"/>
      <c r="I370" s="123"/>
      <c r="J370" s="123"/>
      <c r="K370" s="123"/>
      <c r="L370" s="123"/>
      <c r="M370" s="123"/>
      <c r="N370" s="123"/>
      <c r="O370" s="123"/>
      <c r="P370" s="123"/>
      <c r="Q370" s="123"/>
      <c r="R370" s="123"/>
      <c r="S370" s="123"/>
      <c r="T370" s="123"/>
      <c r="U370" s="123"/>
      <c r="V370" s="123"/>
      <c r="W370" s="123"/>
      <c r="X370" s="123"/>
      <c r="Y370" s="123"/>
      <c r="Z370" s="123"/>
      <c r="AA370" s="123"/>
      <c r="AB370" s="123"/>
      <c r="AC370" s="123"/>
      <c r="AD370" s="123"/>
      <c r="AE370" s="123"/>
      <c r="AF370" s="123"/>
      <c r="AG370" s="123"/>
      <c r="AH370" s="123"/>
      <c r="AI370" s="123"/>
      <c r="AJ370" s="123"/>
      <c r="AL370" s="80"/>
      <c r="AM370" s="80"/>
      <c r="AN370" s="80"/>
      <c r="AO370" s="80"/>
      <c r="AP370" s="80"/>
      <c r="AQ370" s="80"/>
      <c r="AR370" s="80"/>
      <c r="AS370" s="80"/>
      <c r="AT370" s="80"/>
      <c r="AU370" s="80"/>
      <c r="AV370" s="80"/>
      <c r="AW370" s="80"/>
    </row>
    <row r="371" spans="1:49" s="79" customFormat="1" ht="15.75">
      <c r="A371" s="120"/>
      <c r="B371" s="121"/>
      <c r="C371" s="122"/>
      <c r="D371" s="122"/>
      <c r="E371" s="122"/>
      <c r="F371" s="123"/>
      <c r="G371" s="123"/>
      <c r="H371" s="123"/>
      <c r="I371" s="123"/>
      <c r="J371" s="123"/>
      <c r="K371" s="123"/>
      <c r="L371" s="123"/>
      <c r="M371" s="123"/>
      <c r="N371" s="123"/>
      <c r="O371" s="123"/>
      <c r="P371" s="123"/>
      <c r="Q371" s="123"/>
      <c r="R371" s="123"/>
      <c r="S371" s="123"/>
      <c r="T371" s="123"/>
      <c r="U371" s="123"/>
      <c r="V371" s="123"/>
      <c r="W371" s="123"/>
      <c r="X371" s="123"/>
      <c r="Y371" s="123"/>
      <c r="Z371" s="123"/>
      <c r="AA371" s="123"/>
      <c r="AB371" s="123"/>
      <c r="AC371" s="123"/>
      <c r="AD371" s="123"/>
      <c r="AE371" s="123"/>
      <c r="AF371" s="123"/>
      <c r="AG371" s="123"/>
      <c r="AH371" s="123"/>
      <c r="AI371" s="123"/>
      <c r="AJ371" s="123"/>
      <c r="AL371" s="80"/>
      <c r="AM371" s="80"/>
      <c r="AN371" s="80"/>
      <c r="AO371" s="80"/>
      <c r="AP371" s="80"/>
      <c r="AQ371" s="80"/>
      <c r="AR371" s="80"/>
      <c r="AS371" s="80"/>
      <c r="AT371" s="80"/>
      <c r="AU371" s="80"/>
      <c r="AV371" s="80"/>
      <c r="AW371" s="80"/>
    </row>
  </sheetData>
  <mergeCells count="51">
    <mergeCell ref="AN9:AQ9"/>
    <mergeCell ref="AN10:AN11"/>
    <mergeCell ref="AO10:AQ10"/>
    <mergeCell ref="B39:Q39"/>
    <mergeCell ref="AA8:AB8"/>
    <mergeCell ref="AC8:AC9"/>
    <mergeCell ref="AD8:AD9"/>
    <mergeCell ref="AE8:AE9"/>
    <mergeCell ref="AF8:AG8"/>
    <mergeCell ref="AH8:AH9"/>
    <mergeCell ref="T8:T9"/>
    <mergeCell ref="U8:U9"/>
    <mergeCell ref="V8:V9"/>
    <mergeCell ref="W8:W9"/>
    <mergeCell ref="X8:Y8"/>
    <mergeCell ref="AK6:AK9"/>
    <mergeCell ref="J8:J9"/>
    <mergeCell ref="Z6:AB7"/>
    <mergeCell ref="AC6:AD7"/>
    <mergeCell ref="AE6:AG7"/>
    <mergeCell ref="AH6:AJ7"/>
    <mergeCell ref="W6:Y7"/>
    <mergeCell ref="U6:V7"/>
    <mergeCell ref="Z8:Z9"/>
    <mergeCell ref="K8:N8"/>
    <mergeCell ref="O8:O9"/>
    <mergeCell ref="P8:P9"/>
    <mergeCell ref="Q8:Q9"/>
    <mergeCell ref="R8:R9"/>
    <mergeCell ref="S8:S9"/>
    <mergeCell ref="F8:F9"/>
    <mergeCell ref="G8:G9"/>
    <mergeCell ref="H8:H9"/>
    <mergeCell ref="I8:I9"/>
    <mergeCell ref="A4:AK4"/>
    <mergeCell ref="F6:H7"/>
    <mergeCell ref="I6:N7"/>
    <mergeCell ref="O6:Q7"/>
    <mergeCell ref="R6:R7"/>
    <mergeCell ref="S6:T7"/>
    <mergeCell ref="A6:A9"/>
    <mergeCell ref="B6:B9"/>
    <mergeCell ref="C6:C9"/>
    <mergeCell ref="D6:D9"/>
    <mergeCell ref="E6:E9"/>
    <mergeCell ref="AI8:AJ8"/>
    <mergeCell ref="A1:N1"/>
    <mergeCell ref="AA1:AK1"/>
    <mergeCell ref="A2:N2"/>
    <mergeCell ref="AA2:AK2"/>
    <mergeCell ref="A3:AK3"/>
  </mergeCells>
  <printOptions horizontalCentered="1"/>
  <pageMargins left="0.25" right="0.25" top="0.75" bottom="0.75" header="0.3" footer="0.3"/>
  <pageSetup paperSize="9" scale="45" fitToHeight="0" orientation="landscape" r:id="rId1"/>
  <headerFooter differentFirst="1" alignWithMargins="0">
    <oddFooter>&amp;R&amp;P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C375"/>
  <sheetViews>
    <sheetView zoomScale="85" zoomScaleNormal="85" workbookViewId="0">
      <selection activeCell="A2" sqref="A2:H2"/>
    </sheetView>
  </sheetViews>
  <sheetFormatPr defaultColWidth="9.140625" defaultRowHeight="18.75"/>
  <cols>
    <col min="1" max="1" width="5.140625" style="40" customWidth="1"/>
    <col min="2" max="2" width="22.42578125" style="41" customWidth="1"/>
    <col min="3" max="3" width="14.85546875" style="44" customWidth="1"/>
    <col min="4" max="12" width="14.85546875" style="3" customWidth="1"/>
    <col min="13" max="14" width="17.42578125" style="3" hidden="1" customWidth="1"/>
    <col min="15" max="16" width="13.7109375" style="3" hidden="1" customWidth="1"/>
    <col min="17" max="17" width="13.42578125" style="3" customWidth="1"/>
    <col min="18" max="16384" width="9.140625" style="13"/>
  </cols>
  <sheetData>
    <row r="1" spans="1:22" ht="29.45" customHeight="1">
      <c r="A1" s="1728" t="s">
        <v>142</v>
      </c>
      <c r="B1" s="1728"/>
      <c r="C1" s="1728"/>
      <c r="D1" s="1728"/>
      <c r="E1" s="1728"/>
      <c r="F1" s="1728"/>
      <c r="G1" s="1728"/>
      <c r="H1" s="1728"/>
      <c r="I1" s="1764" t="s">
        <v>0</v>
      </c>
      <c r="J1" s="1764"/>
      <c r="K1" s="1764"/>
      <c r="L1" s="1764"/>
      <c r="M1" s="1764"/>
      <c r="N1" s="1764"/>
      <c r="O1" s="2"/>
      <c r="P1" s="2"/>
      <c r="Q1" s="2"/>
      <c r="R1" s="2"/>
    </row>
    <row r="2" spans="1:22" ht="31.9" customHeight="1">
      <c r="A2" s="1729" t="s">
        <v>143</v>
      </c>
      <c r="B2" s="1729"/>
      <c r="C2" s="1729"/>
      <c r="D2" s="1729"/>
      <c r="E2" s="1729"/>
      <c r="F2" s="1729"/>
      <c r="G2" s="1729"/>
      <c r="H2" s="1729"/>
      <c r="I2" s="1765" t="s">
        <v>50</v>
      </c>
      <c r="J2" s="1765"/>
      <c r="K2" s="1765"/>
      <c r="L2" s="1765"/>
      <c r="M2" s="1765"/>
      <c r="N2" s="1765"/>
      <c r="O2" s="2"/>
      <c r="P2" s="2"/>
      <c r="Q2" s="2"/>
      <c r="R2" s="2"/>
    </row>
    <row r="3" spans="1:22" ht="32.450000000000003" customHeight="1">
      <c r="A3" s="1809" t="s">
        <v>51</v>
      </c>
      <c r="B3" s="1809"/>
      <c r="C3" s="1809"/>
      <c r="D3" s="1809"/>
      <c r="E3" s="1809"/>
      <c r="F3" s="1809"/>
      <c r="G3" s="1809"/>
      <c r="H3" s="1809"/>
      <c r="I3" s="1809"/>
      <c r="J3" s="1809"/>
      <c r="K3" s="1809"/>
      <c r="L3" s="1809"/>
      <c r="M3" s="1809"/>
      <c r="N3" s="1809"/>
      <c r="O3" s="1809"/>
      <c r="P3" s="1809"/>
      <c r="Q3" s="1809"/>
      <c r="R3" s="127"/>
      <c r="S3" s="127"/>
      <c r="T3" s="127"/>
      <c r="U3" s="127"/>
      <c r="V3" s="127"/>
    </row>
    <row r="4" spans="1:22" ht="34.15" customHeight="1">
      <c r="A4" s="1808" t="s">
        <v>144</v>
      </c>
      <c r="B4" s="1808"/>
      <c r="C4" s="1808"/>
      <c r="D4" s="1808"/>
      <c r="E4" s="1808"/>
      <c r="F4" s="1808"/>
      <c r="G4" s="1808"/>
      <c r="H4" s="1808"/>
      <c r="I4" s="1808"/>
      <c r="J4" s="1808"/>
      <c r="K4" s="1808"/>
      <c r="L4" s="1808"/>
      <c r="M4" s="1808"/>
      <c r="N4" s="1808"/>
      <c r="O4" s="1808"/>
      <c r="P4" s="1808"/>
      <c r="Q4" s="1808"/>
    </row>
    <row r="5" spans="1:22" s="15" customFormat="1" ht="30" customHeight="1">
      <c r="A5" s="1725" t="s">
        <v>3</v>
      </c>
      <c r="B5" s="1725"/>
      <c r="C5" s="1725"/>
      <c r="D5" s="1725"/>
      <c r="E5" s="1725"/>
      <c r="F5" s="1725"/>
      <c r="G5" s="1725"/>
      <c r="H5" s="1725"/>
      <c r="I5" s="1725"/>
      <c r="J5" s="1725"/>
      <c r="K5" s="1725"/>
      <c r="L5" s="1725"/>
      <c r="M5" s="1725"/>
      <c r="N5" s="1725"/>
      <c r="O5" s="1725"/>
      <c r="P5" s="1725"/>
      <c r="Q5" s="1725"/>
      <c r="R5" s="13"/>
    </row>
    <row r="6" spans="1:22" s="130" customFormat="1" ht="20.25" customHeight="1">
      <c r="A6" s="1735" t="s">
        <v>22</v>
      </c>
      <c r="B6" s="1735" t="s">
        <v>23</v>
      </c>
      <c r="C6" s="1735" t="s">
        <v>26</v>
      </c>
      <c r="D6" s="1754" t="s">
        <v>145</v>
      </c>
      <c r="E6" s="1810" t="s">
        <v>146</v>
      </c>
      <c r="F6" s="1811"/>
      <c r="G6" s="1811"/>
      <c r="H6" s="1811"/>
      <c r="I6" s="1810" t="s">
        <v>29</v>
      </c>
      <c r="J6" s="1811"/>
      <c r="K6" s="1811"/>
      <c r="L6" s="1811"/>
      <c r="M6" s="128"/>
      <c r="N6" s="128"/>
      <c r="O6" s="128"/>
      <c r="P6" s="129"/>
      <c r="Q6" s="1735" t="s">
        <v>7</v>
      </c>
      <c r="R6" s="1815"/>
      <c r="S6" s="1810" t="s">
        <v>147</v>
      </c>
      <c r="T6" s="1811"/>
      <c r="U6" s="1811"/>
      <c r="V6" s="1811"/>
    </row>
    <row r="7" spans="1:22" s="17" customFormat="1" ht="14.25" customHeight="1">
      <c r="A7" s="1736"/>
      <c r="B7" s="1736"/>
      <c r="C7" s="1736"/>
      <c r="D7" s="1755"/>
      <c r="E7" s="1812"/>
      <c r="F7" s="1813"/>
      <c r="G7" s="1813"/>
      <c r="H7" s="1813"/>
      <c r="I7" s="1812"/>
      <c r="J7" s="1813"/>
      <c r="K7" s="1813"/>
      <c r="L7" s="1813"/>
      <c r="M7" s="1743" t="s">
        <v>148</v>
      </c>
      <c r="N7" s="1743"/>
      <c r="O7" s="1743"/>
      <c r="P7" s="1743"/>
      <c r="Q7" s="1736"/>
      <c r="R7" s="1815"/>
      <c r="S7" s="1812"/>
      <c r="T7" s="1813"/>
      <c r="U7" s="1813"/>
      <c r="V7" s="1813"/>
    </row>
    <row r="8" spans="1:22" s="17" customFormat="1" ht="65.25" customHeight="1">
      <c r="A8" s="1736"/>
      <c r="B8" s="1736"/>
      <c r="C8" s="1736"/>
      <c r="D8" s="1755"/>
      <c r="E8" s="1743" t="s">
        <v>149</v>
      </c>
      <c r="F8" s="1743"/>
      <c r="G8" s="1743" t="s">
        <v>150</v>
      </c>
      <c r="H8" s="1743" t="s">
        <v>151</v>
      </c>
      <c r="I8" s="1743" t="s">
        <v>149</v>
      </c>
      <c r="J8" s="1743"/>
      <c r="K8" s="1743" t="s">
        <v>150</v>
      </c>
      <c r="L8" s="1743" t="s">
        <v>151</v>
      </c>
      <c r="M8" s="1743" t="s">
        <v>152</v>
      </c>
      <c r="N8" s="1743"/>
      <c r="O8" s="1743" t="s">
        <v>150</v>
      </c>
      <c r="P8" s="1743" t="s">
        <v>151</v>
      </c>
      <c r="Q8" s="1736"/>
      <c r="R8" s="1815"/>
      <c r="S8" s="1743" t="s">
        <v>149</v>
      </c>
      <c r="T8" s="1743"/>
      <c r="U8" s="1743" t="s">
        <v>150</v>
      </c>
      <c r="V8" s="1743" t="s">
        <v>151</v>
      </c>
    </row>
    <row r="9" spans="1:22" s="17" customFormat="1" ht="52.5" customHeight="1">
      <c r="A9" s="1737"/>
      <c r="B9" s="1737"/>
      <c r="C9" s="1737"/>
      <c r="D9" s="1756"/>
      <c r="E9" s="45" t="s">
        <v>153</v>
      </c>
      <c r="F9" s="45" t="s">
        <v>154</v>
      </c>
      <c r="G9" s="1743"/>
      <c r="H9" s="1743"/>
      <c r="I9" s="45" t="s">
        <v>153</v>
      </c>
      <c r="J9" s="45" t="s">
        <v>154</v>
      </c>
      <c r="K9" s="1743"/>
      <c r="L9" s="1743"/>
      <c r="M9" s="45" t="s">
        <v>153</v>
      </c>
      <c r="N9" s="45" t="s">
        <v>154</v>
      </c>
      <c r="O9" s="1743"/>
      <c r="P9" s="1743"/>
      <c r="Q9" s="1737"/>
      <c r="R9" s="38"/>
      <c r="S9" s="45" t="s">
        <v>153</v>
      </c>
      <c r="T9" s="45" t="s">
        <v>154</v>
      </c>
      <c r="U9" s="1743"/>
      <c r="V9" s="1743"/>
    </row>
    <row r="10" spans="1:22" s="20" customFormat="1" ht="21.4" customHeight="1">
      <c r="A10" s="19">
        <v>1</v>
      </c>
      <c r="B10" s="19">
        <v>2</v>
      </c>
      <c r="C10" s="19">
        <v>3</v>
      </c>
      <c r="D10" s="19">
        <v>4</v>
      </c>
      <c r="E10" s="19">
        <v>5</v>
      </c>
      <c r="F10" s="19">
        <v>6</v>
      </c>
      <c r="G10" s="19">
        <v>7</v>
      </c>
      <c r="H10" s="19">
        <v>8</v>
      </c>
      <c r="I10" s="19">
        <v>9</v>
      </c>
      <c r="J10" s="19">
        <v>10</v>
      </c>
      <c r="K10" s="19">
        <v>11</v>
      </c>
      <c r="L10" s="19">
        <v>12</v>
      </c>
      <c r="M10" s="19">
        <v>9</v>
      </c>
      <c r="N10" s="19">
        <v>10</v>
      </c>
      <c r="O10" s="19">
        <v>11</v>
      </c>
      <c r="P10" s="19">
        <v>12</v>
      </c>
      <c r="Q10" s="19">
        <v>13</v>
      </c>
    </row>
    <row r="11" spans="1:22" ht="36.75" customHeight="1">
      <c r="A11" s="33"/>
      <c r="B11" s="24" t="s">
        <v>13</v>
      </c>
      <c r="C11" s="34"/>
      <c r="D11" s="35"/>
      <c r="E11" s="35"/>
      <c r="F11" s="35"/>
      <c r="G11" s="35"/>
      <c r="H11" s="35"/>
      <c r="I11" s="35"/>
      <c r="J11" s="35"/>
      <c r="K11" s="35"/>
      <c r="L11" s="35"/>
      <c r="M11" s="35"/>
      <c r="N11" s="35"/>
      <c r="O11" s="35"/>
      <c r="P11" s="35"/>
      <c r="Q11" s="35"/>
    </row>
    <row r="12" spans="1:22" s="26" customFormat="1" ht="36.75" customHeight="1">
      <c r="A12" s="30" t="s">
        <v>38</v>
      </c>
      <c r="B12" s="31" t="s">
        <v>39</v>
      </c>
      <c r="C12" s="24"/>
      <c r="D12" s="25"/>
      <c r="E12" s="25"/>
      <c r="F12" s="25"/>
      <c r="G12" s="25"/>
      <c r="H12" s="25"/>
      <c r="I12" s="25"/>
      <c r="J12" s="25"/>
      <c r="K12" s="25"/>
      <c r="L12" s="25"/>
      <c r="M12" s="25"/>
      <c r="N12" s="25"/>
      <c r="O12" s="25"/>
      <c r="P12" s="25"/>
      <c r="Q12" s="25"/>
    </row>
    <row r="13" spans="1:22" s="26" customFormat="1" ht="36.75" customHeight="1">
      <c r="A13" s="30" t="s">
        <v>40</v>
      </c>
      <c r="B13" s="31" t="s">
        <v>39</v>
      </c>
      <c r="C13" s="24"/>
      <c r="D13" s="25"/>
      <c r="E13" s="25"/>
      <c r="F13" s="25"/>
      <c r="G13" s="25"/>
      <c r="H13" s="25"/>
      <c r="I13" s="25"/>
      <c r="J13" s="25"/>
      <c r="K13" s="25"/>
      <c r="L13" s="25"/>
      <c r="M13" s="25"/>
      <c r="N13" s="25"/>
      <c r="O13" s="25"/>
      <c r="P13" s="25"/>
      <c r="Q13" s="25"/>
    </row>
    <row r="14" spans="1:22" s="26" customFormat="1" ht="36.75" customHeight="1">
      <c r="A14" s="30" t="s">
        <v>41</v>
      </c>
      <c r="B14" s="32" t="s">
        <v>42</v>
      </c>
      <c r="C14" s="24"/>
      <c r="D14" s="25"/>
      <c r="E14" s="25"/>
      <c r="F14" s="25"/>
      <c r="G14" s="25"/>
      <c r="H14" s="25"/>
      <c r="I14" s="25"/>
      <c r="J14" s="25"/>
      <c r="K14" s="25"/>
      <c r="L14" s="25"/>
      <c r="M14" s="25"/>
      <c r="N14" s="25"/>
      <c r="O14" s="25"/>
      <c r="P14" s="25"/>
      <c r="Q14" s="25"/>
    </row>
    <row r="15" spans="1:22" s="26" customFormat="1" ht="8.25" customHeight="1">
      <c r="A15" s="131"/>
      <c r="B15" s="132"/>
      <c r="C15" s="133"/>
      <c r="D15" s="60"/>
      <c r="E15" s="60"/>
      <c r="F15" s="60"/>
      <c r="G15" s="60"/>
      <c r="H15" s="60"/>
      <c r="I15" s="60"/>
      <c r="J15" s="60"/>
      <c r="K15" s="60"/>
      <c r="L15" s="60"/>
      <c r="M15" s="60"/>
      <c r="N15" s="60"/>
      <c r="O15" s="60"/>
      <c r="P15" s="60"/>
      <c r="Q15" s="60"/>
    </row>
    <row r="16" spans="1:22" s="14" customFormat="1" ht="35.25" customHeight="1">
      <c r="A16" s="66"/>
      <c r="B16" s="1816" t="s">
        <v>89</v>
      </c>
      <c r="C16" s="1816"/>
      <c r="D16" s="1816"/>
      <c r="E16" s="1816"/>
      <c r="F16" s="1816"/>
      <c r="G16" s="1816"/>
      <c r="H16" s="1816"/>
      <c r="I16" s="1816"/>
      <c r="J16" s="1816"/>
      <c r="K16" s="1816"/>
      <c r="L16" s="1816"/>
      <c r="M16" s="1816"/>
      <c r="N16" s="1816"/>
      <c r="O16" s="1816"/>
      <c r="P16" s="1816"/>
      <c r="Q16" s="1816"/>
    </row>
    <row r="17" spans="1:17" ht="0.75" customHeight="1">
      <c r="A17" s="36"/>
      <c r="B17" s="37"/>
      <c r="C17" s="38"/>
      <c r="D17" s="39"/>
      <c r="E17" s="39"/>
      <c r="F17" s="39"/>
      <c r="G17" s="39"/>
      <c r="H17" s="39"/>
      <c r="I17" s="39"/>
      <c r="J17" s="39"/>
      <c r="K17" s="39"/>
      <c r="L17" s="39"/>
      <c r="M17" s="39"/>
      <c r="N17" s="39"/>
      <c r="O17" s="39"/>
      <c r="P17" s="39"/>
      <c r="Q17" s="39"/>
    </row>
    <row r="18" spans="1:17" s="134" customFormat="1" ht="25.5" customHeight="1">
      <c r="A18" s="131"/>
      <c r="B18" s="1782" t="s">
        <v>20</v>
      </c>
      <c r="C18" s="1782"/>
      <c r="D18" s="1782"/>
      <c r="E18" s="1782"/>
      <c r="F18" s="1782"/>
      <c r="G18" s="1782"/>
      <c r="H18" s="1782"/>
      <c r="I18" s="1782"/>
      <c r="J18" s="1782"/>
      <c r="K18" s="1782"/>
      <c r="L18" s="1782"/>
      <c r="M18" s="1782"/>
      <c r="N18" s="1782"/>
      <c r="O18" s="1782"/>
      <c r="P18" s="1782"/>
      <c r="Q18" s="1782"/>
    </row>
    <row r="19" spans="1:17" s="134" customFormat="1" ht="25.5" customHeight="1">
      <c r="A19" s="131"/>
      <c r="B19" s="135" t="s">
        <v>155</v>
      </c>
      <c r="C19" s="131"/>
      <c r="D19" s="131"/>
      <c r="E19" s="131"/>
      <c r="F19" s="131"/>
      <c r="G19" s="131"/>
      <c r="H19" s="131"/>
      <c r="I19" s="131"/>
      <c r="J19" s="131"/>
      <c r="K19" s="131"/>
      <c r="L19" s="131"/>
      <c r="M19" s="131"/>
      <c r="N19" s="131"/>
      <c r="O19" s="131"/>
      <c r="P19" s="131"/>
    </row>
    <row r="20" spans="1:17" s="134" customFormat="1" ht="25.5" customHeight="1">
      <c r="A20" s="131"/>
      <c r="B20" s="136"/>
      <c r="C20" s="131"/>
      <c r="D20" s="131"/>
      <c r="E20" s="131"/>
      <c r="F20" s="131"/>
      <c r="G20" s="131"/>
      <c r="H20" s="131"/>
      <c r="I20" s="131"/>
      <c r="J20" s="131"/>
      <c r="K20" s="131"/>
      <c r="L20" s="131"/>
      <c r="M20" s="131"/>
      <c r="N20" s="131"/>
      <c r="O20" s="131"/>
      <c r="P20" s="131"/>
    </row>
    <row r="21" spans="1:17" s="134" customFormat="1" ht="25.5" customHeight="1">
      <c r="A21" s="137"/>
    </row>
    <row r="22" spans="1:17" s="134" customFormat="1" ht="25.5" customHeight="1">
      <c r="A22" s="137"/>
      <c r="C22" s="137"/>
      <c r="D22" s="137"/>
      <c r="E22" s="137"/>
      <c r="F22" s="137"/>
      <c r="G22" s="137"/>
      <c r="H22" s="137"/>
      <c r="I22" s="137"/>
      <c r="J22" s="137"/>
      <c r="K22" s="137"/>
      <c r="L22" s="137"/>
      <c r="M22" s="137"/>
      <c r="N22" s="137"/>
      <c r="O22" s="137"/>
      <c r="P22" s="137"/>
    </row>
    <row r="23" spans="1:17" s="134" customFormat="1" ht="25.5" customHeight="1">
      <c r="A23" s="137"/>
      <c r="C23" s="137"/>
      <c r="D23" s="137"/>
      <c r="E23" s="137"/>
      <c r="F23" s="137"/>
      <c r="G23" s="137"/>
      <c r="H23" s="137"/>
      <c r="I23" s="137"/>
      <c r="J23" s="137"/>
      <c r="K23" s="137"/>
      <c r="L23" s="137"/>
      <c r="M23" s="137"/>
      <c r="N23" s="137"/>
      <c r="O23" s="137"/>
      <c r="P23" s="137"/>
    </row>
    <row r="24" spans="1:17" s="134" customFormat="1" ht="25.5" customHeight="1">
      <c r="A24" s="137"/>
      <c r="C24" s="137"/>
      <c r="D24" s="137"/>
      <c r="E24" s="137"/>
      <c r="F24" s="137"/>
      <c r="G24" s="137"/>
      <c r="H24" s="137"/>
      <c r="I24" s="137"/>
      <c r="J24" s="137"/>
      <c r="K24" s="137"/>
      <c r="L24" s="137"/>
      <c r="M24" s="137"/>
      <c r="N24" s="137"/>
      <c r="O24" s="137"/>
      <c r="P24" s="137"/>
    </row>
    <row r="25" spans="1:17" s="134" customFormat="1" ht="25.5" customHeight="1">
      <c r="A25" s="137"/>
      <c r="C25" s="137"/>
      <c r="D25" s="137"/>
      <c r="E25" s="137"/>
      <c r="F25" s="137"/>
      <c r="G25" s="137"/>
      <c r="H25" s="137"/>
      <c r="I25" s="137"/>
      <c r="J25" s="137"/>
      <c r="K25" s="137"/>
      <c r="L25" s="137"/>
      <c r="M25" s="137"/>
      <c r="N25" s="137"/>
      <c r="O25" s="137"/>
      <c r="P25" s="137"/>
    </row>
    <row r="26" spans="1:17" s="134" customFormat="1" ht="25.5" customHeight="1">
      <c r="A26" s="137"/>
      <c r="C26" s="137"/>
      <c r="D26" s="137"/>
      <c r="E26" s="137"/>
      <c r="F26" s="137"/>
      <c r="G26" s="137"/>
      <c r="H26" s="137"/>
      <c r="I26" s="137"/>
      <c r="J26" s="137"/>
      <c r="K26" s="137"/>
      <c r="L26" s="137"/>
      <c r="M26" s="137"/>
      <c r="N26" s="137"/>
      <c r="O26" s="137"/>
      <c r="P26" s="137"/>
    </row>
    <row r="27" spans="1:17" s="134" customFormat="1" ht="25.5" customHeight="1">
      <c r="A27" s="137"/>
      <c r="C27" s="137"/>
      <c r="D27" s="137"/>
      <c r="E27" s="137"/>
      <c r="F27" s="137"/>
      <c r="G27" s="137"/>
      <c r="H27" s="137"/>
      <c r="I27" s="137"/>
      <c r="J27" s="137"/>
      <c r="K27" s="137"/>
      <c r="L27" s="137"/>
      <c r="M27" s="137"/>
      <c r="N27" s="137"/>
      <c r="O27" s="137"/>
      <c r="P27" s="137"/>
    </row>
    <row r="28" spans="1:17" s="134" customFormat="1" ht="25.5" customHeight="1">
      <c r="A28" s="137"/>
      <c r="C28" s="137"/>
      <c r="D28" s="137"/>
      <c r="E28" s="137"/>
      <c r="F28" s="137"/>
      <c r="G28" s="137"/>
      <c r="H28" s="137"/>
      <c r="I28" s="137"/>
      <c r="J28" s="137"/>
      <c r="K28" s="137"/>
      <c r="L28" s="137"/>
      <c r="M28" s="137"/>
      <c r="N28" s="137"/>
      <c r="O28" s="137"/>
      <c r="P28" s="137"/>
    </row>
    <row r="29" spans="1:17" s="134" customFormat="1" ht="25.5" hidden="1" customHeight="1">
      <c r="A29" s="137"/>
      <c r="C29" s="137"/>
      <c r="D29" s="137"/>
      <c r="E29" s="137"/>
      <c r="F29" s="137"/>
      <c r="G29" s="137"/>
      <c r="H29" s="137"/>
      <c r="I29" s="137"/>
      <c r="J29" s="137"/>
      <c r="K29" s="137"/>
      <c r="L29" s="137"/>
      <c r="M29" s="137"/>
      <c r="N29" s="137"/>
      <c r="O29" s="137"/>
      <c r="P29" s="137"/>
    </row>
    <row r="30" spans="1:17" s="134" customFormat="1" ht="25.5" hidden="1" customHeight="1">
      <c r="A30" s="137"/>
      <c r="C30" s="137"/>
      <c r="D30" s="137"/>
      <c r="E30" s="137"/>
      <c r="F30" s="137"/>
      <c r="G30" s="137"/>
      <c r="H30" s="137"/>
      <c r="I30" s="137"/>
      <c r="J30" s="137"/>
      <c r="K30" s="137"/>
      <c r="L30" s="137"/>
      <c r="M30" s="137"/>
      <c r="N30" s="137"/>
      <c r="O30" s="137"/>
      <c r="P30" s="137"/>
    </row>
    <row r="31" spans="1:17" s="134" customFormat="1" ht="25.5" hidden="1" customHeight="1"/>
    <row r="32" spans="1:17" s="134" customFormat="1" ht="25.5" hidden="1" customHeight="1"/>
    <row r="33" spans="1:29" s="134" customFormat="1" ht="25.5" hidden="1" customHeight="1">
      <c r="A33" s="137"/>
      <c r="C33" s="137"/>
      <c r="D33" s="137"/>
      <c r="E33" s="137"/>
      <c r="F33" s="137"/>
      <c r="G33" s="137"/>
      <c r="H33" s="137"/>
      <c r="I33" s="137"/>
      <c r="J33" s="137"/>
      <c r="K33" s="137"/>
      <c r="L33" s="137"/>
      <c r="M33" s="137"/>
      <c r="N33" s="137"/>
      <c r="O33" s="137"/>
      <c r="P33" s="137"/>
    </row>
    <row r="34" spans="1:29" s="134" customFormat="1" ht="25.5" hidden="1" customHeight="1"/>
    <row r="35" spans="1:29" s="134" customFormat="1" ht="25.5" hidden="1" customHeight="1"/>
    <row r="36" spans="1:29" s="134" customFormat="1" ht="25.5" hidden="1" customHeight="1"/>
    <row r="37" spans="1:29" s="134" customFormat="1" ht="25.5" hidden="1" customHeight="1"/>
    <row r="38" spans="1:29" s="134" customFormat="1" ht="25.5" hidden="1" customHeight="1"/>
    <row r="39" spans="1:29" ht="19.899999999999999" customHeight="1">
      <c r="B39" s="1814"/>
      <c r="C39" s="1814"/>
      <c r="D39" s="1814"/>
      <c r="E39" s="1814"/>
      <c r="F39" s="1814"/>
      <c r="G39" s="1814"/>
      <c r="H39" s="1814"/>
      <c r="I39" s="1814"/>
      <c r="J39" s="1814"/>
      <c r="K39" s="1814"/>
      <c r="L39" s="1814"/>
      <c r="M39" s="42"/>
      <c r="N39" s="42"/>
      <c r="O39" s="42"/>
      <c r="P39" s="42"/>
    </row>
    <row r="40" spans="1:29" ht="19.899999999999999" customHeight="1"/>
    <row r="41" spans="1:29" ht="19.899999999999999" customHeight="1"/>
    <row r="42" spans="1:29" ht="19.899999999999999" customHeight="1"/>
    <row r="43" spans="1:29" ht="19.899999999999999" customHeight="1"/>
    <row r="44" spans="1:29" ht="19.899999999999999" customHeight="1"/>
    <row r="45" spans="1:29" s="3" customFormat="1" ht="19.899999999999999" customHeight="1">
      <c r="A45" s="40"/>
      <c r="B45" s="41"/>
      <c r="C45" s="44"/>
      <c r="R45" s="13"/>
      <c r="S45" s="13"/>
      <c r="T45" s="13"/>
      <c r="U45" s="13"/>
      <c r="V45" s="13"/>
      <c r="W45" s="13"/>
      <c r="X45" s="13"/>
      <c r="Y45" s="13"/>
      <c r="Z45" s="13"/>
      <c r="AA45" s="13"/>
      <c r="AB45" s="13"/>
      <c r="AC45" s="13"/>
    </row>
    <row r="46" spans="1:29" s="3" customFormat="1" ht="19.899999999999999" customHeight="1">
      <c r="A46" s="40"/>
      <c r="B46" s="41"/>
      <c r="C46" s="44"/>
      <c r="R46" s="13"/>
      <c r="S46" s="13"/>
      <c r="T46" s="13"/>
      <c r="U46" s="13"/>
      <c r="V46" s="13"/>
      <c r="W46" s="13"/>
      <c r="X46" s="13"/>
      <c r="Y46" s="13"/>
      <c r="Z46" s="13"/>
      <c r="AA46" s="13"/>
      <c r="AB46" s="13"/>
      <c r="AC46" s="13"/>
    </row>
    <row r="47" spans="1:29" s="3" customFormat="1" ht="19.899999999999999" customHeight="1">
      <c r="A47" s="40"/>
      <c r="B47" s="41"/>
      <c r="C47" s="44"/>
      <c r="R47" s="13"/>
      <c r="S47" s="13"/>
      <c r="T47" s="13"/>
      <c r="U47" s="13"/>
      <c r="V47" s="13"/>
      <c r="W47" s="13"/>
      <c r="X47" s="13"/>
      <c r="Y47" s="13"/>
      <c r="Z47" s="13"/>
      <c r="AA47" s="13"/>
      <c r="AB47" s="13"/>
      <c r="AC47" s="13"/>
    </row>
    <row r="48" spans="1:29" s="3" customFormat="1" ht="19.899999999999999" customHeight="1">
      <c r="A48" s="40"/>
      <c r="B48" s="41"/>
      <c r="C48" s="44"/>
      <c r="R48" s="13"/>
      <c r="S48" s="13"/>
      <c r="T48" s="13"/>
      <c r="U48" s="13"/>
      <c r="V48" s="13"/>
      <c r="W48" s="13"/>
      <c r="X48" s="13"/>
      <c r="Y48" s="13"/>
      <c r="Z48" s="13"/>
      <c r="AA48" s="13"/>
      <c r="AB48" s="13"/>
      <c r="AC48" s="13"/>
    </row>
    <row r="49" spans="1:29" s="3" customFormat="1" ht="19.899999999999999" customHeight="1">
      <c r="A49" s="40"/>
      <c r="B49" s="41"/>
      <c r="C49" s="44"/>
      <c r="R49" s="13"/>
      <c r="S49" s="13"/>
      <c r="T49" s="13"/>
      <c r="U49" s="13"/>
      <c r="V49" s="13"/>
      <c r="W49" s="13"/>
      <c r="X49" s="13"/>
      <c r="Y49" s="13"/>
      <c r="Z49" s="13"/>
      <c r="AA49" s="13"/>
      <c r="AB49" s="13"/>
      <c r="AC49" s="13"/>
    </row>
    <row r="50" spans="1:29" s="3" customFormat="1" ht="19.899999999999999" customHeight="1">
      <c r="A50" s="40"/>
      <c r="B50" s="41"/>
      <c r="C50" s="44"/>
      <c r="R50" s="13"/>
      <c r="S50" s="13"/>
      <c r="T50" s="13"/>
      <c r="U50" s="13"/>
      <c r="V50" s="13"/>
      <c r="W50" s="13"/>
      <c r="X50" s="13"/>
      <c r="Y50" s="13"/>
      <c r="Z50" s="13"/>
      <c r="AA50" s="13"/>
      <c r="AB50" s="13"/>
      <c r="AC50" s="13"/>
    </row>
    <row r="51" spans="1:29" s="3" customFormat="1" ht="19.899999999999999" customHeight="1">
      <c r="A51" s="40"/>
      <c r="B51" s="41"/>
      <c r="C51" s="44"/>
      <c r="R51" s="13"/>
      <c r="S51" s="13"/>
      <c r="T51" s="13"/>
      <c r="U51" s="13"/>
      <c r="V51" s="13"/>
      <c r="W51" s="13"/>
      <c r="X51" s="13"/>
      <c r="Y51" s="13"/>
      <c r="Z51" s="13"/>
      <c r="AA51" s="13"/>
      <c r="AB51" s="13"/>
      <c r="AC51" s="13"/>
    </row>
    <row r="52" spans="1:29" s="3" customFormat="1" ht="19.899999999999999" customHeight="1">
      <c r="A52" s="40"/>
      <c r="B52" s="41"/>
      <c r="C52" s="44"/>
      <c r="R52" s="13"/>
      <c r="S52" s="13"/>
      <c r="T52" s="13"/>
      <c r="U52" s="13"/>
      <c r="V52" s="13"/>
      <c r="W52" s="13"/>
      <c r="X52" s="13"/>
      <c r="Y52" s="13"/>
      <c r="Z52" s="13"/>
      <c r="AA52" s="13"/>
      <c r="AB52" s="13"/>
      <c r="AC52" s="13"/>
    </row>
    <row r="53" spans="1:29" s="3" customFormat="1" ht="19.899999999999999" customHeight="1">
      <c r="A53" s="40"/>
      <c r="B53" s="41"/>
      <c r="C53" s="44"/>
      <c r="R53" s="13"/>
      <c r="S53" s="13"/>
      <c r="T53" s="13"/>
      <c r="U53" s="13"/>
      <c r="V53" s="13"/>
      <c r="W53" s="13"/>
      <c r="X53" s="13"/>
      <c r="Y53" s="13"/>
      <c r="Z53" s="13"/>
      <c r="AA53" s="13"/>
      <c r="AB53" s="13"/>
      <c r="AC53" s="13"/>
    </row>
    <row r="54" spans="1:29" s="3" customFormat="1">
      <c r="A54" s="40"/>
      <c r="B54" s="41"/>
      <c r="C54" s="44"/>
      <c r="R54" s="13"/>
      <c r="S54" s="13"/>
      <c r="T54" s="13"/>
      <c r="U54" s="13"/>
      <c r="V54" s="13"/>
      <c r="W54" s="13"/>
      <c r="X54" s="13"/>
      <c r="Y54" s="13"/>
      <c r="Z54" s="13"/>
      <c r="AA54" s="13"/>
      <c r="AB54" s="13"/>
      <c r="AC54" s="13"/>
    </row>
    <row r="55" spans="1:29" s="3" customFormat="1">
      <c r="A55" s="40"/>
      <c r="B55" s="41"/>
      <c r="C55" s="44"/>
      <c r="R55" s="13"/>
      <c r="S55" s="13"/>
      <c r="T55" s="13"/>
      <c r="U55" s="13"/>
      <c r="V55" s="13"/>
      <c r="W55" s="13"/>
      <c r="X55" s="13"/>
      <c r="Y55" s="13"/>
      <c r="Z55" s="13"/>
      <c r="AA55" s="13"/>
      <c r="AB55" s="13"/>
      <c r="AC55" s="13"/>
    </row>
    <row r="56" spans="1:29" s="3" customFormat="1">
      <c r="A56" s="40"/>
      <c r="B56" s="41"/>
      <c r="C56" s="44"/>
      <c r="R56" s="13"/>
      <c r="S56" s="13"/>
      <c r="T56" s="13"/>
      <c r="U56" s="13"/>
      <c r="V56" s="13"/>
      <c r="W56" s="13"/>
      <c r="X56" s="13"/>
      <c r="Y56" s="13"/>
      <c r="Z56" s="13"/>
      <c r="AA56" s="13"/>
      <c r="AB56" s="13"/>
      <c r="AC56" s="13"/>
    </row>
    <row r="57" spans="1:29" s="3" customFormat="1">
      <c r="A57" s="40"/>
      <c r="B57" s="41"/>
      <c r="C57" s="44"/>
      <c r="R57" s="13"/>
      <c r="S57" s="13"/>
      <c r="T57" s="13"/>
      <c r="U57" s="13"/>
      <c r="V57" s="13"/>
      <c r="W57" s="13"/>
      <c r="X57" s="13"/>
      <c r="Y57" s="13"/>
      <c r="Z57" s="13"/>
      <c r="AA57" s="13"/>
      <c r="AB57" s="13"/>
      <c r="AC57" s="13"/>
    </row>
    <row r="58" spans="1:29" s="3" customFormat="1">
      <c r="A58" s="40"/>
      <c r="B58" s="41"/>
      <c r="C58" s="44"/>
      <c r="R58" s="13"/>
      <c r="S58" s="13"/>
      <c r="T58" s="13"/>
      <c r="U58" s="13"/>
      <c r="V58" s="13"/>
      <c r="W58" s="13"/>
      <c r="X58" s="13"/>
      <c r="Y58" s="13"/>
      <c r="Z58" s="13"/>
      <c r="AA58" s="13"/>
      <c r="AB58" s="13"/>
      <c r="AC58" s="13"/>
    </row>
    <row r="59" spans="1:29" s="3" customFormat="1">
      <c r="A59" s="40"/>
      <c r="B59" s="41"/>
      <c r="C59" s="44"/>
      <c r="R59" s="13"/>
      <c r="S59" s="13"/>
      <c r="T59" s="13"/>
      <c r="U59" s="13"/>
      <c r="V59" s="13"/>
      <c r="W59" s="13"/>
      <c r="X59" s="13"/>
      <c r="Y59" s="13"/>
      <c r="Z59" s="13"/>
      <c r="AA59" s="13"/>
      <c r="AB59" s="13"/>
      <c r="AC59" s="13"/>
    </row>
    <row r="60" spans="1:29" s="3" customFormat="1">
      <c r="A60" s="40"/>
      <c r="B60" s="41"/>
      <c r="C60" s="44"/>
      <c r="R60" s="13"/>
      <c r="S60" s="13"/>
      <c r="T60" s="13"/>
      <c r="U60" s="13"/>
      <c r="V60" s="13"/>
      <c r="W60" s="13"/>
      <c r="X60" s="13"/>
      <c r="Y60" s="13"/>
      <c r="Z60" s="13"/>
      <c r="AA60" s="13"/>
      <c r="AB60" s="13"/>
      <c r="AC60" s="13"/>
    </row>
    <row r="61" spans="1:29" s="3" customFormat="1">
      <c r="A61" s="40"/>
      <c r="B61" s="41"/>
      <c r="C61" s="44"/>
      <c r="R61" s="13"/>
      <c r="S61" s="13"/>
      <c r="T61" s="13"/>
      <c r="U61" s="13"/>
      <c r="V61" s="13"/>
      <c r="W61" s="13"/>
      <c r="X61" s="13"/>
      <c r="Y61" s="13"/>
      <c r="Z61" s="13"/>
      <c r="AA61" s="13"/>
      <c r="AB61" s="13"/>
      <c r="AC61" s="13"/>
    </row>
    <row r="62" spans="1:29" s="3" customFormat="1">
      <c r="A62" s="40"/>
      <c r="B62" s="41"/>
      <c r="C62" s="44"/>
      <c r="R62" s="13"/>
      <c r="S62" s="13"/>
      <c r="T62" s="13"/>
      <c r="U62" s="13"/>
      <c r="V62" s="13"/>
      <c r="W62" s="13"/>
      <c r="X62" s="13"/>
      <c r="Y62" s="13"/>
      <c r="Z62" s="13"/>
      <c r="AA62" s="13"/>
      <c r="AB62" s="13"/>
      <c r="AC62" s="13"/>
    </row>
    <row r="63" spans="1:29" s="3" customFormat="1">
      <c r="A63" s="40"/>
      <c r="B63" s="41"/>
      <c r="C63" s="44"/>
      <c r="R63" s="13"/>
      <c r="S63" s="13"/>
      <c r="T63" s="13"/>
      <c r="U63" s="13"/>
      <c r="V63" s="13"/>
      <c r="W63" s="13"/>
      <c r="X63" s="13"/>
      <c r="Y63" s="13"/>
      <c r="Z63" s="13"/>
      <c r="AA63" s="13"/>
      <c r="AB63" s="13"/>
      <c r="AC63" s="13"/>
    </row>
    <row r="64" spans="1:29" s="3" customFormat="1">
      <c r="A64" s="40"/>
      <c r="B64" s="41"/>
      <c r="C64" s="44"/>
      <c r="R64" s="13"/>
      <c r="S64" s="13"/>
      <c r="T64" s="13"/>
      <c r="U64" s="13"/>
      <c r="V64" s="13"/>
      <c r="W64" s="13"/>
      <c r="X64" s="13"/>
      <c r="Y64" s="13"/>
      <c r="Z64" s="13"/>
      <c r="AA64" s="13"/>
      <c r="AB64" s="13"/>
      <c r="AC64" s="13"/>
    </row>
    <row r="65" spans="1:29" s="3" customFormat="1">
      <c r="A65" s="40"/>
      <c r="B65" s="41"/>
      <c r="C65" s="44"/>
      <c r="R65" s="13"/>
      <c r="S65" s="13"/>
      <c r="T65" s="13"/>
      <c r="U65" s="13"/>
      <c r="V65" s="13"/>
      <c r="W65" s="13"/>
      <c r="X65" s="13"/>
      <c r="Y65" s="13"/>
      <c r="Z65" s="13"/>
      <c r="AA65" s="13"/>
      <c r="AB65" s="13"/>
      <c r="AC65" s="13"/>
    </row>
    <row r="66" spans="1:29" s="3" customFormat="1">
      <c r="A66" s="40"/>
      <c r="B66" s="41"/>
      <c r="C66" s="44"/>
      <c r="R66" s="13"/>
      <c r="S66" s="13"/>
      <c r="T66" s="13"/>
      <c r="U66" s="13"/>
      <c r="V66" s="13"/>
      <c r="W66" s="13"/>
      <c r="X66" s="13"/>
      <c r="Y66" s="13"/>
      <c r="Z66" s="13"/>
      <c r="AA66" s="13"/>
      <c r="AB66" s="13"/>
      <c r="AC66" s="13"/>
    </row>
    <row r="67" spans="1:29" s="3" customFormat="1">
      <c r="A67" s="40"/>
      <c r="B67" s="41"/>
      <c r="C67" s="44"/>
      <c r="R67" s="13"/>
      <c r="S67" s="13"/>
      <c r="T67" s="13"/>
      <c r="U67" s="13"/>
      <c r="V67" s="13"/>
      <c r="W67" s="13"/>
      <c r="X67" s="13"/>
      <c r="Y67" s="13"/>
      <c r="Z67" s="13"/>
      <c r="AA67" s="13"/>
      <c r="AB67" s="13"/>
      <c r="AC67" s="13"/>
    </row>
    <row r="68" spans="1:29" s="3" customFormat="1">
      <c r="A68" s="40"/>
      <c r="B68" s="41"/>
      <c r="C68" s="44"/>
      <c r="R68" s="13"/>
      <c r="S68" s="13"/>
      <c r="T68" s="13"/>
      <c r="U68" s="13"/>
      <c r="V68" s="13"/>
      <c r="W68" s="13"/>
      <c r="X68" s="13"/>
      <c r="Y68" s="13"/>
      <c r="Z68" s="13"/>
      <c r="AA68" s="13"/>
      <c r="AB68" s="13"/>
      <c r="AC68" s="13"/>
    </row>
    <row r="69" spans="1:29" s="3" customFormat="1">
      <c r="A69" s="40"/>
      <c r="B69" s="41"/>
      <c r="C69" s="44"/>
      <c r="R69" s="13"/>
      <c r="S69" s="13"/>
      <c r="T69" s="13"/>
      <c r="U69" s="13"/>
      <c r="V69" s="13"/>
      <c r="W69" s="13"/>
      <c r="X69" s="13"/>
      <c r="Y69" s="13"/>
      <c r="Z69" s="13"/>
      <c r="AA69" s="13"/>
      <c r="AB69" s="13"/>
      <c r="AC69" s="13"/>
    </row>
    <row r="70" spans="1:29" s="3" customFormat="1">
      <c r="A70" s="40"/>
      <c r="B70" s="41"/>
      <c r="C70" s="44"/>
      <c r="R70" s="13"/>
      <c r="S70" s="13"/>
      <c r="T70" s="13"/>
      <c r="U70" s="13"/>
      <c r="V70" s="13"/>
      <c r="W70" s="13"/>
      <c r="X70" s="13"/>
      <c r="Y70" s="13"/>
      <c r="Z70" s="13"/>
      <c r="AA70" s="13"/>
      <c r="AB70" s="13"/>
      <c r="AC70" s="13"/>
    </row>
    <row r="71" spans="1:29" s="3" customFormat="1">
      <c r="A71" s="40"/>
      <c r="B71" s="41"/>
      <c r="C71" s="44"/>
      <c r="R71" s="13"/>
      <c r="S71" s="13"/>
      <c r="T71" s="13"/>
      <c r="U71" s="13"/>
      <c r="V71" s="13"/>
      <c r="W71" s="13"/>
      <c r="X71" s="13"/>
      <c r="Y71" s="13"/>
      <c r="Z71" s="13"/>
      <c r="AA71" s="13"/>
      <c r="AB71" s="13"/>
      <c r="AC71" s="13"/>
    </row>
    <row r="72" spans="1:29" s="3" customFormat="1">
      <c r="A72" s="40"/>
      <c r="B72" s="41"/>
      <c r="C72" s="44"/>
      <c r="R72" s="13"/>
      <c r="S72" s="13"/>
      <c r="T72" s="13"/>
      <c r="U72" s="13"/>
      <c r="V72" s="13"/>
      <c r="W72" s="13"/>
      <c r="X72" s="13"/>
      <c r="Y72" s="13"/>
      <c r="Z72" s="13"/>
      <c r="AA72" s="13"/>
      <c r="AB72" s="13"/>
      <c r="AC72" s="13"/>
    </row>
    <row r="73" spans="1:29" s="3" customFormat="1">
      <c r="A73" s="40"/>
      <c r="B73" s="41"/>
      <c r="C73" s="44"/>
      <c r="R73" s="13"/>
      <c r="S73" s="13"/>
      <c r="T73" s="13"/>
      <c r="U73" s="13"/>
      <c r="V73" s="13"/>
      <c r="W73" s="13"/>
      <c r="X73" s="13"/>
      <c r="Y73" s="13"/>
      <c r="Z73" s="13"/>
      <c r="AA73" s="13"/>
      <c r="AB73" s="13"/>
      <c r="AC73" s="13"/>
    </row>
    <row r="74" spans="1:29" s="3" customFormat="1">
      <c r="A74" s="40"/>
      <c r="B74" s="41"/>
      <c r="C74" s="44"/>
      <c r="R74" s="13"/>
      <c r="S74" s="13"/>
      <c r="T74" s="13"/>
      <c r="U74" s="13"/>
      <c r="V74" s="13"/>
      <c r="W74" s="13"/>
      <c r="X74" s="13"/>
      <c r="Y74" s="13"/>
      <c r="Z74" s="13"/>
      <c r="AA74" s="13"/>
      <c r="AB74" s="13"/>
      <c r="AC74" s="13"/>
    </row>
    <row r="75" spans="1:29" s="3" customFormat="1">
      <c r="A75" s="40"/>
      <c r="B75" s="41"/>
      <c r="C75" s="44"/>
      <c r="R75" s="13"/>
      <c r="S75" s="13"/>
      <c r="T75" s="13"/>
      <c r="U75" s="13"/>
      <c r="V75" s="13"/>
      <c r="W75" s="13"/>
      <c r="X75" s="13"/>
      <c r="Y75" s="13"/>
      <c r="Z75" s="13"/>
      <c r="AA75" s="13"/>
      <c r="AB75" s="13"/>
      <c r="AC75" s="13"/>
    </row>
    <row r="76" spans="1:29" s="3" customFormat="1">
      <c r="A76" s="40"/>
      <c r="B76" s="41"/>
      <c r="C76" s="44"/>
      <c r="R76" s="13"/>
      <c r="S76" s="13"/>
      <c r="T76" s="13"/>
      <c r="U76" s="13"/>
      <c r="V76" s="13"/>
      <c r="W76" s="13"/>
      <c r="X76" s="13"/>
      <c r="Y76" s="13"/>
      <c r="Z76" s="13"/>
      <c r="AA76" s="13"/>
      <c r="AB76" s="13"/>
      <c r="AC76" s="13"/>
    </row>
    <row r="77" spans="1:29" s="3" customFormat="1">
      <c r="A77" s="40"/>
      <c r="B77" s="41"/>
      <c r="C77" s="44"/>
      <c r="R77" s="13"/>
      <c r="S77" s="13"/>
      <c r="T77" s="13"/>
      <c r="U77" s="13"/>
      <c r="V77" s="13"/>
      <c r="W77" s="13"/>
      <c r="X77" s="13"/>
      <c r="Y77" s="13"/>
      <c r="Z77" s="13"/>
      <c r="AA77" s="13"/>
      <c r="AB77" s="13"/>
      <c r="AC77" s="13"/>
    </row>
    <row r="78" spans="1:29" s="3" customFormat="1">
      <c r="A78" s="40"/>
      <c r="B78" s="41"/>
      <c r="C78" s="44"/>
      <c r="R78" s="13"/>
      <c r="S78" s="13"/>
      <c r="T78" s="13"/>
      <c r="U78" s="13"/>
      <c r="V78" s="13"/>
      <c r="W78" s="13"/>
      <c r="X78" s="13"/>
      <c r="Y78" s="13"/>
      <c r="Z78" s="13"/>
      <c r="AA78" s="13"/>
      <c r="AB78" s="13"/>
      <c r="AC78" s="13"/>
    </row>
    <row r="79" spans="1:29" s="3" customFormat="1">
      <c r="A79" s="40"/>
      <c r="B79" s="41"/>
      <c r="C79" s="44"/>
      <c r="R79" s="13"/>
      <c r="S79" s="13"/>
      <c r="T79" s="13"/>
      <c r="U79" s="13"/>
      <c r="V79" s="13"/>
      <c r="W79" s="13"/>
      <c r="X79" s="13"/>
      <c r="Y79" s="13"/>
      <c r="Z79" s="13"/>
      <c r="AA79" s="13"/>
      <c r="AB79" s="13"/>
      <c r="AC79" s="13"/>
    </row>
    <row r="80" spans="1:29" s="3" customFormat="1">
      <c r="A80" s="40"/>
      <c r="B80" s="41"/>
      <c r="C80" s="44"/>
      <c r="R80" s="13"/>
      <c r="S80" s="13"/>
      <c r="T80" s="13"/>
      <c r="U80" s="13"/>
      <c r="V80" s="13"/>
      <c r="W80" s="13"/>
      <c r="X80" s="13"/>
      <c r="Y80" s="13"/>
      <c r="Z80" s="13"/>
      <c r="AA80" s="13"/>
      <c r="AB80" s="13"/>
      <c r="AC80" s="13"/>
    </row>
    <row r="81" spans="1:29" s="3" customFormat="1">
      <c r="A81" s="40"/>
      <c r="B81" s="41"/>
      <c r="C81" s="44"/>
      <c r="R81" s="13"/>
      <c r="S81" s="13"/>
      <c r="T81" s="13"/>
      <c r="U81" s="13"/>
      <c r="V81" s="13"/>
      <c r="W81" s="13"/>
      <c r="X81" s="13"/>
      <c r="Y81" s="13"/>
      <c r="Z81" s="13"/>
      <c r="AA81" s="13"/>
      <c r="AB81" s="13"/>
      <c r="AC81" s="13"/>
    </row>
    <row r="82" spans="1:29" s="3" customFormat="1">
      <c r="A82" s="40"/>
      <c r="B82" s="41"/>
      <c r="C82" s="44"/>
      <c r="R82" s="13"/>
      <c r="S82" s="13"/>
      <c r="T82" s="13"/>
      <c r="U82" s="13"/>
      <c r="V82" s="13"/>
      <c r="W82" s="13"/>
      <c r="X82" s="13"/>
      <c r="Y82" s="13"/>
      <c r="Z82" s="13"/>
      <c r="AA82" s="13"/>
      <c r="AB82" s="13"/>
      <c r="AC82" s="13"/>
    </row>
    <row r="83" spans="1:29" s="3" customFormat="1">
      <c r="A83" s="40"/>
      <c r="B83" s="41"/>
      <c r="C83" s="44"/>
      <c r="R83" s="13"/>
      <c r="S83" s="13"/>
      <c r="T83" s="13"/>
      <c r="U83" s="13"/>
      <c r="V83" s="13"/>
      <c r="W83" s="13"/>
      <c r="X83" s="13"/>
      <c r="Y83" s="13"/>
      <c r="Z83" s="13"/>
      <c r="AA83" s="13"/>
      <c r="AB83" s="13"/>
      <c r="AC83" s="13"/>
    </row>
    <row r="84" spans="1:29" s="3" customFormat="1">
      <c r="A84" s="40"/>
      <c r="B84" s="41"/>
      <c r="C84" s="44"/>
      <c r="R84" s="13"/>
      <c r="S84" s="13"/>
      <c r="T84" s="13"/>
      <c r="U84" s="13"/>
      <c r="V84" s="13"/>
      <c r="W84" s="13"/>
      <c r="X84" s="13"/>
      <c r="Y84" s="13"/>
      <c r="Z84" s="13"/>
      <c r="AA84" s="13"/>
      <c r="AB84" s="13"/>
      <c r="AC84" s="13"/>
    </row>
    <row r="85" spans="1:29" s="3" customFormat="1">
      <c r="A85" s="40"/>
      <c r="B85" s="41"/>
      <c r="C85" s="44"/>
      <c r="R85" s="13"/>
      <c r="S85" s="13"/>
      <c r="T85" s="13"/>
      <c r="U85" s="13"/>
      <c r="V85" s="13"/>
      <c r="W85" s="13"/>
      <c r="X85" s="13"/>
      <c r="Y85" s="13"/>
      <c r="Z85" s="13"/>
      <c r="AA85" s="13"/>
      <c r="AB85" s="13"/>
      <c r="AC85" s="13"/>
    </row>
    <row r="86" spans="1:29" s="3" customFormat="1">
      <c r="A86" s="40"/>
      <c r="B86" s="41"/>
      <c r="C86" s="44"/>
      <c r="R86" s="13"/>
      <c r="S86" s="13"/>
      <c r="T86" s="13"/>
      <c r="U86" s="13"/>
      <c r="V86" s="13"/>
      <c r="W86" s="13"/>
      <c r="X86" s="13"/>
      <c r="Y86" s="13"/>
      <c r="Z86" s="13"/>
      <c r="AA86" s="13"/>
      <c r="AB86" s="13"/>
      <c r="AC86" s="13"/>
    </row>
    <row r="87" spans="1:29" s="3" customFormat="1">
      <c r="A87" s="40"/>
      <c r="B87" s="41"/>
      <c r="C87" s="44"/>
      <c r="R87" s="13"/>
      <c r="S87" s="13"/>
      <c r="T87" s="13"/>
      <c r="U87" s="13"/>
      <c r="V87" s="13"/>
      <c r="W87" s="13"/>
      <c r="X87" s="13"/>
      <c r="Y87" s="13"/>
      <c r="Z87" s="13"/>
      <c r="AA87" s="13"/>
      <c r="AB87" s="13"/>
      <c r="AC87" s="13"/>
    </row>
    <row r="88" spans="1:29" s="3" customFormat="1">
      <c r="A88" s="40"/>
      <c r="B88" s="41"/>
      <c r="C88" s="44"/>
      <c r="R88" s="13"/>
      <c r="S88" s="13"/>
      <c r="T88" s="13"/>
      <c r="U88" s="13"/>
      <c r="V88" s="13"/>
      <c r="W88" s="13"/>
      <c r="X88" s="13"/>
      <c r="Y88" s="13"/>
      <c r="Z88" s="13"/>
      <c r="AA88" s="13"/>
      <c r="AB88" s="13"/>
      <c r="AC88" s="13"/>
    </row>
    <row r="89" spans="1:29" s="3" customFormat="1">
      <c r="A89" s="40"/>
      <c r="B89" s="41"/>
      <c r="C89" s="44"/>
      <c r="R89" s="13"/>
      <c r="S89" s="13"/>
      <c r="T89" s="13"/>
      <c r="U89" s="13"/>
      <c r="V89" s="13"/>
      <c r="W89" s="13"/>
      <c r="X89" s="13"/>
      <c r="Y89" s="13"/>
      <c r="Z89" s="13"/>
      <c r="AA89" s="13"/>
      <c r="AB89" s="13"/>
      <c r="AC89" s="13"/>
    </row>
    <row r="90" spans="1:29" s="3" customFormat="1">
      <c r="A90" s="40"/>
      <c r="B90" s="41"/>
      <c r="C90" s="44"/>
      <c r="R90" s="13"/>
      <c r="S90" s="13"/>
      <c r="T90" s="13"/>
      <c r="U90" s="13"/>
      <c r="V90" s="13"/>
      <c r="W90" s="13"/>
      <c r="X90" s="13"/>
      <c r="Y90" s="13"/>
      <c r="Z90" s="13"/>
      <c r="AA90" s="13"/>
      <c r="AB90" s="13"/>
      <c r="AC90" s="13"/>
    </row>
    <row r="91" spans="1:29" s="3" customFormat="1">
      <c r="A91" s="40"/>
      <c r="B91" s="41"/>
      <c r="C91" s="44"/>
      <c r="R91" s="13"/>
      <c r="S91" s="13"/>
      <c r="T91" s="13"/>
      <c r="U91" s="13"/>
      <c r="V91" s="13"/>
      <c r="W91" s="13"/>
      <c r="X91" s="13"/>
      <c r="Y91" s="13"/>
      <c r="Z91" s="13"/>
      <c r="AA91" s="13"/>
      <c r="AB91" s="13"/>
      <c r="AC91" s="13"/>
    </row>
    <row r="92" spans="1:29" s="3" customFormat="1">
      <c r="A92" s="40"/>
      <c r="B92" s="41"/>
      <c r="C92" s="44"/>
      <c r="R92" s="13"/>
      <c r="S92" s="13"/>
      <c r="T92" s="13"/>
      <c r="U92" s="13"/>
      <c r="V92" s="13"/>
      <c r="W92" s="13"/>
      <c r="X92" s="13"/>
      <c r="Y92" s="13"/>
      <c r="Z92" s="13"/>
      <c r="AA92" s="13"/>
      <c r="AB92" s="13"/>
      <c r="AC92" s="13"/>
    </row>
    <row r="93" spans="1:29" s="3" customFormat="1">
      <c r="A93" s="40"/>
      <c r="B93" s="41"/>
      <c r="C93" s="44"/>
      <c r="R93" s="13"/>
      <c r="S93" s="13"/>
      <c r="T93" s="13"/>
      <c r="U93" s="13"/>
      <c r="V93" s="13"/>
      <c r="W93" s="13"/>
      <c r="X93" s="13"/>
      <c r="Y93" s="13"/>
      <c r="Z93" s="13"/>
      <c r="AA93" s="13"/>
      <c r="AB93" s="13"/>
      <c r="AC93" s="13"/>
    </row>
    <row r="94" spans="1:29" s="3" customFormat="1">
      <c r="A94" s="40"/>
      <c r="B94" s="41"/>
      <c r="C94" s="44"/>
      <c r="R94" s="13"/>
      <c r="S94" s="13"/>
      <c r="T94" s="13"/>
      <c r="U94" s="13"/>
      <c r="V94" s="13"/>
      <c r="W94" s="13"/>
      <c r="X94" s="13"/>
      <c r="Y94" s="13"/>
      <c r="Z94" s="13"/>
      <c r="AA94" s="13"/>
      <c r="AB94" s="13"/>
      <c r="AC94" s="13"/>
    </row>
    <row r="95" spans="1:29" s="3" customFormat="1">
      <c r="A95" s="40"/>
      <c r="B95" s="41"/>
      <c r="C95" s="44"/>
      <c r="R95" s="13"/>
      <c r="S95" s="13"/>
      <c r="T95" s="13"/>
      <c r="U95" s="13"/>
      <c r="V95" s="13"/>
      <c r="W95" s="13"/>
      <c r="X95" s="13"/>
      <c r="Y95" s="13"/>
      <c r="Z95" s="13"/>
      <c r="AA95" s="13"/>
      <c r="AB95" s="13"/>
      <c r="AC95" s="13"/>
    </row>
    <row r="96" spans="1:29" s="3" customFormat="1">
      <c r="A96" s="40"/>
      <c r="B96" s="41"/>
      <c r="C96" s="44"/>
      <c r="R96" s="13"/>
      <c r="S96" s="13"/>
      <c r="T96" s="13"/>
      <c r="U96" s="13"/>
      <c r="V96" s="13"/>
      <c r="W96" s="13"/>
      <c r="X96" s="13"/>
      <c r="Y96" s="13"/>
      <c r="Z96" s="13"/>
      <c r="AA96" s="13"/>
      <c r="AB96" s="13"/>
      <c r="AC96" s="13"/>
    </row>
    <row r="97" spans="1:29" s="3" customFormat="1">
      <c r="A97" s="40"/>
      <c r="B97" s="41"/>
      <c r="C97" s="44"/>
      <c r="R97" s="13"/>
      <c r="S97" s="13"/>
      <c r="T97" s="13"/>
      <c r="U97" s="13"/>
      <c r="V97" s="13"/>
      <c r="W97" s="13"/>
      <c r="X97" s="13"/>
      <c r="Y97" s="13"/>
      <c r="Z97" s="13"/>
      <c r="AA97" s="13"/>
      <c r="AB97" s="13"/>
      <c r="AC97" s="13"/>
    </row>
    <row r="98" spans="1:29" s="3" customFormat="1">
      <c r="A98" s="40"/>
      <c r="B98" s="41"/>
      <c r="C98" s="44"/>
      <c r="R98" s="13"/>
      <c r="S98" s="13"/>
      <c r="T98" s="13"/>
      <c r="U98" s="13"/>
      <c r="V98" s="13"/>
      <c r="W98" s="13"/>
      <c r="X98" s="13"/>
      <c r="Y98" s="13"/>
      <c r="Z98" s="13"/>
      <c r="AA98" s="13"/>
      <c r="AB98" s="13"/>
      <c r="AC98" s="13"/>
    </row>
    <row r="99" spans="1:29" s="3" customFormat="1">
      <c r="A99" s="40"/>
      <c r="B99" s="41"/>
      <c r="C99" s="44"/>
      <c r="R99" s="13"/>
      <c r="S99" s="13"/>
      <c r="T99" s="13"/>
      <c r="U99" s="13"/>
      <c r="V99" s="13"/>
      <c r="W99" s="13"/>
      <c r="X99" s="13"/>
      <c r="Y99" s="13"/>
      <c r="Z99" s="13"/>
      <c r="AA99" s="13"/>
      <c r="AB99" s="13"/>
      <c r="AC99" s="13"/>
    </row>
    <row r="100" spans="1:29" s="3" customFormat="1">
      <c r="A100" s="40"/>
      <c r="B100" s="41"/>
      <c r="C100" s="44"/>
      <c r="R100" s="13"/>
      <c r="S100" s="13"/>
      <c r="T100" s="13"/>
      <c r="U100" s="13"/>
      <c r="V100" s="13"/>
      <c r="W100" s="13"/>
      <c r="X100" s="13"/>
      <c r="Y100" s="13"/>
      <c r="Z100" s="13"/>
      <c r="AA100" s="13"/>
      <c r="AB100" s="13"/>
      <c r="AC100" s="13"/>
    </row>
    <row r="101" spans="1:29" s="3" customFormat="1">
      <c r="A101" s="40"/>
      <c r="B101" s="41"/>
      <c r="C101" s="44"/>
      <c r="R101" s="13"/>
      <c r="S101" s="13"/>
      <c r="T101" s="13"/>
      <c r="U101" s="13"/>
      <c r="V101" s="13"/>
      <c r="W101" s="13"/>
      <c r="X101" s="13"/>
      <c r="Y101" s="13"/>
      <c r="Z101" s="13"/>
      <c r="AA101" s="13"/>
      <c r="AB101" s="13"/>
      <c r="AC101" s="13"/>
    </row>
    <row r="102" spans="1:29" s="3" customFormat="1">
      <c r="A102" s="40"/>
      <c r="B102" s="41"/>
      <c r="C102" s="44"/>
      <c r="R102" s="13"/>
      <c r="S102" s="13"/>
      <c r="T102" s="13"/>
      <c r="U102" s="13"/>
      <c r="V102" s="13"/>
      <c r="W102" s="13"/>
      <c r="X102" s="13"/>
      <c r="Y102" s="13"/>
      <c r="Z102" s="13"/>
      <c r="AA102" s="13"/>
      <c r="AB102" s="13"/>
      <c r="AC102" s="13"/>
    </row>
    <row r="103" spans="1:29" s="3" customFormat="1">
      <c r="A103" s="40"/>
      <c r="B103" s="41"/>
      <c r="C103" s="44"/>
      <c r="R103" s="13"/>
      <c r="S103" s="13"/>
      <c r="T103" s="13"/>
      <c r="U103" s="13"/>
      <c r="V103" s="13"/>
      <c r="W103" s="13"/>
      <c r="X103" s="13"/>
      <c r="Y103" s="13"/>
      <c r="Z103" s="13"/>
      <c r="AA103" s="13"/>
      <c r="AB103" s="13"/>
      <c r="AC103" s="13"/>
    </row>
    <row r="104" spans="1:29" s="3" customFormat="1">
      <c r="A104" s="40"/>
      <c r="B104" s="41"/>
      <c r="C104" s="44"/>
      <c r="R104" s="13"/>
      <c r="S104" s="13"/>
      <c r="T104" s="13"/>
      <c r="U104" s="13"/>
      <c r="V104" s="13"/>
      <c r="W104" s="13"/>
      <c r="X104" s="13"/>
      <c r="Y104" s="13"/>
      <c r="Z104" s="13"/>
      <c r="AA104" s="13"/>
      <c r="AB104" s="13"/>
      <c r="AC104" s="13"/>
    </row>
    <row r="105" spans="1:29" s="3" customFormat="1">
      <c r="A105" s="40"/>
      <c r="B105" s="41"/>
      <c r="C105" s="44"/>
      <c r="R105" s="13"/>
      <c r="S105" s="13"/>
      <c r="T105" s="13"/>
      <c r="U105" s="13"/>
      <c r="V105" s="13"/>
      <c r="W105" s="13"/>
      <c r="X105" s="13"/>
      <c r="Y105" s="13"/>
      <c r="Z105" s="13"/>
      <c r="AA105" s="13"/>
      <c r="AB105" s="13"/>
      <c r="AC105" s="13"/>
    </row>
    <row r="106" spans="1:29" s="3" customFormat="1">
      <c r="A106" s="40"/>
      <c r="B106" s="41"/>
      <c r="C106" s="44"/>
      <c r="R106" s="13"/>
      <c r="S106" s="13"/>
      <c r="T106" s="13"/>
      <c r="U106" s="13"/>
      <c r="V106" s="13"/>
      <c r="W106" s="13"/>
      <c r="X106" s="13"/>
      <c r="Y106" s="13"/>
      <c r="Z106" s="13"/>
      <c r="AA106" s="13"/>
      <c r="AB106" s="13"/>
      <c r="AC106" s="13"/>
    </row>
    <row r="107" spans="1:29" s="3" customFormat="1">
      <c r="A107" s="40"/>
      <c r="B107" s="41"/>
      <c r="C107" s="44"/>
      <c r="R107" s="13"/>
      <c r="S107" s="13"/>
      <c r="T107" s="13"/>
      <c r="U107" s="13"/>
      <c r="V107" s="13"/>
      <c r="W107" s="13"/>
      <c r="X107" s="13"/>
      <c r="Y107" s="13"/>
      <c r="Z107" s="13"/>
      <c r="AA107" s="13"/>
      <c r="AB107" s="13"/>
      <c r="AC107" s="13"/>
    </row>
    <row r="108" spans="1:29" s="3" customFormat="1">
      <c r="A108" s="40"/>
      <c r="B108" s="41"/>
      <c r="C108" s="44"/>
      <c r="R108" s="13"/>
      <c r="S108" s="13"/>
      <c r="T108" s="13"/>
      <c r="U108" s="13"/>
      <c r="V108" s="13"/>
      <c r="W108" s="13"/>
      <c r="X108" s="13"/>
      <c r="Y108" s="13"/>
      <c r="Z108" s="13"/>
      <c r="AA108" s="13"/>
      <c r="AB108" s="13"/>
      <c r="AC108" s="13"/>
    </row>
    <row r="109" spans="1:29" s="3" customFormat="1">
      <c r="A109" s="40"/>
      <c r="B109" s="41"/>
      <c r="C109" s="44"/>
      <c r="R109" s="13"/>
      <c r="S109" s="13"/>
      <c r="T109" s="13"/>
      <c r="U109" s="13"/>
      <c r="V109" s="13"/>
      <c r="W109" s="13"/>
      <c r="X109" s="13"/>
      <c r="Y109" s="13"/>
      <c r="Z109" s="13"/>
      <c r="AA109" s="13"/>
      <c r="AB109" s="13"/>
      <c r="AC109" s="13"/>
    </row>
    <row r="110" spans="1:29" s="3" customFormat="1">
      <c r="A110" s="40"/>
      <c r="B110" s="41"/>
      <c r="C110" s="44"/>
      <c r="R110" s="13"/>
      <c r="S110" s="13"/>
      <c r="T110" s="13"/>
      <c r="U110" s="13"/>
      <c r="V110" s="13"/>
      <c r="W110" s="13"/>
      <c r="X110" s="13"/>
      <c r="Y110" s="13"/>
      <c r="Z110" s="13"/>
      <c r="AA110" s="13"/>
      <c r="AB110" s="13"/>
      <c r="AC110" s="13"/>
    </row>
    <row r="111" spans="1:29" s="3" customFormat="1">
      <c r="A111" s="40"/>
      <c r="B111" s="41"/>
      <c r="C111" s="44"/>
      <c r="R111" s="13"/>
      <c r="S111" s="13"/>
      <c r="T111" s="13"/>
      <c r="U111" s="13"/>
      <c r="V111" s="13"/>
      <c r="W111" s="13"/>
      <c r="X111" s="13"/>
      <c r="Y111" s="13"/>
      <c r="Z111" s="13"/>
      <c r="AA111" s="13"/>
      <c r="AB111" s="13"/>
      <c r="AC111" s="13"/>
    </row>
    <row r="112" spans="1:29" s="3" customFormat="1">
      <c r="A112" s="40"/>
      <c r="B112" s="41"/>
      <c r="C112" s="44"/>
      <c r="R112" s="13"/>
      <c r="S112" s="13"/>
      <c r="T112" s="13"/>
      <c r="U112" s="13"/>
      <c r="V112" s="13"/>
      <c r="W112" s="13"/>
      <c r="X112" s="13"/>
      <c r="Y112" s="13"/>
      <c r="Z112" s="13"/>
      <c r="AA112" s="13"/>
      <c r="AB112" s="13"/>
      <c r="AC112" s="13"/>
    </row>
    <row r="113" spans="1:29" s="3" customFormat="1">
      <c r="A113" s="40"/>
      <c r="B113" s="41"/>
      <c r="C113" s="44"/>
      <c r="R113" s="13"/>
      <c r="S113" s="13"/>
      <c r="T113" s="13"/>
      <c r="U113" s="13"/>
      <c r="V113" s="13"/>
      <c r="W113" s="13"/>
      <c r="X113" s="13"/>
      <c r="Y113" s="13"/>
      <c r="Z113" s="13"/>
      <c r="AA113" s="13"/>
      <c r="AB113" s="13"/>
      <c r="AC113" s="13"/>
    </row>
    <row r="114" spans="1:29" s="3" customFormat="1">
      <c r="A114" s="40"/>
      <c r="B114" s="41"/>
      <c r="C114" s="44"/>
      <c r="R114" s="13"/>
      <c r="S114" s="13"/>
      <c r="T114" s="13"/>
      <c r="U114" s="13"/>
      <c r="V114" s="13"/>
      <c r="W114" s="13"/>
      <c r="X114" s="13"/>
      <c r="Y114" s="13"/>
      <c r="Z114" s="13"/>
      <c r="AA114" s="13"/>
      <c r="AB114" s="13"/>
      <c r="AC114" s="13"/>
    </row>
    <row r="115" spans="1:29" s="3" customFormat="1">
      <c r="A115" s="40"/>
      <c r="B115" s="41"/>
      <c r="C115" s="44"/>
      <c r="R115" s="13"/>
      <c r="S115" s="13"/>
      <c r="T115" s="13"/>
      <c r="U115" s="13"/>
      <c r="V115" s="13"/>
      <c r="W115" s="13"/>
      <c r="X115" s="13"/>
      <c r="Y115" s="13"/>
      <c r="Z115" s="13"/>
      <c r="AA115" s="13"/>
      <c r="AB115" s="13"/>
      <c r="AC115" s="13"/>
    </row>
    <row r="116" spans="1:29" s="3" customFormat="1">
      <c r="A116" s="40"/>
      <c r="B116" s="41"/>
      <c r="C116" s="44"/>
      <c r="R116" s="13"/>
      <c r="S116" s="13"/>
      <c r="T116" s="13"/>
      <c r="U116" s="13"/>
      <c r="V116" s="13"/>
      <c r="W116" s="13"/>
      <c r="X116" s="13"/>
      <c r="Y116" s="13"/>
      <c r="Z116" s="13"/>
      <c r="AA116" s="13"/>
      <c r="AB116" s="13"/>
      <c r="AC116" s="13"/>
    </row>
    <row r="117" spans="1:29" s="3" customFormat="1">
      <c r="A117" s="40"/>
      <c r="B117" s="41"/>
      <c r="C117" s="44"/>
      <c r="R117" s="13"/>
      <c r="S117" s="13"/>
      <c r="T117" s="13"/>
      <c r="U117" s="13"/>
      <c r="V117" s="13"/>
      <c r="W117" s="13"/>
      <c r="X117" s="13"/>
      <c r="Y117" s="13"/>
      <c r="Z117" s="13"/>
      <c r="AA117" s="13"/>
      <c r="AB117" s="13"/>
      <c r="AC117" s="13"/>
    </row>
    <row r="118" spans="1:29" s="3" customFormat="1">
      <c r="A118" s="40"/>
      <c r="B118" s="41"/>
      <c r="C118" s="44"/>
      <c r="R118" s="13"/>
      <c r="S118" s="13"/>
      <c r="T118" s="13"/>
      <c r="U118" s="13"/>
      <c r="V118" s="13"/>
      <c r="W118" s="13"/>
      <c r="X118" s="13"/>
      <c r="Y118" s="13"/>
      <c r="Z118" s="13"/>
      <c r="AA118" s="13"/>
      <c r="AB118" s="13"/>
      <c r="AC118" s="13"/>
    </row>
    <row r="119" spans="1:29" s="3" customFormat="1">
      <c r="A119" s="40"/>
      <c r="B119" s="41"/>
      <c r="C119" s="44"/>
      <c r="R119" s="13"/>
      <c r="S119" s="13"/>
      <c r="T119" s="13"/>
      <c r="U119" s="13"/>
      <c r="V119" s="13"/>
      <c r="W119" s="13"/>
      <c r="X119" s="13"/>
      <c r="Y119" s="13"/>
      <c r="Z119" s="13"/>
      <c r="AA119" s="13"/>
      <c r="AB119" s="13"/>
      <c r="AC119" s="13"/>
    </row>
    <row r="120" spans="1:29" s="3" customFormat="1">
      <c r="A120" s="40"/>
      <c r="B120" s="41"/>
      <c r="C120" s="44"/>
      <c r="R120" s="13"/>
      <c r="S120" s="13"/>
      <c r="T120" s="13"/>
      <c r="U120" s="13"/>
      <c r="V120" s="13"/>
      <c r="W120" s="13"/>
      <c r="X120" s="13"/>
      <c r="Y120" s="13"/>
      <c r="Z120" s="13"/>
      <c r="AA120" s="13"/>
      <c r="AB120" s="13"/>
      <c r="AC120" s="13"/>
    </row>
    <row r="121" spans="1:29" s="3" customFormat="1">
      <c r="A121" s="40"/>
      <c r="B121" s="41"/>
      <c r="C121" s="44"/>
      <c r="R121" s="13"/>
      <c r="S121" s="13"/>
      <c r="T121" s="13"/>
      <c r="U121" s="13"/>
      <c r="V121" s="13"/>
      <c r="W121" s="13"/>
      <c r="X121" s="13"/>
      <c r="Y121" s="13"/>
      <c r="Z121" s="13"/>
      <c r="AA121" s="13"/>
      <c r="AB121" s="13"/>
      <c r="AC121" s="13"/>
    </row>
    <row r="122" spans="1:29" s="3" customFormat="1">
      <c r="A122" s="40"/>
      <c r="B122" s="41"/>
      <c r="C122" s="44"/>
      <c r="R122" s="13"/>
      <c r="S122" s="13"/>
      <c r="T122" s="13"/>
      <c r="U122" s="13"/>
      <c r="V122" s="13"/>
      <c r="W122" s="13"/>
      <c r="X122" s="13"/>
      <c r="Y122" s="13"/>
      <c r="Z122" s="13"/>
      <c r="AA122" s="13"/>
      <c r="AB122" s="13"/>
      <c r="AC122" s="13"/>
    </row>
    <row r="123" spans="1:29" s="3" customFormat="1">
      <c r="A123" s="40"/>
      <c r="B123" s="41"/>
      <c r="C123" s="44"/>
      <c r="R123" s="13"/>
      <c r="S123" s="13"/>
      <c r="T123" s="13"/>
      <c r="U123" s="13"/>
      <c r="V123" s="13"/>
      <c r="W123" s="13"/>
      <c r="X123" s="13"/>
      <c r="Y123" s="13"/>
      <c r="Z123" s="13"/>
      <c r="AA123" s="13"/>
      <c r="AB123" s="13"/>
      <c r="AC123" s="13"/>
    </row>
    <row r="124" spans="1:29" s="3" customFormat="1">
      <c r="A124" s="40"/>
      <c r="B124" s="41"/>
      <c r="C124" s="44"/>
      <c r="R124" s="13"/>
      <c r="S124" s="13"/>
      <c r="T124" s="13"/>
      <c r="U124" s="13"/>
      <c r="V124" s="13"/>
      <c r="W124" s="13"/>
      <c r="X124" s="13"/>
      <c r="Y124" s="13"/>
      <c r="Z124" s="13"/>
      <c r="AA124" s="13"/>
      <c r="AB124" s="13"/>
      <c r="AC124" s="13"/>
    </row>
    <row r="125" spans="1:29" s="3" customFormat="1">
      <c r="A125" s="40"/>
      <c r="B125" s="41"/>
      <c r="C125" s="44"/>
      <c r="R125" s="13"/>
      <c r="S125" s="13"/>
      <c r="T125" s="13"/>
      <c r="U125" s="13"/>
      <c r="V125" s="13"/>
      <c r="W125" s="13"/>
      <c r="X125" s="13"/>
      <c r="Y125" s="13"/>
      <c r="Z125" s="13"/>
      <c r="AA125" s="13"/>
      <c r="AB125" s="13"/>
      <c r="AC125" s="13"/>
    </row>
    <row r="126" spans="1:29" s="3" customFormat="1">
      <c r="A126" s="40"/>
      <c r="B126" s="41"/>
      <c r="C126" s="44"/>
      <c r="R126" s="13"/>
      <c r="S126" s="13"/>
      <c r="T126" s="13"/>
      <c r="U126" s="13"/>
      <c r="V126" s="13"/>
      <c r="W126" s="13"/>
      <c r="X126" s="13"/>
      <c r="Y126" s="13"/>
      <c r="Z126" s="13"/>
      <c r="AA126" s="13"/>
      <c r="AB126" s="13"/>
      <c r="AC126" s="13"/>
    </row>
    <row r="127" spans="1:29" s="3" customFormat="1">
      <c r="A127" s="40"/>
      <c r="B127" s="41"/>
      <c r="C127" s="44"/>
      <c r="R127" s="13"/>
      <c r="S127" s="13"/>
      <c r="T127" s="13"/>
      <c r="U127" s="13"/>
      <c r="V127" s="13"/>
      <c r="W127" s="13"/>
      <c r="X127" s="13"/>
      <c r="Y127" s="13"/>
      <c r="Z127" s="13"/>
      <c r="AA127" s="13"/>
      <c r="AB127" s="13"/>
      <c r="AC127" s="13"/>
    </row>
    <row r="128" spans="1:29" s="3" customFormat="1">
      <c r="A128" s="40"/>
      <c r="B128" s="41"/>
      <c r="C128" s="44"/>
      <c r="R128" s="13"/>
      <c r="S128" s="13"/>
      <c r="T128" s="13"/>
      <c r="U128" s="13"/>
      <c r="V128" s="13"/>
      <c r="W128" s="13"/>
      <c r="X128" s="13"/>
      <c r="Y128" s="13"/>
      <c r="Z128" s="13"/>
      <c r="AA128" s="13"/>
      <c r="AB128" s="13"/>
      <c r="AC128" s="13"/>
    </row>
    <row r="129" spans="1:29" s="3" customFormat="1">
      <c r="A129" s="40"/>
      <c r="B129" s="41"/>
      <c r="C129" s="44"/>
      <c r="R129" s="13"/>
      <c r="S129" s="13"/>
      <c r="T129" s="13"/>
      <c r="U129" s="13"/>
      <c r="V129" s="13"/>
      <c r="W129" s="13"/>
      <c r="X129" s="13"/>
      <c r="Y129" s="13"/>
      <c r="Z129" s="13"/>
      <c r="AA129" s="13"/>
      <c r="AB129" s="13"/>
      <c r="AC129" s="13"/>
    </row>
    <row r="130" spans="1:29" s="3" customFormat="1">
      <c r="A130" s="40"/>
      <c r="B130" s="41"/>
      <c r="C130" s="44"/>
      <c r="R130" s="13"/>
      <c r="S130" s="13"/>
      <c r="T130" s="13"/>
      <c r="U130" s="13"/>
      <c r="V130" s="13"/>
      <c r="W130" s="13"/>
      <c r="X130" s="13"/>
      <c r="Y130" s="13"/>
      <c r="Z130" s="13"/>
      <c r="AA130" s="13"/>
      <c r="AB130" s="13"/>
      <c r="AC130" s="13"/>
    </row>
    <row r="131" spans="1:29" s="3" customFormat="1">
      <c r="A131" s="40"/>
      <c r="B131" s="41"/>
      <c r="C131" s="44"/>
      <c r="R131" s="13"/>
      <c r="S131" s="13"/>
      <c r="T131" s="13"/>
      <c r="U131" s="13"/>
      <c r="V131" s="13"/>
      <c r="W131" s="13"/>
      <c r="X131" s="13"/>
      <c r="Y131" s="13"/>
      <c r="Z131" s="13"/>
      <c r="AA131" s="13"/>
      <c r="AB131" s="13"/>
      <c r="AC131" s="13"/>
    </row>
    <row r="132" spans="1:29" s="3" customFormat="1">
      <c r="A132" s="40"/>
      <c r="B132" s="41"/>
      <c r="C132" s="44"/>
      <c r="R132" s="13"/>
      <c r="S132" s="13"/>
      <c r="T132" s="13"/>
      <c r="U132" s="13"/>
      <c r="V132" s="13"/>
      <c r="W132" s="13"/>
      <c r="X132" s="13"/>
      <c r="Y132" s="13"/>
      <c r="Z132" s="13"/>
      <c r="AA132" s="13"/>
      <c r="AB132" s="13"/>
      <c r="AC132" s="13"/>
    </row>
    <row r="133" spans="1:29" s="3" customFormat="1">
      <c r="A133" s="40"/>
      <c r="B133" s="41"/>
      <c r="C133" s="44"/>
      <c r="R133" s="13"/>
      <c r="S133" s="13"/>
      <c r="T133" s="13"/>
      <c r="U133" s="13"/>
      <c r="V133" s="13"/>
      <c r="W133" s="13"/>
      <c r="X133" s="13"/>
      <c r="Y133" s="13"/>
      <c r="Z133" s="13"/>
      <c r="AA133" s="13"/>
      <c r="AB133" s="13"/>
      <c r="AC133" s="13"/>
    </row>
    <row r="134" spans="1:29" s="3" customFormat="1">
      <c r="A134" s="40"/>
      <c r="B134" s="41"/>
      <c r="C134" s="44"/>
      <c r="R134" s="13"/>
      <c r="S134" s="13"/>
      <c r="T134" s="13"/>
      <c r="U134" s="13"/>
      <c r="V134" s="13"/>
      <c r="W134" s="13"/>
      <c r="X134" s="13"/>
      <c r="Y134" s="13"/>
      <c r="Z134" s="13"/>
      <c r="AA134" s="13"/>
      <c r="AB134" s="13"/>
      <c r="AC134" s="13"/>
    </row>
    <row r="135" spans="1:29" s="3" customFormat="1">
      <c r="A135" s="40"/>
      <c r="B135" s="41"/>
      <c r="C135" s="44"/>
      <c r="R135" s="13"/>
      <c r="S135" s="13"/>
      <c r="T135" s="13"/>
      <c r="U135" s="13"/>
      <c r="V135" s="13"/>
      <c r="W135" s="13"/>
      <c r="X135" s="13"/>
      <c r="Y135" s="13"/>
      <c r="Z135" s="13"/>
      <c r="AA135" s="13"/>
      <c r="AB135" s="13"/>
      <c r="AC135" s="13"/>
    </row>
    <row r="136" spans="1:29" s="3" customFormat="1">
      <c r="A136" s="40"/>
      <c r="B136" s="41"/>
      <c r="C136" s="44"/>
      <c r="R136" s="13"/>
      <c r="S136" s="13"/>
      <c r="T136" s="13"/>
      <c r="U136" s="13"/>
      <c r="V136" s="13"/>
      <c r="W136" s="13"/>
      <c r="X136" s="13"/>
      <c r="Y136" s="13"/>
      <c r="Z136" s="13"/>
      <c r="AA136" s="13"/>
      <c r="AB136" s="13"/>
      <c r="AC136" s="13"/>
    </row>
    <row r="137" spans="1:29" s="3" customFormat="1">
      <c r="A137" s="40"/>
      <c r="B137" s="41"/>
      <c r="C137" s="44"/>
      <c r="R137" s="13"/>
      <c r="S137" s="13"/>
      <c r="T137" s="13"/>
      <c r="U137" s="13"/>
      <c r="V137" s="13"/>
      <c r="W137" s="13"/>
      <c r="X137" s="13"/>
      <c r="Y137" s="13"/>
      <c r="Z137" s="13"/>
      <c r="AA137" s="13"/>
      <c r="AB137" s="13"/>
      <c r="AC137" s="13"/>
    </row>
    <row r="138" spans="1:29" s="3" customFormat="1">
      <c r="A138" s="40"/>
      <c r="B138" s="41"/>
      <c r="C138" s="44"/>
      <c r="R138" s="13"/>
      <c r="S138" s="13"/>
      <c r="T138" s="13"/>
      <c r="U138" s="13"/>
      <c r="V138" s="13"/>
      <c r="W138" s="13"/>
      <c r="X138" s="13"/>
      <c r="Y138" s="13"/>
      <c r="Z138" s="13"/>
      <c r="AA138" s="13"/>
      <c r="AB138" s="13"/>
      <c r="AC138" s="13"/>
    </row>
    <row r="139" spans="1:29" s="3" customFormat="1">
      <c r="A139" s="40"/>
      <c r="B139" s="41"/>
      <c r="C139" s="44"/>
      <c r="R139" s="13"/>
      <c r="S139" s="13"/>
      <c r="T139" s="13"/>
      <c r="U139" s="13"/>
      <c r="V139" s="13"/>
      <c r="W139" s="13"/>
      <c r="X139" s="13"/>
      <c r="Y139" s="13"/>
      <c r="Z139" s="13"/>
      <c r="AA139" s="13"/>
      <c r="AB139" s="13"/>
      <c r="AC139" s="13"/>
    </row>
    <row r="140" spans="1:29" s="3" customFormat="1">
      <c r="A140" s="40"/>
      <c r="B140" s="41"/>
      <c r="C140" s="44"/>
      <c r="R140" s="13"/>
      <c r="S140" s="13"/>
      <c r="T140" s="13"/>
      <c r="U140" s="13"/>
      <c r="V140" s="13"/>
      <c r="W140" s="13"/>
      <c r="X140" s="13"/>
      <c r="Y140" s="13"/>
      <c r="Z140" s="13"/>
      <c r="AA140" s="13"/>
      <c r="AB140" s="13"/>
      <c r="AC140" s="13"/>
    </row>
    <row r="141" spans="1:29" s="3" customFormat="1">
      <c r="A141" s="40"/>
      <c r="B141" s="41"/>
      <c r="C141" s="44"/>
      <c r="R141" s="13"/>
      <c r="S141" s="13"/>
      <c r="T141" s="13"/>
      <c r="U141" s="13"/>
      <c r="V141" s="13"/>
      <c r="W141" s="13"/>
      <c r="X141" s="13"/>
      <c r="Y141" s="13"/>
      <c r="Z141" s="13"/>
      <c r="AA141" s="13"/>
      <c r="AB141" s="13"/>
      <c r="AC141" s="13"/>
    </row>
    <row r="142" spans="1:29" s="3" customFormat="1">
      <c r="A142" s="40"/>
      <c r="B142" s="41"/>
      <c r="C142" s="44"/>
      <c r="R142" s="13"/>
      <c r="S142" s="13"/>
      <c r="T142" s="13"/>
      <c r="U142" s="13"/>
      <c r="V142" s="13"/>
      <c r="W142" s="13"/>
      <c r="X142" s="13"/>
      <c r="Y142" s="13"/>
      <c r="Z142" s="13"/>
      <c r="AA142" s="13"/>
      <c r="AB142" s="13"/>
      <c r="AC142" s="13"/>
    </row>
    <row r="143" spans="1:29" s="3" customFormat="1">
      <c r="A143" s="40"/>
      <c r="B143" s="41"/>
      <c r="C143" s="44"/>
      <c r="R143" s="13"/>
      <c r="S143" s="13"/>
      <c r="T143" s="13"/>
      <c r="U143" s="13"/>
      <c r="V143" s="13"/>
      <c r="W143" s="13"/>
      <c r="X143" s="13"/>
      <c r="Y143" s="13"/>
      <c r="Z143" s="13"/>
      <c r="AA143" s="13"/>
      <c r="AB143" s="13"/>
      <c r="AC143" s="13"/>
    </row>
    <row r="144" spans="1:29" s="3" customFormat="1">
      <c r="A144" s="40"/>
      <c r="B144" s="41"/>
      <c r="C144" s="44"/>
      <c r="R144" s="13"/>
      <c r="S144" s="13"/>
      <c r="T144" s="13"/>
      <c r="U144" s="13"/>
      <c r="V144" s="13"/>
      <c r="W144" s="13"/>
      <c r="X144" s="13"/>
      <c r="Y144" s="13"/>
      <c r="Z144" s="13"/>
      <c r="AA144" s="13"/>
      <c r="AB144" s="13"/>
      <c r="AC144" s="13"/>
    </row>
    <row r="145" spans="1:29" s="3" customFormat="1">
      <c r="A145" s="40"/>
      <c r="B145" s="41"/>
      <c r="C145" s="44"/>
      <c r="R145" s="13"/>
      <c r="S145" s="13"/>
      <c r="T145" s="13"/>
      <c r="U145" s="13"/>
      <c r="V145" s="13"/>
      <c r="W145" s="13"/>
      <c r="X145" s="13"/>
      <c r="Y145" s="13"/>
      <c r="Z145" s="13"/>
      <c r="AA145" s="13"/>
      <c r="AB145" s="13"/>
      <c r="AC145" s="13"/>
    </row>
    <row r="146" spans="1:29" s="3" customFormat="1">
      <c r="A146" s="40"/>
      <c r="B146" s="41"/>
      <c r="C146" s="44"/>
      <c r="R146" s="13"/>
      <c r="S146" s="13"/>
      <c r="T146" s="13"/>
      <c r="U146" s="13"/>
      <c r="V146" s="13"/>
      <c r="W146" s="13"/>
      <c r="X146" s="13"/>
      <c r="Y146" s="13"/>
      <c r="Z146" s="13"/>
      <c r="AA146" s="13"/>
      <c r="AB146" s="13"/>
      <c r="AC146" s="13"/>
    </row>
    <row r="147" spans="1:29" s="3" customFormat="1">
      <c r="A147" s="40"/>
      <c r="B147" s="41"/>
      <c r="C147" s="44"/>
      <c r="R147" s="13"/>
      <c r="S147" s="13"/>
      <c r="T147" s="13"/>
      <c r="U147" s="13"/>
      <c r="V147" s="13"/>
      <c r="W147" s="13"/>
      <c r="X147" s="13"/>
      <c r="Y147" s="13"/>
      <c r="Z147" s="13"/>
      <c r="AA147" s="13"/>
      <c r="AB147" s="13"/>
      <c r="AC147" s="13"/>
    </row>
    <row r="148" spans="1:29" s="3" customFormat="1">
      <c r="A148" s="40"/>
      <c r="B148" s="41"/>
      <c r="C148" s="44"/>
      <c r="R148" s="13"/>
      <c r="S148" s="13"/>
      <c r="T148" s="13"/>
      <c r="U148" s="13"/>
      <c r="V148" s="13"/>
      <c r="W148" s="13"/>
      <c r="X148" s="13"/>
      <c r="Y148" s="13"/>
      <c r="Z148" s="13"/>
      <c r="AA148" s="13"/>
      <c r="AB148" s="13"/>
      <c r="AC148" s="13"/>
    </row>
    <row r="149" spans="1:29" s="3" customFormat="1">
      <c r="A149" s="40"/>
      <c r="B149" s="41"/>
      <c r="C149" s="44"/>
      <c r="R149" s="13"/>
      <c r="S149" s="13"/>
      <c r="T149" s="13"/>
      <c r="U149" s="13"/>
      <c r="V149" s="13"/>
      <c r="W149" s="13"/>
      <c r="X149" s="13"/>
      <c r="Y149" s="13"/>
      <c r="Z149" s="13"/>
      <c r="AA149" s="13"/>
      <c r="AB149" s="13"/>
      <c r="AC149" s="13"/>
    </row>
    <row r="150" spans="1:29" s="3" customFormat="1">
      <c r="A150" s="40"/>
      <c r="B150" s="41"/>
      <c r="C150" s="44"/>
      <c r="R150" s="13"/>
      <c r="S150" s="13"/>
      <c r="T150" s="13"/>
      <c r="U150" s="13"/>
      <c r="V150" s="13"/>
      <c r="W150" s="13"/>
      <c r="X150" s="13"/>
      <c r="Y150" s="13"/>
      <c r="Z150" s="13"/>
      <c r="AA150" s="13"/>
      <c r="AB150" s="13"/>
      <c r="AC150" s="13"/>
    </row>
    <row r="151" spans="1:29" s="3" customFormat="1">
      <c r="A151" s="40"/>
      <c r="B151" s="41"/>
      <c r="C151" s="44"/>
      <c r="R151" s="13"/>
      <c r="S151" s="13"/>
      <c r="T151" s="13"/>
      <c r="U151" s="13"/>
      <c r="V151" s="13"/>
      <c r="W151" s="13"/>
      <c r="X151" s="13"/>
      <c r="Y151" s="13"/>
      <c r="Z151" s="13"/>
      <c r="AA151" s="13"/>
      <c r="AB151" s="13"/>
      <c r="AC151" s="13"/>
    </row>
    <row r="152" spans="1:29" s="3" customFormat="1">
      <c r="A152" s="40"/>
      <c r="B152" s="41"/>
      <c r="C152" s="44"/>
      <c r="R152" s="13"/>
      <c r="S152" s="13"/>
      <c r="T152" s="13"/>
      <c r="U152" s="13"/>
      <c r="V152" s="13"/>
      <c r="W152" s="13"/>
      <c r="X152" s="13"/>
      <c r="Y152" s="13"/>
      <c r="Z152" s="13"/>
      <c r="AA152" s="13"/>
      <c r="AB152" s="13"/>
      <c r="AC152" s="13"/>
    </row>
    <row r="153" spans="1:29" s="3" customFormat="1">
      <c r="A153" s="40"/>
      <c r="B153" s="41"/>
      <c r="C153" s="44"/>
      <c r="R153" s="13"/>
      <c r="S153" s="13"/>
      <c r="T153" s="13"/>
      <c r="U153" s="13"/>
      <c r="V153" s="13"/>
      <c r="W153" s="13"/>
      <c r="X153" s="13"/>
      <c r="Y153" s="13"/>
      <c r="Z153" s="13"/>
      <c r="AA153" s="13"/>
      <c r="AB153" s="13"/>
      <c r="AC153" s="13"/>
    </row>
    <row r="154" spans="1:29" s="3" customFormat="1">
      <c r="A154" s="40"/>
      <c r="B154" s="41"/>
      <c r="C154" s="44"/>
      <c r="R154" s="13"/>
      <c r="S154" s="13"/>
      <c r="T154" s="13"/>
      <c r="U154" s="13"/>
      <c r="V154" s="13"/>
      <c r="W154" s="13"/>
      <c r="X154" s="13"/>
      <c r="Y154" s="13"/>
      <c r="Z154" s="13"/>
      <c r="AA154" s="13"/>
      <c r="AB154" s="13"/>
      <c r="AC154" s="13"/>
    </row>
    <row r="155" spans="1:29" s="3" customFormat="1">
      <c r="A155" s="40"/>
      <c r="B155" s="41"/>
      <c r="C155" s="44"/>
      <c r="R155" s="13"/>
      <c r="S155" s="13"/>
      <c r="T155" s="13"/>
      <c r="U155" s="13"/>
      <c r="V155" s="13"/>
      <c r="W155" s="13"/>
      <c r="X155" s="13"/>
      <c r="Y155" s="13"/>
      <c r="Z155" s="13"/>
      <c r="AA155" s="13"/>
      <c r="AB155" s="13"/>
      <c r="AC155" s="13"/>
    </row>
    <row r="156" spans="1:29" s="3" customFormat="1">
      <c r="A156" s="40"/>
      <c r="B156" s="41"/>
      <c r="C156" s="44"/>
      <c r="R156" s="13"/>
      <c r="S156" s="13"/>
      <c r="T156" s="13"/>
      <c r="U156" s="13"/>
      <c r="V156" s="13"/>
      <c r="W156" s="13"/>
      <c r="X156" s="13"/>
      <c r="Y156" s="13"/>
      <c r="Z156" s="13"/>
      <c r="AA156" s="13"/>
      <c r="AB156" s="13"/>
      <c r="AC156" s="13"/>
    </row>
    <row r="157" spans="1:29" s="3" customFormat="1">
      <c r="A157" s="40"/>
      <c r="B157" s="41"/>
      <c r="C157" s="44"/>
      <c r="R157" s="13"/>
      <c r="S157" s="13"/>
      <c r="T157" s="13"/>
      <c r="U157" s="13"/>
      <c r="V157" s="13"/>
      <c r="W157" s="13"/>
      <c r="X157" s="13"/>
      <c r="Y157" s="13"/>
      <c r="Z157" s="13"/>
      <c r="AA157" s="13"/>
      <c r="AB157" s="13"/>
      <c r="AC157" s="13"/>
    </row>
    <row r="158" spans="1:29" s="3" customFormat="1">
      <c r="A158" s="40"/>
      <c r="B158" s="41"/>
      <c r="C158" s="44"/>
      <c r="R158" s="13"/>
      <c r="S158" s="13"/>
      <c r="T158" s="13"/>
      <c r="U158" s="13"/>
      <c r="V158" s="13"/>
      <c r="W158" s="13"/>
      <c r="X158" s="13"/>
      <c r="Y158" s="13"/>
      <c r="Z158" s="13"/>
      <c r="AA158" s="13"/>
      <c r="AB158" s="13"/>
      <c r="AC158" s="13"/>
    </row>
    <row r="159" spans="1:29" s="3" customFormat="1">
      <c r="A159" s="40"/>
      <c r="B159" s="41"/>
      <c r="C159" s="44"/>
      <c r="R159" s="13"/>
      <c r="S159" s="13"/>
      <c r="T159" s="13"/>
      <c r="U159" s="13"/>
      <c r="V159" s="13"/>
      <c r="W159" s="13"/>
      <c r="X159" s="13"/>
      <c r="Y159" s="13"/>
      <c r="Z159" s="13"/>
      <c r="AA159" s="13"/>
      <c r="AB159" s="13"/>
      <c r="AC159" s="13"/>
    </row>
    <row r="160" spans="1:29" s="3" customFormat="1">
      <c r="A160" s="40"/>
      <c r="B160" s="41"/>
      <c r="C160" s="44"/>
      <c r="R160" s="13"/>
      <c r="S160" s="13"/>
      <c r="T160" s="13"/>
      <c r="U160" s="13"/>
      <c r="V160" s="13"/>
      <c r="W160" s="13"/>
      <c r="X160" s="13"/>
      <c r="Y160" s="13"/>
      <c r="Z160" s="13"/>
      <c r="AA160" s="13"/>
      <c r="AB160" s="13"/>
      <c r="AC160" s="13"/>
    </row>
    <row r="161" spans="1:29" s="3" customFormat="1">
      <c r="A161" s="40"/>
      <c r="B161" s="41"/>
      <c r="C161" s="44"/>
      <c r="R161" s="13"/>
      <c r="S161" s="13"/>
      <c r="T161" s="13"/>
      <c r="U161" s="13"/>
      <c r="V161" s="13"/>
      <c r="W161" s="13"/>
      <c r="X161" s="13"/>
      <c r="Y161" s="13"/>
      <c r="Z161" s="13"/>
      <c r="AA161" s="13"/>
      <c r="AB161" s="13"/>
      <c r="AC161" s="13"/>
    </row>
    <row r="162" spans="1:29" s="3" customFormat="1">
      <c r="A162" s="40"/>
      <c r="B162" s="41"/>
      <c r="C162" s="44"/>
      <c r="R162" s="13"/>
      <c r="S162" s="13"/>
      <c r="T162" s="13"/>
      <c r="U162" s="13"/>
      <c r="V162" s="13"/>
      <c r="W162" s="13"/>
      <c r="X162" s="13"/>
      <c r="Y162" s="13"/>
      <c r="Z162" s="13"/>
      <c r="AA162" s="13"/>
      <c r="AB162" s="13"/>
      <c r="AC162" s="13"/>
    </row>
    <row r="163" spans="1:29" s="3" customFormat="1">
      <c r="A163" s="40"/>
      <c r="B163" s="41"/>
      <c r="C163" s="44"/>
      <c r="R163" s="13"/>
      <c r="S163" s="13"/>
      <c r="T163" s="13"/>
      <c r="U163" s="13"/>
      <c r="V163" s="13"/>
      <c r="W163" s="13"/>
      <c r="X163" s="13"/>
      <c r="Y163" s="13"/>
      <c r="Z163" s="13"/>
      <c r="AA163" s="13"/>
      <c r="AB163" s="13"/>
      <c r="AC163" s="13"/>
    </row>
    <row r="164" spans="1:29" s="3" customFormat="1">
      <c r="A164" s="40"/>
      <c r="B164" s="41"/>
      <c r="C164" s="44"/>
      <c r="R164" s="13"/>
      <c r="S164" s="13"/>
      <c r="T164" s="13"/>
      <c r="U164" s="13"/>
      <c r="V164" s="13"/>
      <c r="W164" s="13"/>
      <c r="X164" s="13"/>
      <c r="Y164" s="13"/>
      <c r="Z164" s="13"/>
      <c r="AA164" s="13"/>
      <c r="AB164" s="13"/>
      <c r="AC164" s="13"/>
    </row>
    <row r="165" spans="1:29" s="3" customFormat="1">
      <c r="A165" s="40"/>
      <c r="B165" s="41"/>
      <c r="C165" s="44"/>
      <c r="R165" s="13"/>
      <c r="S165" s="13"/>
      <c r="T165" s="13"/>
      <c r="U165" s="13"/>
      <c r="V165" s="13"/>
      <c r="W165" s="13"/>
      <c r="X165" s="13"/>
      <c r="Y165" s="13"/>
      <c r="Z165" s="13"/>
      <c r="AA165" s="13"/>
      <c r="AB165" s="13"/>
      <c r="AC165" s="13"/>
    </row>
    <row r="166" spans="1:29" s="3" customFormat="1">
      <c r="A166" s="40"/>
      <c r="B166" s="41"/>
      <c r="C166" s="44"/>
      <c r="R166" s="13"/>
      <c r="S166" s="13"/>
      <c r="T166" s="13"/>
      <c r="U166" s="13"/>
      <c r="V166" s="13"/>
      <c r="W166" s="13"/>
      <c r="X166" s="13"/>
      <c r="Y166" s="13"/>
      <c r="Z166" s="13"/>
      <c r="AA166" s="13"/>
      <c r="AB166" s="13"/>
      <c r="AC166" s="13"/>
    </row>
    <row r="167" spans="1:29" s="3" customFormat="1">
      <c r="A167" s="40"/>
      <c r="B167" s="41"/>
      <c r="C167" s="44"/>
      <c r="R167" s="13"/>
      <c r="S167" s="13"/>
      <c r="T167" s="13"/>
      <c r="U167" s="13"/>
      <c r="V167" s="13"/>
      <c r="W167" s="13"/>
      <c r="X167" s="13"/>
      <c r="Y167" s="13"/>
      <c r="Z167" s="13"/>
      <c r="AA167" s="13"/>
      <c r="AB167" s="13"/>
      <c r="AC167" s="13"/>
    </row>
    <row r="168" spans="1:29" s="3" customFormat="1">
      <c r="A168" s="40"/>
      <c r="B168" s="41"/>
      <c r="C168" s="44"/>
      <c r="R168" s="13"/>
      <c r="S168" s="13"/>
      <c r="T168" s="13"/>
      <c r="U168" s="13"/>
      <c r="V168" s="13"/>
      <c r="W168" s="13"/>
      <c r="X168" s="13"/>
      <c r="Y168" s="13"/>
      <c r="Z168" s="13"/>
      <c r="AA168" s="13"/>
      <c r="AB168" s="13"/>
      <c r="AC168" s="13"/>
    </row>
    <row r="169" spans="1:29" s="3" customFormat="1">
      <c r="A169" s="40"/>
      <c r="B169" s="41"/>
      <c r="C169" s="44"/>
      <c r="R169" s="13"/>
      <c r="S169" s="13"/>
      <c r="T169" s="13"/>
      <c r="U169" s="13"/>
      <c r="V169" s="13"/>
      <c r="W169" s="13"/>
      <c r="X169" s="13"/>
      <c r="Y169" s="13"/>
      <c r="Z169" s="13"/>
      <c r="AA169" s="13"/>
      <c r="AB169" s="13"/>
      <c r="AC169" s="13"/>
    </row>
    <row r="170" spans="1:29" s="3" customFormat="1">
      <c r="A170" s="40"/>
      <c r="B170" s="41"/>
      <c r="C170" s="44"/>
      <c r="R170" s="13"/>
      <c r="S170" s="13"/>
      <c r="T170" s="13"/>
      <c r="U170" s="13"/>
      <c r="V170" s="13"/>
      <c r="W170" s="13"/>
      <c r="X170" s="13"/>
      <c r="Y170" s="13"/>
      <c r="Z170" s="13"/>
      <c r="AA170" s="13"/>
      <c r="AB170" s="13"/>
      <c r="AC170" s="13"/>
    </row>
    <row r="171" spans="1:29" s="3" customFormat="1">
      <c r="A171" s="40"/>
      <c r="B171" s="41"/>
      <c r="C171" s="44"/>
      <c r="R171" s="13"/>
      <c r="S171" s="13"/>
      <c r="T171" s="13"/>
      <c r="U171" s="13"/>
      <c r="V171" s="13"/>
      <c r="W171" s="13"/>
      <c r="X171" s="13"/>
      <c r="Y171" s="13"/>
      <c r="Z171" s="13"/>
      <c r="AA171" s="13"/>
      <c r="AB171" s="13"/>
      <c r="AC171" s="13"/>
    </row>
    <row r="172" spans="1:29" s="3" customFormat="1">
      <c r="A172" s="40"/>
      <c r="B172" s="41"/>
      <c r="C172" s="44"/>
      <c r="R172" s="13"/>
      <c r="S172" s="13"/>
      <c r="T172" s="13"/>
      <c r="U172" s="13"/>
      <c r="V172" s="13"/>
      <c r="W172" s="13"/>
      <c r="X172" s="13"/>
      <c r="Y172" s="13"/>
      <c r="Z172" s="13"/>
      <c r="AA172" s="13"/>
      <c r="AB172" s="13"/>
      <c r="AC172" s="13"/>
    </row>
    <row r="173" spans="1:29" s="3" customFormat="1">
      <c r="A173" s="40"/>
      <c r="B173" s="41"/>
      <c r="C173" s="44"/>
      <c r="R173" s="13"/>
      <c r="S173" s="13"/>
      <c r="T173" s="13"/>
      <c r="U173" s="13"/>
      <c r="V173" s="13"/>
      <c r="W173" s="13"/>
      <c r="X173" s="13"/>
      <c r="Y173" s="13"/>
      <c r="Z173" s="13"/>
      <c r="AA173" s="13"/>
      <c r="AB173" s="13"/>
      <c r="AC173" s="13"/>
    </row>
    <row r="174" spans="1:29" s="3" customFormat="1">
      <c r="A174" s="40"/>
      <c r="B174" s="41"/>
      <c r="C174" s="44"/>
      <c r="R174" s="13"/>
      <c r="S174" s="13"/>
      <c r="T174" s="13"/>
      <c r="U174" s="13"/>
      <c r="V174" s="13"/>
      <c r="W174" s="13"/>
      <c r="X174" s="13"/>
      <c r="Y174" s="13"/>
      <c r="Z174" s="13"/>
      <c r="AA174" s="13"/>
      <c r="AB174" s="13"/>
      <c r="AC174" s="13"/>
    </row>
    <row r="175" spans="1:29" s="3" customFormat="1">
      <c r="A175" s="40"/>
      <c r="B175" s="41"/>
      <c r="C175" s="44"/>
      <c r="R175" s="13"/>
      <c r="S175" s="13"/>
      <c r="T175" s="13"/>
      <c r="U175" s="13"/>
      <c r="V175" s="13"/>
      <c r="W175" s="13"/>
      <c r="X175" s="13"/>
      <c r="Y175" s="13"/>
      <c r="Z175" s="13"/>
      <c r="AA175" s="13"/>
      <c r="AB175" s="13"/>
      <c r="AC175" s="13"/>
    </row>
    <row r="176" spans="1:29" s="3" customFormat="1">
      <c r="A176" s="40"/>
      <c r="B176" s="41"/>
      <c r="C176" s="44"/>
      <c r="R176" s="13"/>
      <c r="S176" s="13"/>
      <c r="T176" s="13"/>
      <c r="U176" s="13"/>
      <c r="V176" s="13"/>
      <c r="W176" s="13"/>
      <c r="X176" s="13"/>
      <c r="Y176" s="13"/>
      <c r="Z176" s="13"/>
      <c r="AA176" s="13"/>
      <c r="AB176" s="13"/>
      <c r="AC176" s="13"/>
    </row>
    <row r="177" spans="1:29" s="3" customFormat="1">
      <c r="A177" s="40"/>
      <c r="B177" s="41"/>
      <c r="C177" s="44"/>
      <c r="R177" s="13"/>
      <c r="S177" s="13"/>
      <c r="T177" s="13"/>
      <c r="U177" s="13"/>
      <c r="V177" s="13"/>
      <c r="W177" s="13"/>
      <c r="X177" s="13"/>
      <c r="Y177" s="13"/>
      <c r="Z177" s="13"/>
      <c r="AA177" s="13"/>
      <c r="AB177" s="13"/>
      <c r="AC177" s="13"/>
    </row>
    <row r="178" spans="1:29" s="3" customFormat="1">
      <c r="A178" s="40"/>
      <c r="B178" s="41"/>
      <c r="C178" s="44"/>
      <c r="R178" s="13"/>
      <c r="S178" s="13"/>
      <c r="T178" s="13"/>
      <c r="U178" s="13"/>
      <c r="V178" s="13"/>
      <c r="W178" s="13"/>
      <c r="X178" s="13"/>
      <c r="Y178" s="13"/>
      <c r="Z178" s="13"/>
      <c r="AA178" s="13"/>
      <c r="AB178" s="13"/>
      <c r="AC178" s="13"/>
    </row>
    <row r="179" spans="1:29" s="3" customFormat="1">
      <c r="A179" s="40"/>
      <c r="B179" s="41"/>
      <c r="C179" s="44"/>
      <c r="R179" s="13"/>
      <c r="S179" s="13"/>
      <c r="T179" s="13"/>
      <c r="U179" s="13"/>
      <c r="V179" s="13"/>
      <c r="W179" s="13"/>
      <c r="X179" s="13"/>
      <c r="Y179" s="13"/>
      <c r="Z179" s="13"/>
      <c r="AA179" s="13"/>
      <c r="AB179" s="13"/>
      <c r="AC179" s="13"/>
    </row>
    <row r="180" spans="1:29" s="3" customFormat="1">
      <c r="A180" s="40"/>
      <c r="B180" s="41"/>
      <c r="C180" s="44"/>
      <c r="R180" s="13"/>
      <c r="S180" s="13"/>
      <c r="T180" s="13"/>
      <c r="U180" s="13"/>
      <c r="V180" s="13"/>
      <c r="W180" s="13"/>
      <c r="X180" s="13"/>
      <c r="Y180" s="13"/>
      <c r="Z180" s="13"/>
      <c r="AA180" s="13"/>
      <c r="AB180" s="13"/>
      <c r="AC180" s="13"/>
    </row>
    <row r="181" spans="1:29" s="3" customFormat="1">
      <c r="A181" s="40"/>
      <c r="B181" s="41"/>
      <c r="C181" s="44"/>
      <c r="R181" s="13"/>
      <c r="S181" s="13"/>
      <c r="T181" s="13"/>
      <c r="U181" s="13"/>
      <c r="V181" s="13"/>
      <c r="W181" s="13"/>
      <c r="X181" s="13"/>
      <c r="Y181" s="13"/>
      <c r="Z181" s="13"/>
      <c r="AA181" s="13"/>
      <c r="AB181" s="13"/>
      <c r="AC181" s="13"/>
    </row>
    <row r="182" spans="1:29" s="3" customFormat="1">
      <c r="A182" s="40"/>
      <c r="B182" s="41"/>
      <c r="C182" s="44"/>
      <c r="R182" s="13"/>
      <c r="S182" s="13"/>
      <c r="T182" s="13"/>
      <c r="U182" s="13"/>
      <c r="V182" s="13"/>
      <c r="W182" s="13"/>
      <c r="X182" s="13"/>
      <c r="Y182" s="13"/>
      <c r="Z182" s="13"/>
      <c r="AA182" s="13"/>
      <c r="AB182" s="13"/>
      <c r="AC182" s="13"/>
    </row>
    <row r="183" spans="1:29" s="3" customFormat="1">
      <c r="A183" s="40"/>
      <c r="B183" s="41"/>
      <c r="C183" s="44"/>
      <c r="R183" s="13"/>
      <c r="S183" s="13"/>
      <c r="T183" s="13"/>
      <c r="U183" s="13"/>
      <c r="V183" s="13"/>
      <c r="W183" s="13"/>
      <c r="X183" s="13"/>
      <c r="Y183" s="13"/>
      <c r="Z183" s="13"/>
      <c r="AA183" s="13"/>
      <c r="AB183" s="13"/>
      <c r="AC183" s="13"/>
    </row>
    <row r="184" spans="1:29" s="3" customFormat="1">
      <c r="A184" s="40"/>
      <c r="B184" s="41"/>
      <c r="C184" s="44"/>
      <c r="R184" s="13"/>
      <c r="S184" s="13"/>
      <c r="T184" s="13"/>
      <c r="U184" s="13"/>
      <c r="V184" s="13"/>
      <c r="W184" s="13"/>
      <c r="X184" s="13"/>
      <c r="Y184" s="13"/>
      <c r="Z184" s="13"/>
      <c r="AA184" s="13"/>
      <c r="AB184" s="13"/>
      <c r="AC184" s="13"/>
    </row>
    <row r="185" spans="1:29" s="3" customFormat="1">
      <c r="A185" s="40"/>
      <c r="B185" s="41"/>
      <c r="C185" s="44"/>
      <c r="R185" s="13"/>
      <c r="S185" s="13"/>
      <c r="T185" s="13"/>
      <c r="U185" s="13"/>
      <c r="V185" s="13"/>
      <c r="W185" s="13"/>
      <c r="X185" s="13"/>
      <c r="Y185" s="13"/>
      <c r="Z185" s="13"/>
      <c r="AA185" s="13"/>
      <c r="AB185" s="13"/>
      <c r="AC185" s="13"/>
    </row>
    <row r="186" spans="1:29" s="3" customFormat="1">
      <c r="A186" s="40"/>
      <c r="B186" s="41"/>
      <c r="C186" s="44"/>
      <c r="R186" s="13"/>
      <c r="S186" s="13"/>
      <c r="T186" s="13"/>
      <c r="U186" s="13"/>
      <c r="V186" s="13"/>
      <c r="W186" s="13"/>
      <c r="X186" s="13"/>
      <c r="Y186" s="13"/>
      <c r="Z186" s="13"/>
      <c r="AA186" s="13"/>
      <c r="AB186" s="13"/>
      <c r="AC186" s="13"/>
    </row>
    <row r="187" spans="1:29" s="3" customFormat="1">
      <c r="A187" s="40"/>
      <c r="B187" s="41"/>
      <c r="C187" s="44"/>
      <c r="R187" s="13"/>
      <c r="S187" s="13"/>
      <c r="T187" s="13"/>
      <c r="U187" s="13"/>
      <c r="V187" s="13"/>
      <c r="W187" s="13"/>
      <c r="X187" s="13"/>
      <c r="Y187" s="13"/>
      <c r="Z187" s="13"/>
      <c r="AA187" s="13"/>
      <c r="AB187" s="13"/>
      <c r="AC187" s="13"/>
    </row>
    <row r="188" spans="1:29" s="3" customFormat="1">
      <c r="A188" s="40"/>
      <c r="B188" s="41"/>
      <c r="C188" s="44"/>
      <c r="R188" s="13"/>
      <c r="S188" s="13"/>
      <c r="T188" s="13"/>
      <c r="U188" s="13"/>
      <c r="V188" s="13"/>
      <c r="W188" s="13"/>
      <c r="X188" s="13"/>
      <c r="Y188" s="13"/>
      <c r="Z188" s="13"/>
      <c r="AA188" s="13"/>
      <c r="AB188" s="13"/>
      <c r="AC188" s="13"/>
    </row>
    <row r="189" spans="1:29" s="3" customFormat="1">
      <c r="A189" s="40"/>
      <c r="B189" s="41"/>
      <c r="C189" s="44"/>
      <c r="R189" s="13"/>
      <c r="S189" s="13"/>
      <c r="T189" s="13"/>
      <c r="U189" s="13"/>
      <c r="V189" s="13"/>
      <c r="W189" s="13"/>
      <c r="X189" s="13"/>
      <c r="Y189" s="13"/>
      <c r="Z189" s="13"/>
      <c r="AA189" s="13"/>
      <c r="AB189" s="13"/>
      <c r="AC189" s="13"/>
    </row>
    <row r="190" spans="1:29" s="3" customFormat="1">
      <c r="A190" s="40"/>
      <c r="B190" s="41"/>
      <c r="C190" s="44"/>
      <c r="R190" s="13"/>
      <c r="S190" s="13"/>
      <c r="T190" s="13"/>
      <c r="U190" s="13"/>
      <c r="V190" s="13"/>
      <c r="W190" s="13"/>
      <c r="X190" s="13"/>
      <c r="Y190" s="13"/>
      <c r="Z190" s="13"/>
      <c r="AA190" s="13"/>
      <c r="AB190" s="13"/>
      <c r="AC190" s="13"/>
    </row>
    <row r="191" spans="1:29" s="3" customFormat="1">
      <c r="A191" s="40"/>
      <c r="B191" s="41"/>
      <c r="C191" s="44"/>
      <c r="R191" s="13"/>
      <c r="S191" s="13"/>
      <c r="T191" s="13"/>
      <c r="U191" s="13"/>
      <c r="V191" s="13"/>
      <c r="W191" s="13"/>
      <c r="X191" s="13"/>
      <c r="Y191" s="13"/>
      <c r="Z191" s="13"/>
      <c r="AA191" s="13"/>
      <c r="AB191" s="13"/>
      <c r="AC191" s="13"/>
    </row>
    <row r="192" spans="1:29" s="3" customFormat="1">
      <c r="A192" s="40"/>
      <c r="B192" s="41"/>
      <c r="C192" s="44"/>
      <c r="R192" s="13"/>
      <c r="S192" s="13"/>
      <c r="T192" s="13"/>
      <c r="U192" s="13"/>
      <c r="V192" s="13"/>
      <c r="W192" s="13"/>
      <c r="X192" s="13"/>
      <c r="Y192" s="13"/>
      <c r="Z192" s="13"/>
      <c r="AA192" s="13"/>
      <c r="AB192" s="13"/>
      <c r="AC192" s="13"/>
    </row>
    <row r="193" spans="1:29" s="3" customFormat="1">
      <c r="A193" s="40"/>
      <c r="B193" s="41"/>
      <c r="C193" s="44"/>
      <c r="R193" s="13"/>
      <c r="S193" s="13"/>
      <c r="T193" s="13"/>
      <c r="U193" s="13"/>
      <c r="V193" s="13"/>
      <c r="W193" s="13"/>
      <c r="X193" s="13"/>
      <c r="Y193" s="13"/>
      <c r="Z193" s="13"/>
      <c r="AA193" s="13"/>
      <c r="AB193" s="13"/>
      <c r="AC193" s="13"/>
    </row>
    <row r="194" spans="1:29" s="3" customFormat="1">
      <c r="A194" s="40"/>
      <c r="B194" s="41"/>
      <c r="C194" s="44"/>
      <c r="R194" s="13"/>
      <c r="S194" s="13"/>
      <c r="T194" s="13"/>
      <c r="U194" s="13"/>
      <c r="V194" s="13"/>
      <c r="W194" s="13"/>
      <c r="X194" s="13"/>
      <c r="Y194" s="13"/>
      <c r="Z194" s="13"/>
      <c r="AA194" s="13"/>
      <c r="AB194" s="13"/>
      <c r="AC194" s="13"/>
    </row>
    <row r="195" spans="1:29" s="3" customFormat="1">
      <c r="A195" s="40"/>
      <c r="B195" s="41"/>
      <c r="C195" s="44"/>
      <c r="R195" s="13"/>
      <c r="S195" s="13"/>
      <c r="T195" s="13"/>
      <c r="U195" s="13"/>
      <c r="V195" s="13"/>
      <c r="W195" s="13"/>
      <c r="X195" s="13"/>
      <c r="Y195" s="13"/>
      <c r="Z195" s="13"/>
      <c r="AA195" s="13"/>
      <c r="AB195" s="13"/>
      <c r="AC195" s="13"/>
    </row>
    <row r="196" spans="1:29" s="3" customFormat="1">
      <c r="A196" s="40"/>
      <c r="B196" s="41"/>
      <c r="C196" s="44"/>
      <c r="R196" s="13"/>
      <c r="S196" s="13"/>
      <c r="T196" s="13"/>
      <c r="U196" s="13"/>
      <c r="V196" s="13"/>
      <c r="W196" s="13"/>
      <c r="X196" s="13"/>
      <c r="Y196" s="13"/>
      <c r="Z196" s="13"/>
      <c r="AA196" s="13"/>
      <c r="AB196" s="13"/>
      <c r="AC196" s="13"/>
    </row>
    <row r="197" spans="1:29" s="3" customFormat="1">
      <c r="A197" s="40"/>
      <c r="B197" s="41"/>
      <c r="C197" s="44"/>
      <c r="R197" s="13"/>
      <c r="S197" s="13"/>
      <c r="T197" s="13"/>
      <c r="U197" s="13"/>
      <c r="V197" s="13"/>
      <c r="W197" s="13"/>
      <c r="X197" s="13"/>
      <c r="Y197" s="13"/>
      <c r="Z197" s="13"/>
      <c r="AA197" s="13"/>
      <c r="AB197" s="13"/>
      <c r="AC197" s="13"/>
    </row>
    <row r="198" spans="1:29" s="3" customFormat="1">
      <c r="A198" s="40"/>
      <c r="B198" s="41"/>
      <c r="C198" s="44"/>
      <c r="R198" s="13"/>
      <c r="S198" s="13"/>
      <c r="T198" s="13"/>
      <c r="U198" s="13"/>
      <c r="V198" s="13"/>
      <c r="W198" s="13"/>
      <c r="X198" s="13"/>
      <c r="Y198" s="13"/>
      <c r="Z198" s="13"/>
      <c r="AA198" s="13"/>
      <c r="AB198" s="13"/>
      <c r="AC198" s="13"/>
    </row>
    <row r="199" spans="1:29" s="3" customFormat="1">
      <c r="A199" s="40"/>
      <c r="B199" s="41"/>
      <c r="C199" s="44"/>
      <c r="R199" s="13"/>
      <c r="S199" s="13"/>
      <c r="T199" s="13"/>
      <c r="U199" s="13"/>
      <c r="V199" s="13"/>
      <c r="W199" s="13"/>
      <c r="X199" s="13"/>
      <c r="Y199" s="13"/>
      <c r="Z199" s="13"/>
      <c r="AA199" s="13"/>
      <c r="AB199" s="13"/>
      <c r="AC199" s="13"/>
    </row>
    <row r="200" spans="1:29" s="3" customFormat="1">
      <c r="A200" s="40"/>
      <c r="B200" s="41"/>
      <c r="C200" s="44"/>
      <c r="R200" s="13"/>
      <c r="S200" s="13"/>
      <c r="T200" s="13"/>
      <c r="U200" s="13"/>
      <c r="V200" s="13"/>
      <c r="W200" s="13"/>
      <c r="X200" s="13"/>
      <c r="Y200" s="13"/>
      <c r="Z200" s="13"/>
      <c r="AA200" s="13"/>
      <c r="AB200" s="13"/>
      <c r="AC200" s="13"/>
    </row>
    <row r="201" spans="1:29" s="3" customFormat="1">
      <c r="A201" s="40"/>
      <c r="B201" s="41"/>
      <c r="C201" s="44"/>
      <c r="R201" s="13"/>
      <c r="S201" s="13"/>
      <c r="T201" s="13"/>
      <c r="U201" s="13"/>
      <c r="V201" s="13"/>
      <c r="W201" s="13"/>
      <c r="X201" s="13"/>
      <c r="Y201" s="13"/>
      <c r="Z201" s="13"/>
      <c r="AA201" s="13"/>
      <c r="AB201" s="13"/>
      <c r="AC201" s="13"/>
    </row>
    <row r="202" spans="1:29" s="3" customFormat="1">
      <c r="A202" s="40"/>
      <c r="B202" s="41"/>
      <c r="C202" s="44"/>
      <c r="R202" s="13"/>
      <c r="S202" s="13"/>
      <c r="T202" s="13"/>
      <c r="U202" s="13"/>
      <c r="V202" s="13"/>
      <c r="W202" s="13"/>
      <c r="X202" s="13"/>
      <c r="Y202" s="13"/>
      <c r="Z202" s="13"/>
      <c r="AA202" s="13"/>
      <c r="AB202" s="13"/>
      <c r="AC202" s="13"/>
    </row>
    <row r="203" spans="1:29" s="3" customFormat="1">
      <c r="A203" s="40"/>
      <c r="B203" s="41"/>
      <c r="C203" s="44"/>
      <c r="R203" s="13"/>
      <c r="S203" s="13"/>
      <c r="T203" s="13"/>
      <c r="U203" s="13"/>
      <c r="V203" s="13"/>
      <c r="W203" s="13"/>
      <c r="X203" s="13"/>
      <c r="Y203" s="13"/>
      <c r="Z203" s="13"/>
      <c r="AA203" s="13"/>
      <c r="AB203" s="13"/>
      <c r="AC203" s="13"/>
    </row>
    <row r="204" spans="1:29" s="3" customFormat="1">
      <c r="A204" s="40"/>
      <c r="B204" s="41"/>
      <c r="C204" s="44"/>
      <c r="R204" s="13"/>
      <c r="S204" s="13"/>
      <c r="T204" s="13"/>
      <c r="U204" s="13"/>
      <c r="V204" s="13"/>
      <c r="W204" s="13"/>
      <c r="X204" s="13"/>
      <c r="Y204" s="13"/>
      <c r="Z204" s="13"/>
      <c r="AA204" s="13"/>
      <c r="AB204" s="13"/>
      <c r="AC204" s="13"/>
    </row>
    <row r="205" spans="1:29" s="3" customFormat="1">
      <c r="A205" s="40"/>
      <c r="B205" s="41"/>
      <c r="C205" s="44"/>
      <c r="R205" s="13"/>
      <c r="S205" s="13"/>
      <c r="T205" s="13"/>
      <c r="U205" s="13"/>
      <c r="V205" s="13"/>
      <c r="W205" s="13"/>
      <c r="X205" s="13"/>
      <c r="Y205" s="13"/>
      <c r="Z205" s="13"/>
      <c r="AA205" s="13"/>
      <c r="AB205" s="13"/>
      <c r="AC205" s="13"/>
    </row>
    <row r="206" spans="1:29" s="3" customFormat="1">
      <c r="A206" s="40"/>
      <c r="B206" s="41"/>
      <c r="C206" s="44"/>
      <c r="R206" s="13"/>
      <c r="S206" s="13"/>
      <c r="T206" s="13"/>
      <c r="U206" s="13"/>
      <c r="V206" s="13"/>
      <c r="W206" s="13"/>
      <c r="X206" s="13"/>
      <c r="Y206" s="13"/>
      <c r="Z206" s="13"/>
      <c r="AA206" s="13"/>
      <c r="AB206" s="13"/>
      <c r="AC206" s="13"/>
    </row>
    <row r="207" spans="1:29" s="3" customFormat="1">
      <c r="A207" s="40"/>
      <c r="B207" s="41"/>
      <c r="C207" s="44"/>
      <c r="R207" s="13"/>
      <c r="S207" s="13"/>
      <c r="T207" s="13"/>
      <c r="U207" s="13"/>
      <c r="V207" s="13"/>
      <c r="W207" s="13"/>
      <c r="X207" s="13"/>
      <c r="Y207" s="13"/>
      <c r="Z207" s="13"/>
      <c r="AA207" s="13"/>
      <c r="AB207" s="13"/>
      <c r="AC207" s="13"/>
    </row>
    <row r="208" spans="1:29" s="3" customFormat="1">
      <c r="A208" s="40"/>
      <c r="B208" s="41"/>
      <c r="C208" s="44"/>
      <c r="R208" s="13"/>
      <c r="S208" s="13"/>
      <c r="T208" s="13"/>
      <c r="U208" s="13"/>
      <c r="V208" s="13"/>
      <c r="W208" s="13"/>
      <c r="X208" s="13"/>
      <c r="Y208" s="13"/>
      <c r="Z208" s="13"/>
      <c r="AA208" s="13"/>
      <c r="AB208" s="13"/>
      <c r="AC208" s="13"/>
    </row>
    <row r="209" spans="1:29" s="3" customFormat="1">
      <c r="A209" s="40"/>
      <c r="B209" s="41"/>
      <c r="C209" s="44"/>
      <c r="R209" s="13"/>
      <c r="S209" s="13"/>
      <c r="T209" s="13"/>
      <c r="U209" s="13"/>
      <c r="V209" s="13"/>
      <c r="W209" s="13"/>
      <c r="X209" s="13"/>
      <c r="Y209" s="13"/>
      <c r="Z209" s="13"/>
      <c r="AA209" s="13"/>
      <c r="AB209" s="13"/>
      <c r="AC209" s="13"/>
    </row>
    <row r="210" spans="1:29" s="3" customFormat="1">
      <c r="A210" s="40"/>
      <c r="B210" s="41"/>
      <c r="C210" s="44"/>
      <c r="R210" s="13"/>
      <c r="S210" s="13"/>
      <c r="T210" s="13"/>
      <c r="U210" s="13"/>
      <c r="V210" s="13"/>
      <c r="W210" s="13"/>
      <c r="X210" s="13"/>
      <c r="Y210" s="13"/>
      <c r="Z210" s="13"/>
      <c r="AA210" s="13"/>
      <c r="AB210" s="13"/>
      <c r="AC210" s="13"/>
    </row>
    <row r="211" spans="1:29" s="3" customFormat="1">
      <c r="A211" s="40"/>
      <c r="B211" s="41"/>
      <c r="C211" s="44"/>
      <c r="R211" s="13"/>
      <c r="S211" s="13"/>
      <c r="T211" s="13"/>
      <c r="U211" s="13"/>
      <c r="V211" s="13"/>
      <c r="W211" s="13"/>
      <c r="X211" s="13"/>
      <c r="Y211" s="13"/>
      <c r="Z211" s="13"/>
      <c r="AA211" s="13"/>
      <c r="AB211" s="13"/>
      <c r="AC211" s="13"/>
    </row>
    <row r="212" spans="1:29" s="3" customFormat="1">
      <c r="A212" s="40"/>
      <c r="B212" s="41"/>
      <c r="C212" s="44"/>
      <c r="R212" s="13"/>
      <c r="S212" s="13"/>
      <c r="T212" s="13"/>
      <c r="U212" s="13"/>
      <c r="V212" s="13"/>
      <c r="W212" s="13"/>
      <c r="X212" s="13"/>
      <c r="Y212" s="13"/>
      <c r="Z212" s="13"/>
      <c r="AA212" s="13"/>
      <c r="AB212" s="13"/>
      <c r="AC212" s="13"/>
    </row>
    <row r="213" spans="1:29" s="3" customFormat="1">
      <c r="A213" s="40"/>
      <c r="B213" s="41"/>
      <c r="C213" s="44"/>
      <c r="R213" s="13"/>
      <c r="S213" s="13"/>
      <c r="T213" s="13"/>
      <c r="U213" s="13"/>
      <c r="V213" s="13"/>
      <c r="W213" s="13"/>
      <c r="X213" s="13"/>
      <c r="Y213" s="13"/>
      <c r="Z213" s="13"/>
      <c r="AA213" s="13"/>
      <c r="AB213" s="13"/>
      <c r="AC213" s="13"/>
    </row>
    <row r="214" spans="1:29" s="3" customFormat="1">
      <c r="A214" s="40"/>
      <c r="B214" s="41"/>
      <c r="C214" s="44"/>
      <c r="R214" s="13"/>
      <c r="S214" s="13"/>
      <c r="T214" s="13"/>
      <c r="U214" s="13"/>
      <c r="V214" s="13"/>
      <c r="W214" s="13"/>
      <c r="X214" s="13"/>
      <c r="Y214" s="13"/>
      <c r="Z214" s="13"/>
      <c r="AA214" s="13"/>
      <c r="AB214" s="13"/>
      <c r="AC214" s="13"/>
    </row>
    <row r="215" spans="1:29" s="3" customFormat="1">
      <c r="A215" s="40"/>
      <c r="B215" s="41"/>
      <c r="C215" s="44"/>
      <c r="R215" s="13"/>
      <c r="S215" s="13"/>
      <c r="T215" s="13"/>
      <c r="U215" s="13"/>
      <c r="V215" s="13"/>
      <c r="W215" s="13"/>
      <c r="X215" s="13"/>
      <c r="Y215" s="13"/>
      <c r="Z215" s="13"/>
      <c r="AA215" s="13"/>
      <c r="AB215" s="13"/>
      <c r="AC215" s="13"/>
    </row>
    <row r="216" spans="1:29" s="3" customFormat="1">
      <c r="A216" s="40"/>
      <c r="B216" s="41"/>
      <c r="C216" s="44"/>
      <c r="R216" s="13"/>
      <c r="S216" s="13"/>
      <c r="T216" s="13"/>
      <c r="U216" s="13"/>
      <c r="V216" s="13"/>
      <c r="W216" s="13"/>
      <c r="X216" s="13"/>
      <c r="Y216" s="13"/>
      <c r="Z216" s="13"/>
      <c r="AA216" s="13"/>
      <c r="AB216" s="13"/>
      <c r="AC216" s="13"/>
    </row>
    <row r="217" spans="1:29" s="3" customFormat="1">
      <c r="A217" s="40"/>
      <c r="B217" s="41"/>
      <c r="C217" s="44"/>
      <c r="R217" s="13"/>
      <c r="S217" s="13"/>
      <c r="T217" s="13"/>
      <c r="U217" s="13"/>
      <c r="V217" s="13"/>
      <c r="W217" s="13"/>
      <c r="X217" s="13"/>
      <c r="Y217" s="13"/>
      <c r="Z217" s="13"/>
      <c r="AA217" s="13"/>
      <c r="AB217" s="13"/>
      <c r="AC217" s="13"/>
    </row>
    <row r="218" spans="1:29" s="3" customFormat="1">
      <c r="A218" s="40"/>
      <c r="B218" s="41"/>
      <c r="C218" s="44"/>
      <c r="R218" s="13"/>
      <c r="S218" s="13"/>
      <c r="T218" s="13"/>
      <c r="U218" s="13"/>
      <c r="V218" s="13"/>
      <c r="W218" s="13"/>
      <c r="X218" s="13"/>
      <c r="Y218" s="13"/>
      <c r="Z218" s="13"/>
      <c r="AA218" s="13"/>
      <c r="AB218" s="13"/>
      <c r="AC218" s="13"/>
    </row>
    <row r="219" spans="1:29" s="3" customFormat="1">
      <c r="A219" s="40"/>
      <c r="B219" s="41"/>
      <c r="C219" s="44"/>
      <c r="R219" s="13"/>
      <c r="S219" s="13"/>
      <c r="T219" s="13"/>
      <c r="U219" s="13"/>
      <c r="V219" s="13"/>
      <c r="W219" s="13"/>
      <c r="X219" s="13"/>
      <c r="Y219" s="13"/>
      <c r="Z219" s="13"/>
      <c r="AA219" s="13"/>
      <c r="AB219" s="13"/>
      <c r="AC219" s="13"/>
    </row>
    <row r="220" spans="1:29" s="3" customFormat="1">
      <c r="A220" s="40"/>
      <c r="B220" s="41"/>
      <c r="C220" s="44"/>
      <c r="R220" s="13"/>
      <c r="S220" s="13"/>
      <c r="T220" s="13"/>
      <c r="U220" s="13"/>
      <c r="V220" s="13"/>
      <c r="W220" s="13"/>
      <c r="X220" s="13"/>
      <c r="Y220" s="13"/>
      <c r="Z220" s="13"/>
      <c r="AA220" s="13"/>
      <c r="AB220" s="13"/>
      <c r="AC220" s="13"/>
    </row>
    <row r="221" spans="1:29" s="3" customFormat="1">
      <c r="A221" s="40"/>
      <c r="B221" s="41"/>
      <c r="C221" s="44"/>
      <c r="R221" s="13"/>
      <c r="S221" s="13"/>
      <c r="T221" s="13"/>
      <c r="U221" s="13"/>
      <c r="V221" s="13"/>
      <c r="W221" s="13"/>
      <c r="X221" s="13"/>
      <c r="Y221" s="13"/>
      <c r="Z221" s="13"/>
      <c r="AA221" s="13"/>
      <c r="AB221" s="13"/>
      <c r="AC221" s="13"/>
    </row>
    <row r="222" spans="1:29" s="3" customFormat="1">
      <c r="A222" s="40"/>
      <c r="B222" s="41"/>
      <c r="C222" s="44"/>
      <c r="R222" s="13"/>
      <c r="S222" s="13"/>
      <c r="T222" s="13"/>
      <c r="U222" s="13"/>
      <c r="V222" s="13"/>
      <c r="W222" s="13"/>
      <c r="X222" s="13"/>
      <c r="Y222" s="13"/>
      <c r="Z222" s="13"/>
      <c r="AA222" s="13"/>
      <c r="AB222" s="13"/>
      <c r="AC222" s="13"/>
    </row>
    <row r="223" spans="1:29" s="3" customFormat="1">
      <c r="A223" s="40"/>
      <c r="B223" s="41"/>
      <c r="C223" s="44"/>
      <c r="R223" s="13"/>
      <c r="S223" s="13"/>
      <c r="T223" s="13"/>
      <c r="U223" s="13"/>
      <c r="V223" s="13"/>
      <c r="W223" s="13"/>
      <c r="X223" s="13"/>
      <c r="Y223" s="13"/>
      <c r="Z223" s="13"/>
      <c r="AA223" s="13"/>
      <c r="AB223" s="13"/>
      <c r="AC223" s="13"/>
    </row>
    <row r="224" spans="1:29" s="3" customFormat="1">
      <c r="A224" s="40"/>
      <c r="B224" s="41"/>
      <c r="C224" s="44"/>
      <c r="R224" s="13"/>
      <c r="S224" s="13"/>
      <c r="T224" s="13"/>
      <c r="U224" s="13"/>
      <c r="V224" s="13"/>
      <c r="W224" s="13"/>
      <c r="X224" s="13"/>
      <c r="Y224" s="13"/>
      <c r="Z224" s="13"/>
      <c r="AA224" s="13"/>
      <c r="AB224" s="13"/>
      <c r="AC224" s="13"/>
    </row>
    <row r="225" spans="1:29" s="3" customFormat="1">
      <c r="A225" s="40"/>
      <c r="B225" s="41"/>
      <c r="C225" s="44"/>
      <c r="R225" s="13"/>
      <c r="S225" s="13"/>
      <c r="T225" s="13"/>
      <c r="U225" s="13"/>
      <c r="V225" s="13"/>
      <c r="W225" s="13"/>
      <c r="X225" s="13"/>
      <c r="Y225" s="13"/>
      <c r="Z225" s="13"/>
      <c r="AA225" s="13"/>
      <c r="AB225" s="13"/>
      <c r="AC225" s="13"/>
    </row>
    <row r="226" spans="1:29" s="3" customFormat="1">
      <c r="A226" s="40"/>
      <c r="B226" s="41"/>
      <c r="C226" s="44"/>
      <c r="R226" s="13"/>
      <c r="S226" s="13"/>
      <c r="T226" s="13"/>
      <c r="U226" s="13"/>
      <c r="V226" s="13"/>
      <c r="W226" s="13"/>
      <c r="X226" s="13"/>
      <c r="Y226" s="13"/>
      <c r="Z226" s="13"/>
      <c r="AA226" s="13"/>
      <c r="AB226" s="13"/>
      <c r="AC226" s="13"/>
    </row>
    <row r="227" spans="1:29" s="3" customFormat="1">
      <c r="A227" s="40"/>
      <c r="B227" s="41"/>
      <c r="C227" s="44"/>
      <c r="R227" s="13"/>
      <c r="S227" s="13"/>
      <c r="T227" s="13"/>
      <c r="U227" s="13"/>
      <c r="V227" s="13"/>
      <c r="W227" s="13"/>
      <c r="X227" s="13"/>
      <c r="Y227" s="13"/>
      <c r="Z227" s="13"/>
      <c r="AA227" s="13"/>
      <c r="AB227" s="13"/>
      <c r="AC227" s="13"/>
    </row>
    <row r="228" spans="1:29" s="3" customFormat="1">
      <c r="A228" s="40"/>
      <c r="B228" s="41"/>
      <c r="C228" s="44"/>
      <c r="R228" s="13"/>
      <c r="S228" s="13"/>
      <c r="T228" s="13"/>
      <c r="U228" s="13"/>
      <c r="V228" s="13"/>
      <c r="W228" s="13"/>
      <c r="X228" s="13"/>
      <c r="Y228" s="13"/>
      <c r="Z228" s="13"/>
      <c r="AA228" s="13"/>
      <c r="AB228" s="13"/>
      <c r="AC228" s="13"/>
    </row>
    <row r="229" spans="1:29" s="3" customFormat="1">
      <c r="A229" s="40"/>
      <c r="B229" s="41"/>
      <c r="C229" s="44"/>
      <c r="R229" s="13"/>
      <c r="S229" s="13"/>
      <c r="T229" s="13"/>
      <c r="U229" s="13"/>
      <c r="V229" s="13"/>
      <c r="W229" s="13"/>
      <c r="X229" s="13"/>
      <c r="Y229" s="13"/>
      <c r="Z229" s="13"/>
      <c r="AA229" s="13"/>
      <c r="AB229" s="13"/>
      <c r="AC229" s="13"/>
    </row>
    <row r="230" spans="1:29" s="3" customFormat="1">
      <c r="A230" s="40"/>
      <c r="B230" s="41"/>
      <c r="C230" s="44"/>
      <c r="R230" s="13"/>
      <c r="S230" s="13"/>
      <c r="T230" s="13"/>
      <c r="U230" s="13"/>
      <c r="V230" s="13"/>
      <c r="W230" s="13"/>
      <c r="X230" s="13"/>
      <c r="Y230" s="13"/>
      <c r="Z230" s="13"/>
      <c r="AA230" s="13"/>
      <c r="AB230" s="13"/>
      <c r="AC230" s="13"/>
    </row>
    <row r="231" spans="1:29" s="3" customFormat="1">
      <c r="A231" s="40"/>
      <c r="B231" s="41"/>
      <c r="C231" s="44"/>
      <c r="R231" s="13"/>
      <c r="S231" s="13"/>
      <c r="T231" s="13"/>
      <c r="U231" s="13"/>
      <c r="V231" s="13"/>
      <c r="W231" s="13"/>
      <c r="X231" s="13"/>
      <c r="Y231" s="13"/>
      <c r="Z231" s="13"/>
      <c r="AA231" s="13"/>
      <c r="AB231" s="13"/>
      <c r="AC231" s="13"/>
    </row>
    <row r="232" spans="1:29" s="3" customFormat="1">
      <c r="A232" s="40"/>
      <c r="B232" s="41"/>
      <c r="C232" s="44"/>
      <c r="R232" s="13"/>
      <c r="S232" s="13"/>
      <c r="T232" s="13"/>
      <c r="U232" s="13"/>
      <c r="V232" s="13"/>
      <c r="W232" s="13"/>
      <c r="X232" s="13"/>
      <c r="Y232" s="13"/>
      <c r="Z232" s="13"/>
      <c r="AA232" s="13"/>
      <c r="AB232" s="13"/>
      <c r="AC232" s="13"/>
    </row>
    <row r="233" spans="1:29" s="3" customFormat="1">
      <c r="A233" s="40"/>
      <c r="B233" s="41"/>
      <c r="C233" s="44"/>
      <c r="R233" s="13"/>
      <c r="S233" s="13"/>
      <c r="T233" s="13"/>
      <c r="U233" s="13"/>
      <c r="V233" s="13"/>
      <c r="W233" s="13"/>
      <c r="X233" s="13"/>
      <c r="Y233" s="13"/>
      <c r="Z233" s="13"/>
      <c r="AA233" s="13"/>
      <c r="AB233" s="13"/>
      <c r="AC233" s="13"/>
    </row>
    <row r="234" spans="1:29" s="3" customFormat="1">
      <c r="A234" s="40"/>
      <c r="B234" s="41"/>
      <c r="C234" s="44"/>
      <c r="R234" s="13"/>
      <c r="S234" s="13"/>
      <c r="T234" s="13"/>
      <c r="U234" s="13"/>
      <c r="V234" s="13"/>
      <c r="W234" s="13"/>
      <c r="X234" s="13"/>
      <c r="Y234" s="13"/>
      <c r="Z234" s="13"/>
      <c r="AA234" s="13"/>
      <c r="AB234" s="13"/>
      <c r="AC234" s="13"/>
    </row>
    <row r="235" spans="1:29" s="3" customFormat="1">
      <c r="A235" s="40"/>
      <c r="B235" s="41"/>
      <c r="C235" s="44"/>
      <c r="R235" s="13"/>
      <c r="S235" s="13"/>
      <c r="T235" s="13"/>
      <c r="U235" s="13"/>
      <c r="V235" s="13"/>
      <c r="W235" s="13"/>
      <c r="X235" s="13"/>
      <c r="Y235" s="13"/>
      <c r="Z235" s="13"/>
      <c r="AA235" s="13"/>
      <c r="AB235" s="13"/>
      <c r="AC235" s="13"/>
    </row>
    <row r="236" spans="1:29" s="3" customFormat="1">
      <c r="A236" s="40"/>
      <c r="B236" s="41"/>
      <c r="C236" s="44"/>
      <c r="R236" s="13"/>
      <c r="S236" s="13"/>
      <c r="T236" s="13"/>
      <c r="U236" s="13"/>
      <c r="V236" s="13"/>
      <c r="W236" s="13"/>
      <c r="X236" s="13"/>
      <c r="Y236" s="13"/>
      <c r="Z236" s="13"/>
      <c r="AA236" s="13"/>
      <c r="AB236" s="13"/>
      <c r="AC236" s="13"/>
    </row>
    <row r="237" spans="1:29" s="3" customFormat="1">
      <c r="A237" s="40"/>
      <c r="B237" s="41"/>
      <c r="C237" s="44"/>
      <c r="R237" s="13"/>
      <c r="S237" s="13"/>
      <c r="T237" s="13"/>
      <c r="U237" s="13"/>
      <c r="V237" s="13"/>
      <c r="W237" s="13"/>
      <c r="X237" s="13"/>
      <c r="Y237" s="13"/>
      <c r="Z237" s="13"/>
      <c r="AA237" s="13"/>
      <c r="AB237" s="13"/>
      <c r="AC237" s="13"/>
    </row>
    <row r="238" spans="1:29" s="3" customFormat="1">
      <c r="A238" s="40"/>
      <c r="B238" s="41"/>
      <c r="C238" s="44"/>
      <c r="R238" s="13"/>
      <c r="S238" s="13"/>
      <c r="T238" s="13"/>
      <c r="U238" s="13"/>
      <c r="V238" s="13"/>
      <c r="W238" s="13"/>
      <c r="X238" s="13"/>
      <c r="Y238" s="13"/>
      <c r="Z238" s="13"/>
      <c r="AA238" s="13"/>
      <c r="AB238" s="13"/>
      <c r="AC238" s="13"/>
    </row>
    <row r="239" spans="1:29" s="3" customFormat="1">
      <c r="A239" s="40"/>
      <c r="B239" s="41"/>
      <c r="C239" s="44"/>
      <c r="R239" s="13"/>
      <c r="S239" s="13"/>
      <c r="T239" s="13"/>
      <c r="U239" s="13"/>
      <c r="V239" s="13"/>
      <c r="W239" s="13"/>
      <c r="X239" s="13"/>
      <c r="Y239" s="13"/>
      <c r="Z239" s="13"/>
      <c r="AA239" s="13"/>
      <c r="AB239" s="13"/>
      <c r="AC239" s="13"/>
    </row>
    <row r="240" spans="1:29" s="3" customFormat="1">
      <c r="A240" s="40"/>
      <c r="B240" s="41"/>
      <c r="C240" s="44"/>
      <c r="R240" s="13"/>
      <c r="S240" s="13"/>
      <c r="T240" s="13"/>
      <c r="U240" s="13"/>
      <c r="V240" s="13"/>
      <c r="W240" s="13"/>
      <c r="X240" s="13"/>
      <c r="Y240" s="13"/>
      <c r="Z240" s="13"/>
      <c r="AA240" s="13"/>
      <c r="AB240" s="13"/>
      <c r="AC240" s="13"/>
    </row>
    <row r="241" spans="1:29" s="3" customFormat="1">
      <c r="A241" s="40"/>
      <c r="B241" s="41"/>
      <c r="C241" s="44"/>
      <c r="R241" s="13"/>
      <c r="S241" s="13"/>
      <c r="T241" s="13"/>
      <c r="U241" s="13"/>
      <c r="V241" s="13"/>
      <c r="W241" s="13"/>
      <c r="X241" s="13"/>
      <c r="Y241" s="13"/>
      <c r="Z241" s="13"/>
      <c r="AA241" s="13"/>
      <c r="AB241" s="13"/>
      <c r="AC241" s="13"/>
    </row>
    <row r="242" spans="1:29" s="3" customFormat="1">
      <c r="A242" s="40"/>
      <c r="B242" s="41"/>
      <c r="C242" s="44"/>
      <c r="R242" s="13"/>
      <c r="S242" s="13"/>
      <c r="T242" s="13"/>
      <c r="U242" s="13"/>
      <c r="V242" s="13"/>
      <c r="W242" s="13"/>
      <c r="X242" s="13"/>
      <c r="Y242" s="13"/>
      <c r="Z242" s="13"/>
      <c r="AA242" s="13"/>
      <c r="AB242" s="13"/>
      <c r="AC242" s="13"/>
    </row>
    <row r="243" spans="1:29" s="3" customFormat="1">
      <c r="A243" s="40"/>
      <c r="B243" s="41"/>
      <c r="C243" s="44"/>
      <c r="R243" s="13"/>
      <c r="S243" s="13"/>
      <c r="T243" s="13"/>
      <c r="U243" s="13"/>
      <c r="V243" s="13"/>
      <c r="W243" s="13"/>
      <c r="X243" s="13"/>
      <c r="Y243" s="13"/>
      <c r="Z243" s="13"/>
      <c r="AA243" s="13"/>
      <c r="AB243" s="13"/>
      <c r="AC243" s="13"/>
    </row>
    <row r="244" spans="1:29" s="3" customFormat="1">
      <c r="A244" s="40"/>
      <c r="B244" s="41"/>
      <c r="C244" s="44"/>
      <c r="R244" s="13"/>
      <c r="S244" s="13"/>
      <c r="T244" s="13"/>
      <c r="U244" s="13"/>
      <c r="V244" s="13"/>
      <c r="W244" s="13"/>
      <c r="X244" s="13"/>
      <c r="Y244" s="13"/>
      <c r="Z244" s="13"/>
      <c r="AA244" s="13"/>
      <c r="AB244" s="13"/>
      <c r="AC244" s="13"/>
    </row>
    <row r="245" spans="1:29" s="3" customFormat="1">
      <c r="A245" s="40"/>
      <c r="B245" s="41"/>
      <c r="C245" s="44"/>
      <c r="R245" s="13"/>
      <c r="S245" s="13"/>
      <c r="T245" s="13"/>
      <c r="U245" s="13"/>
      <c r="V245" s="13"/>
      <c r="W245" s="13"/>
      <c r="X245" s="13"/>
      <c r="Y245" s="13"/>
      <c r="Z245" s="13"/>
      <c r="AA245" s="13"/>
      <c r="AB245" s="13"/>
      <c r="AC245" s="13"/>
    </row>
    <row r="246" spans="1:29" s="3" customFormat="1">
      <c r="A246" s="40"/>
      <c r="B246" s="41"/>
      <c r="C246" s="44"/>
      <c r="R246" s="13"/>
      <c r="S246" s="13"/>
      <c r="T246" s="13"/>
      <c r="U246" s="13"/>
      <c r="V246" s="13"/>
      <c r="W246" s="13"/>
      <c r="X246" s="13"/>
      <c r="Y246" s="13"/>
      <c r="Z246" s="13"/>
      <c r="AA246" s="13"/>
      <c r="AB246" s="13"/>
      <c r="AC246" s="13"/>
    </row>
    <row r="247" spans="1:29" s="3" customFormat="1">
      <c r="A247" s="40"/>
      <c r="B247" s="41"/>
      <c r="C247" s="44"/>
      <c r="R247" s="13"/>
      <c r="S247" s="13"/>
      <c r="T247" s="13"/>
      <c r="U247" s="13"/>
      <c r="V247" s="13"/>
      <c r="W247" s="13"/>
      <c r="X247" s="13"/>
      <c r="Y247" s="13"/>
      <c r="Z247" s="13"/>
      <c r="AA247" s="13"/>
      <c r="AB247" s="13"/>
      <c r="AC247" s="13"/>
    </row>
    <row r="248" spans="1:29" s="3" customFormat="1">
      <c r="A248" s="40"/>
      <c r="B248" s="41"/>
      <c r="C248" s="44"/>
      <c r="R248" s="13"/>
      <c r="S248" s="13"/>
      <c r="T248" s="13"/>
      <c r="U248" s="13"/>
      <c r="V248" s="13"/>
      <c r="W248" s="13"/>
      <c r="X248" s="13"/>
      <c r="Y248" s="13"/>
      <c r="Z248" s="13"/>
      <c r="AA248" s="13"/>
      <c r="AB248" s="13"/>
      <c r="AC248" s="13"/>
    </row>
    <row r="249" spans="1:29" s="3" customFormat="1">
      <c r="A249" s="40"/>
      <c r="B249" s="41"/>
      <c r="C249" s="44"/>
      <c r="R249" s="13"/>
      <c r="S249" s="13"/>
      <c r="T249" s="13"/>
      <c r="U249" s="13"/>
      <c r="V249" s="13"/>
      <c r="W249" s="13"/>
      <c r="X249" s="13"/>
      <c r="Y249" s="13"/>
      <c r="Z249" s="13"/>
      <c r="AA249" s="13"/>
      <c r="AB249" s="13"/>
      <c r="AC249" s="13"/>
    </row>
    <row r="250" spans="1:29" s="3" customFormat="1">
      <c r="A250" s="40"/>
      <c r="B250" s="41"/>
      <c r="C250" s="44"/>
      <c r="R250" s="13"/>
      <c r="S250" s="13"/>
      <c r="T250" s="13"/>
      <c r="U250" s="13"/>
      <c r="V250" s="13"/>
      <c r="W250" s="13"/>
      <c r="X250" s="13"/>
      <c r="Y250" s="13"/>
      <c r="Z250" s="13"/>
      <c r="AA250" s="13"/>
      <c r="AB250" s="13"/>
      <c r="AC250" s="13"/>
    </row>
    <row r="251" spans="1:29" s="3" customFormat="1">
      <c r="A251" s="40"/>
      <c r="B251" s="41"/>
      <c r="C251" s="44"/>
      <c r="R251" s="13"/>
      <c r="S251" s="13"/>
      <c r="T251" s="13"/>
      <c r="U251" s="13"/>
      <c r="V251" s="13"/>
      <c r="W251" s="13"/>
      <c r="X251" s="13"/>
      <c r="Y251" s="13"/>
      <c r="Z251" s="13"/>
      <c r="AA251" s="13"/>
      <c r="AB251" s="13"/>
      <c r="AC251" s="13"/>
    </row>
    <row r="252" spans="1:29" s="3" customFormat="1">
      <c r="A252" s="40"/>
      <c r="B252" s="41"/>
      <c r="C252" s="44"/>
      <c r="R252" s="13"/>
      <c r="S252" s="13"/>
      <c r="T252" s="13"/>
      <c r="U252" s="13"/>
      <c r="V252" s="13"/>
      <c r="W252" s="13"/>
      <c r="X252" s="13"/>
      <c r="Y252" s="13"/>
      <c r="Z252" s="13"/>
      <c r="AA252" s="13"/>
      <c r="AB252" s="13"/>
      <c r="AC252" s="13"/>
    </row>
    <row r="253" spans="1:29" s="3" customFormat="1">
      <c r="A253" s="40"/>
      <c r="B253" s="41"/>
      <c r="C253" s="44"/>
      <c r="R253" s="13"/>
      <c r="S253" s="13"/>
      <c r="T253" s="13"/>
      <c r="U253" s="13"/>
      <c r="V253" s="13"/>
      <c r="W253" s="13"/>
      <c r="X253" s="13"/>
      <c r="Y253" s="13"/>
      <c r="Z253" s="13"/>
      <c r="AA253" s="13"/>
      <c r="AB253" s="13"/>
      <c r="AC253" s="13"/>
    </row>
    <row r="254" spans="1:29" s="3" customFormat="1">
      <c r="A254" s="40"/>
      <c r="B254" s="41"/>
      <c r="C254" s="44"/>
      <c r="R254" s="13"/>
      <c r="S254" s="13"/>
      <c r="T254" s="13"/>
      <c r="U254" s="13"/>
      <c r="V254" s="13"/>
      <c r="W254" s="13"/>
      <c r="X254" s="13"/>
      <c r="Y254" s="13"/>
      <c r="Z254" s="13"/>
      <c r="AA254" s="13"/>
      <c r="AB254" s="13"/>
      <c r="AC254" s="13"/>
    </row>
    <row r="255" spans="1:29" s="3" customFormat="1">
      <c r="A255" s="40"/>
      <c r="B255" s="41"/>
      <c r="C255" s="44"/>
      <c r="R255" s="13"/>
      <c r="S255" s="13"/>
      <c r="T255" s="13"/>
      <c r="U255" s="13"/>
      <c r="V255" s="13"/>
      <c r="W255" s="13"/>
      <c r="X255" s="13"/>
      <c r="Y255" s="13"/>
      <c r="Z255" s="13"/>
      <c r="AA255" s="13"/>
      <c r="AB255" s="13"/>
      <c r="AC255" s="13"/>
    </row>
    <row r="256" spans="1:29" s="3" customFormat="1">
      <c r="A256" s="40"/>
      <c r="B256" s="41"/>
      <c r="C256" s="44"/>
      <c r="R256" s="13"/>
      <c r="S256" s="13"/>
      <c r="T256" s="13"/>
      <c r="U256" s="13"/>
      <c r="V256" s="13"/>
      <c r="W256" s="13"/>
      <c r="X256" s="13"/>
      <c r="Y256" s="13"/>
      <c r="Z256" s="13"/>
      <c r="AA256" s="13"/>
      <c r="AB256" s="13"/>
      <c r="AC256" s="13"/>
    </row>
    <row r="257" spans="1:29" s="3" customFormat="1">
      <c r="A257" s="40"/>
      <c r="B257" s="41"/>
      <c r="C257" s="44"/>
      <c r="R257" s="13"/>
      <c r="S257" s="13"/>
      <c r="T257" s="13"/>
      <c r="U257" s="13"/>
      <c r="V257" s="13"/>
      <c r="W257" s="13"/>
      <c r="X257" s="13"/>
      <c r="Y257" s="13"/>
      <c r="Z257" s="13"/>
      <c r="AA257" s="13"/>
      <c r="AB257" s="13"/>
      <c r="AC257" s="13"/>
    </row>
    <row r="258" spans="1:29" s="3" customFormat="1">
      <c r="A258" s="40"/>
      <c r="B258" s="41"/>
      <c r="C258" s="44"/>
      <c r="R258" s="13"/>
      <c r="S258" s="13"/>
      <c r="T258" s="13"/>
      <c r="U258" s="13"/>
      <c r="V258" s="13"/>
      <c r="W258" s="13"/>
      <c r="X258" s="13"/>
      <c r="Y258" s="13"/>
      <c r="Z258" s="13"/>
      <c r="AA258" s="13"/>
      <c r="AB258" s="13"/>
      <c r="AC258" s="13"/>
    </row>
    <row r="259" spans="1:29" s="3" customFormat="1">
      <c r="A259" s="40"/>
      <c r="B259" s="41"/>
      <c r="C259" s="44"/>
      <c r="R259" s="13"/>
      <c r="S259" s="13"/>
      <c r="T259" s="13"/>
      <c r="U259" s="13"/>
      <c r="V259" s="13"/>
      <c r="W259" s="13"/>
      <c r="X259" s="13"/>
      <c r="Y259" s="13"/>
      <c r="Z259" s="13"/>
      <c r="AA259" s="13"/>
      <c r="AB259" s="13"/>
      <c r="AC259" s="13"/>
    </row>
    <row r="260" spans="1:29" s="3" customFormat="1">
      <c r="A260" s="40"/>
      <c r="B260" s="41"/>
      <c r="C260" s="44"/>
      <c r="R260" s="13"/>
      <c r="S260" s="13"/>
      <c r="T260" s="13"/>
      <c r="U260" s="13"/>
      <c r="V260" s="13"/>
      <c r="W260" s="13"/>
      <c r="X260" s="13"/>
      <c r="Y260" s="13"/>
      <c r="Z260" s="13"/>
      <c r="AA260" s="13"/>
      <c r="AB260" s="13"/>
      <c r="AC260" s="13"/>
    </row>
    <row r="261" spans="1:29" s="3" customFormat="1">
      <c r="A261" s="40"/>
      <c r="B261" s="41"/>
      <c r="C261" s="44"/>
      <c r="R261" s="13"/>
      <c r="S261" s="13"/>
      <c r="T261" s="13"/>
      <c r="U261" s="13"/>
      <c r="V261" s="13"/>
      <c r="W261" s="13"/>
      <c r="X261" s="13"/>
      <c r="Y261" s="13"/>
      <c r="Z261" s="13"/>
      <c r="AA261" s="13"/>
      <c r="AB261" s="13"/>
      <c r="AC261" s="13"/>
    </row>
    <row r="262" spans="1:29" s="3" customFormat="1">
      <c r="A262" s="40"/>
      <c r="B262" s="41"/>
      <c r="C262" s="44"/>
      <c r="R262" s="13"/>
      <c r="S262" s="13"/>
      <c r="T262" s="13"/>
      <c r="U262" s="13"/>
      <c r="V262" s="13"/>
      <c r="W262" s="13"/>
      <c r="X262" s="13"/>
      <c r="Y262" s="13"/>
      <c r="Z262" s="13"/>
      <c r="AA262" s="13"/>
      <c r="AB262" s="13"/>
      <c r="AC262" s="13"/>
    </row>
    <row r="263" spans="1:29" s="3" customFormat="1">
      <c r="A263" s="40"/>
      <c r="B263" s="41"/>
      <c r="C263" s="44"/>
      <c r="R263" s="13"/>
      <c r="S263" s="13"/>
      <c r="T263" s="13"/>
      <c r="U263" s="13"/>
      <c r="V263" s="13"/>
      <c r="W263" s="13"/>
      <c r="X263" s="13"/>
      <c r="Y263" s="13"/>
      <c r="Z263" s="13"/>
      <c r="AA263" s="13"/>
      <c r="AB263" s="13"/>
      <c r="AC263" s="13"/>
    </row>
    <row r="264" spans="1:29" s="3" customFormat="1">
      <c r="A264" s="40"/>
      <c r="B264" s="41"/>
      <c r="C264" s="44"/>
      <c r="R264" s="13"/>
      <c r="S264" s="13"/>
      <c r="T264" s="13"/>
      <c r="U264" s="13"/>
      <c r="V264" s="13"/>
      <c r="W264" s="13"/>
      <c r="X264" s="13"/>
      <c r="Y264" s="13"/>
      <c r="Z264" s="13"/>
      <c r="AA264" s="13"/>
      <c r="AB264" s="13"/>
      <c r="AC264" s="13"/>
    </row>
    <row r="265" spans="1:29" s="3" customFormat="1">
      <c r="A265" s="40"/>
      <c r="B265" s="41"/>
      <c r="C265" s="44"/>
      <c r="R265" s="13"/>
      <c r="S265" s="13"/>
      <c r="T265" s="13"/>
      <c r="U265" s="13"/>
      <c r="V265" s="13"/>
      <c r="W265" s="13"/>
      <c r="X265" s="13"/>
      <c r="Y265" s="13"/>
      <c r="Z265" s="13"/>
      <c r="AA265" s="13"/>
      <c r="AB265" s="13"/>
      <c r="AC265" s="13"/>
    </row>
    <row r="266" spans="1:29" s="3" customFormat="1">
      <c r="A266" s="40"/>
      <c r="B266" s="41"/>
      <c r="C266" s="44"/>
      <c r="R266" s="13"/>
      <c r="S266" s="13"/>
      <c r="T266" s="13"/>
      <c r="U266" s="13"/>
      <c r="V266" s="13"/>
      <c r="W266" s="13"/>
      <c r="X266" s="13"/>
      <c r="Y266" s="13"/>
      <c r="Z266" s="13"/>
      <c r="AA266" s="13"/>
      <c r="AB266" s="13"/>
      <c r="AC266" s="13"/>
    </row>
    <row r="267" spans="1:29" s="3" customFormat="1">
      <c r="A267" s="40"/>
      <c r="B267" s="41"/>
      <c r="C267" s="44"/>
      <c r="R267" s="13"/>
      <c r="S267" s="13"/>
      <c r="T267" s="13"/>
      <c r="U267" s="13"/>
      <c r="V267" s="13"/>
      <c r="W267" s="13"/>
      <c r="X267" s="13"/>
      <c r="Y267" s="13"/>
      <c r="Z267" s="13"/>
      <c r="AA267" s="13"/>
      <c r="AB267" s="13"/>
      <c r="AC267" s="13"/>
    </row>
    <row r="268" spans="1:29" s="3" customFormat="1">
      <c r="A268" s="40"/>
      <c r="B268" s="41"/>
      <c r="C268" s="44"/>
      <c r="R268" s="13"/>
      <c r="S268" s="13"/>
      <c r="T268" s="13"/>
      <c r="U268" s="13"/>
      <c r="V268" s="13"/>
      <c r="W268" s="13"/>
      <c r="X268" s="13"/>
      <c r="Y268" s="13"/>
      <c r="Z268" s="13"/>
      <c r="AA268" s="13"/>
      <c r="AB268" s="13"/>
      <c r="AC268" s="13"/>
    </row>
    <row r="269" spans="1:29" s="3" customFormat="1">
      <c r="A269" s="40"/>
      <c r="B269" s="41"/>
      <c r="C269" s="44"/>
      <c r="R269" s="13"/>
      <c r="S269" s="13"/>
      <c r="T269" s="13"/>
      <c r="U269" s="13"/>
      <c r="V269" s="13"/>
      <c r="W269" s="13"/>
      <c r="X269" s="13"/>
      <c r="Y269" s="13"/>
      <c r="Z269" s="13"/>
      <c r="AA269" s="13"/>
      <c r="AB269" s="13"/>
      <c r="AC269" s="13"/>
    </row>
    <row r="270" spans="1:29" s="3" customFormat="1">
      <c r="A270" s="40"/>
      <c r="B270" s="41"/>
      <c r="C270" s="44"/>
      <c r="R270" s="13"/>
      <c r="S270" s="13"/>
      <c r="T270" s="13"/>
      <c r="U270" s="13"/>
      <c r="V270" s="13"/>
      <c r="W270" s="13"/>
      <c r="X270" s="13"/>
      <c r="Y270" s="13"/>
      <c r="Z270" s="13"/>
      <c r="AA270" s="13"/>
      <c r="AB270" s="13"/>
      <c r="AC270" s="13"/>
    </row>
    <row r="271" spans="1:29" s="3" customFormat="1">
      <c r="A271" s="40"/>
      <c r="B271" s="41"/>
      <c r="C271" s="44"/>
      <c r="R271" s="13"/>
      <c r="S271" s="13"/>
      <c r="T271" s="13"/>
      <c r="U271" s="13"/>
      <c r="V271" s="13"/>
      <c r="W271" s="13"/>
      <c r="X271" s="13"/>
      <c r="Y271" s="13"/>
      <c r="Z271" s="13"/>
      <c r="AA271" s="13"/>
      <c r="AB271" s="13"/>
      <c r="AC271" s="13"/>
    </row>
    <row r="272" spans="1:29" s="3" customFormat="1">
      <c r="A272" s="40"/>
      <c r="B272" s="41"/>
      <c r="C272" s="44"/>
      <c r="R272" s="13"/>
      <c r="S272" s="13"/>
      <c r="T272" s="13"/>
      <c r="U272" s="13"/>
      <c r="V272" s="13"/>
      <c r="W272" s="13"/>
      <c r="X272" s="13"/>
      <c r="Y272" s="13"/>
      <c r="Z272" s="13"/>
      <c r="AA272" s="13"/>
      <c r="AB272" s="13"/>
      <c r="AC272" s="13"/>
    </row>
    <row r="273" spans="1:29" s="3" customFormat="1">
      <c r="A273" s="40"/>
      <c r="B273" s="41"/>
      <c r="C273" s="44"/>
      <c r="R273" s="13"/>
      <c r="S273" s="13"/>
      <c r="T273" s="13"/>
      <c r="U273" s="13"/>
      <c r="V273" s="13"/>
      <c r="W273" s="13"/>
      <c r="X273" s="13"/>
      <c r="Y273" s="13"/>
      <c r="Z273" s="13"/>
      <c r="AA273" s="13"/>
      <c r="AB273" s="13"/>
      <c r="AC273" s="13"/>
    </row>
    <row r="274" spans="1:29" s="3" customFormat="1">
      <c r="A274" s="40"/>
      <c r="B274" s="41"/>
      <c r="C274" s="44"/>
      <c r="R274" s="13"/>
      <c r="S274" s="13"/>
      <c r="T274" s="13"/>
      <c r="U274" s="13"/>
      <c r="V274" s="13"/>
      <c r="W274" s="13"/>
      <c r="X274" s="13"/>
      <c r="Y274" s="13"/>
      <c r="Z274" s="13"/>
      <c r="AA274" s="13"/>
      <c r="AB274" s="13"/>
      <c r="AC274" s="13"/>
    </row>
    <row r="275" spans="1:29" s="3" customFormat="1">
      <c r="A275" s="40"/>
      <c r="B275" s="41"/>
      <c r="C275" s="44"/>
      <c r="R275" s="13"/>
      <c r="S275" s="13"/>
      <c r="T275" s="13"/>
      <c r="U275" s="13"/>
      <c r="V275" s="13"/>
      <c r="W275" s="13"/>
      <c r="X275" s="13"/>
      <c r="Y275" s="13"/>
      <c r="Z275" s="13"/>
      <c r="AA275" s="13"/>
      <c r="AB275" s="13"/>
      <c r="AC275" s="13"/>
    </row>
    <row r="276" spans="1:29" s="3" customFormat="1">
      <c r="A276" s="40"/>
      <c r="B276" s="41"/>
      <c r="C276" s="44"/>
      <c r="R276" s="13"/>
      <c r="S276" s="13"/>
      <c r="T276" s="13"/>
      <c r="U276" s="13"/>
      <c r="V276" s="13"/>
      <c r="W276" s="13"/>
      <c r="X276" s="13"/>
      <c r="Y276" s="13"/>
      <c r="Z276" s="13"/>
      <c r="AA276" s="13"/>
      <c r="AB276" s="13"/>
      <c r="AC276" s="13"/>
    </row>
    <row r="277" spans="1:29" s="3" customFormat="1">
      <c r="A277" s="40"/>
      <c r="B277" s="41"/>
      <c r="C277" s="44"/>
      <c r="R277" s="13"/>
      <c r="S277" s="13"/>
      <c r="T277" s="13"/>
      <c r="U277" s="13"/>
      <c r="V277" s="13"/>
      <c r="W277" s="13"/>
      <c r="X277" s="13"/>
      <c r="Y277" s="13"/>
      <c r="Z277" s="13"/>
      <c r="AA277" s="13"/>
      <c r="AB277" s="13"/>
      <c r="AC277" s="13"/>
    </row>
    <row r="278" spans="1:29" s="3" customFormat="1">
      <c r="A278" s="40"/>
      <c r="B278" s="41"/>
      <c r="C278" s="44"/>
      <c r="R278" s="13"/>
      <c r="S278" s="13"/>
      <c r="T278" s="13"/>
      <c r="U278" s="13"/>
      <c r="V278" s="13"/>
      <c r="W278" s="13"/>
      <c r="X278" s="13"/>
      <c r="Y278" s="13"/>
      <c r="Z278" s="13"/>
      <c r="AA278" s="13"/>
      <c r="AB278" s="13"/>
      <c r="AC278" s="13"/>
    </row>
    <row r="279" spans="1:29" s="3" customFormat="1">
      <c r="A279" s="40"/>
      <c r="B279" s="41"/>
      <c r="C279" s="44"/>
      <c r="R279" s="13"/>
      <c r="S279" s="13"/>
      <c r="T279" s="13"/>
      <c r="U279" s="13"/>
      <c r="V279" s="13"/>
      <c r="W279" s="13"/>
      <c r="X279" s="13"/>
      <c r="Y279" s="13"/>
      <c r="Z279" s="13"/>
      <c r="AA279" s="13"/>
      <c r="AB279" s="13"/>
      <c r="AC279" s="13"/>
    </row>
    <row r="280" spans="1:29" s="3" customFormat="1">
      <c r="A280" s="40"/>
      <c r="B280" s="41"/>
      <c r="C280" s="44"/>
      <c r="R280" s="13"/>
      <c r="S280" s="13"/>
      <c r="T280" s="13"/>
      <c r="U280" s="13"/>
      <c r="V280" s="13"/>
      <c r="W280" s="13"/>
      <c r="X280" s="13"/>
      <c r="Y280" s="13"/>
      <c r="Z280" s="13"/>
      <c r="AA280" s="13"/>
      <c r="AB280" s="13"/>
      <c r="AC280" s="13"/>
    </row>
    <row r="281" spans="1:29" s="3" customFormat="1">
      <c r="A281" s="40"/>
      <c r="B281" s="41"/>
      <c r="C281" s="44"/>
      <c r="R281" s="13"/>
      <c r="S281" s="13"/>
      <c r="T281" s="13"/>
      <c r="U281" s="13"/>
      <c r="V281" s="13"/>
      <c r="W281" s="13"/>
      <c r="X281" s="13"/>
      <c r="Y281" s="13"/>
      <c r="Z281" s="13"/>
      <c r="AA281" s="13"/>
      <c r="AB281" s="13"/>
      <c r="AC281" s="13"/>
    </row>
    <row r="282" spans="1:29" s="3" customFormat="1">
      <c r="A282" s="40"/>
      <c r="B282" s="41"/>
      <c r="C282" s="44"/>
      <c r="R282" s="13"/>
      <c r="S282" s="13"/>
      <c r="T282" s="13"/>
      <c r="U282" s="13"/>
      <c r="V282" s="13"/>
      <c r="W282" s="13"/>
      <c r="X282" s="13"/>
      <c r="Y282" s="13"/>
      <c r="Z282" s="13"/>
      <c r="AA282" s="13"/>
      <c r="AB282" s="13"/>
      <c r="AC282" s="13"/>
    </row>
    <row r="283" spans="1:29" s="3" customFormat="1">
      <c r="A283" s="40"/>
      <c r="B283" s="41"/>
      <c r="C283" s="44"/>
      <c r="R283" s="13"/>
      <c r="S283" s="13"/>
      <c r="T283" s="13"/>
      <c r="U283" s="13"/>
      <c r="V283" s="13"/>
      <c r="W283" s="13"/>
      <c r="X283" s="13"/>
      <c r="Y283" s="13"/>
      <c r="Z283" s="13"/>
      <c r="AA283" s="13"/>
      <c r="AB283" s="13"/>
      <c r="AC283" s="13"/>
    </row>
    <row r="284" spans="1:29" s="3" customFormat="1">
      <c r="A284" s="40"/>
      <c r="B284" s="41"/>
      <c r="C284" s="44"/>
      <c r="R284" s="13"/>
      <c r="S284" s="13"/>
      <c r="T284" s="13"/>
      <c r="U284" s="13"/>
      <c r="V284" s="13"/>
      <c r="W284" s="13"/>
      <c r="X284" s="13"/>
      <c r="Y284" s="13"/>
      <c r="Z284" s="13"/>
      <c r="AA284" s="13"/>
      <c r="AB284" s="13"/>
      <c r="AC284" s="13"/>
    </row>
    <row r="285" spans="1:29" s="3" customFormat="1">
      <c r="A285" s="40"/>
      <c r="B285" s="41"/>
      <c r="C285" s="44"/>
      <c r="R285" s="13"/>
      <c r="S285" s="13"/>
      <c r="T285" s="13"/>
      <c r="U285" s="13"/>
      <c r="V285" s="13"/>
      <c r="W285" s="13"/>
      <c r="X285" s="13"/>
      <c r="Y285" s="13"/>
      <c r="Z285" s="13"/>
      <c r="AA285" s="13"/>
      <c r="AB285" s="13"/>
      <c r="AC285" s="13"/>
    </row>
    <row r="286" spans="1:29" s="3" customFormat="1">
      <c r="A286" s="40"/>
      <c r="B286" s="41"/>
      <c r="C286" s="44"/>
      <c r="R286" s="13"/>
      <c r="S286" s="13"/>
      <c r="T286" s="13"/>
      <c r="U286" s="13"/>
      <c r="V286" s="13"/>
      <c r="W286" s="13"/>
      <c r="X286" s="13"/>
      <c r="Y286" s="13"/>
      <c r="Z286" s="13"/>
      <c r="AA286" s="13"/>
      <c r="AB286" s="13"/>
      <c r="AC286" s="13"/>
    </row>
    <row r="287" spans="1:29" s="3" customFormat="1">
      <c r="A287" s="40"/>
      <c r="B287" s="41"/>
      <c r="C287" s="44"/>
      <c r="R287" s="13"/>
      <c r="S287" s="13"/>
      <c r="T287" s="13"/>
      <c r="U287" s="13"/>
      <c r="V287" s="13"/>
      <c r="W287" s="13"/>
      <c r="X287" s="13"/>
      <c r="Y287" s="13"/>
      <c r="Z287" s="13"/>
      <c r="AA287" s="13"/>
      <c r="AB287" s="13"/>
      <c r="AC287" s="13"/>
    </row>
    <row r="288" spans="1:29" s="3" customFormat="1">
      <c r="A288" s="40"/>
      <c r="B288" s="41"/>
      <c r="C288" s="44"/>
      <c r="R288" s="13"/>
      <c r="S288" s="13"/>
      <c r="T288" s="13"/>
      <c r="U288" s="13"/>
      <c r="V288" s="13"/>
      <c r="W288" s="13"/>
      <c r="X288" s="13"/>
      <c r="Y288" s="13"/>
      <c r="Z288" s="13"/>
      <c r="AA288" s="13"/>
      <c r="AB288" s="13"/>
      <c r="AC288" s="13"/>
    </row>
    <row r="289" spans="1:29" s="3" customFormat="1">
      <c r="A289" s="40"/>
      <c r="B289" s="41"/>
      <c r="C289" s="44"/>
      <c r="R289" s="13"/>
      <c r="S289" s="13"/>
      <c r="T289" s="13"/>
      <c r="U289" s="13"/>
      <c r="V289" s="13"/>
      <c r="W289" s="13"/>
      <c r="X289" s="13"/>
      <c r="Y289" s="13"/>
      <c r="Z289" s="13"/>
      <c r="AA289" s="13"/>
      <c r="AB289" s="13"/>
      <c r="AC289" s="13"/>
    </row>
    <row r="290" spans="1:29" s="3" customFormat="1">
      <c r="A290" s="40"/>
      <c r="B290" s="41"/>
      <c r="C290" s="44"/>
      <c r="R290" s="13"/>
      <c r="S290" s="13"/>
      <c r="T290" s="13"/>
      <c r="U290" s="13"/>
      <c r="V290" s="13"/>
      <c r="W290" s="13"/>
      <c r="X290" s="13"/>
      <c r="Y290" s="13"/>
      <c r="Z290" s="13"/>
      <c r="AA290" s="13"/>
      <c r="AB290" s="13"/>
      <c r="AC290" s="13"/>
    </row>
    <row r="291" spans="1:29" s="3" customFormat="1">
      <c r="A291" s="40"/>
      <c r="B291" s="41"/>
      <c r="C291" s="44"/>
      <c r="R291" s="13"/>
      <c r="S291" s="13"/>
      <c r="T291" s="13"/>
      <c r="U291" s="13"/>
      <c r="V291" s="13"/>
      <c r="W291" s="13"/>
      <c r="X291" s="13"/>
      <c r="Y291" s="13"/>
      <c r="Z291" s="13"/>
      <c r="AA291" s="13"/>
      <c r="AB291" s="13"/>
      <c r="AC291" s="13"/>
    </row>
    <row r="292" spans="1:29" s="3" customFormat="1">
      <c r="A292" s="40"/>
      <c r="B292" s="41"/>
      <c r="C292" s="44"/>
      <c r="R292" s="13"/>
      <c r="S292" s="13"/>
      <c r="T292" s="13"/>
      <c r="U292" s="13"/>
      <c r="V292" s="13"/>
      <c r="W292" s="13"/>
      <c r="X292" s="13"/>
      <c r="Y292" s="13"/>
      <c r="Z292" s="13"/>
      <c r="AA292" s="13"/>
      <c r="AB292" s="13"/>
      <c r="AC292" s="13"/>
    </row>
    <row r="293" spans="1:29" s="3" customFormat="1">
      <c r="A293" s="40"/>
      <c r="B293" s="41"/>
      <c r="C293" s="44"/>
      <c r="R293" s="13"/>
      <c r="S293" s="13"/>
      <c r="T293" s="13"/>
      <c r="U293" s="13"/>
      <c r="V293" s="13"/>
      <c r="W293" s="13"/>
      <c r="X293" s="13"/>
      <c r="Y293" s="13"/>
      <c r="Z293" s="13"/>
      <c r="AA293" s="13"/>
      <c r="AB293" s="13"/>
      <c r="AC293" s="13"/>
    </row>
    <row r="294" spans="1:29" s="3" customFormat="1">
      <c r="A294" s="40"/>
      <c r="B294" s="41"/>
      <c r="C294" s="44"/>
      <c r="R294" s="13"/>
      <c r="S294" s="13"/>
      <c r="T294" s="13"/>
      <c r="U294" s="13"/>
      <c r="V294" s="13"/>
      <c r="W294" s="13"/>
      <c r="X294" s="13"/>
      <c r="Y294" s="13"/>
      <c r="Z294" s="13"/>
      <c r="AA294" s="13"/>
      <c r="AB294" s="13"/>
      <c r="AC294" s="13"/>
    </row>
    <row r="295" spans="1:29" s="3" customFormat="1">
      <c r="A295" s="40"/>
      <c r="B295" s="41"/>
      <c r="C295" s="44"/>
      <c r="R295" s="13"/>
      <c r="S295" s="13"/>
      <c r="T295" s="13"/>
      <c r="U295" s="13"/>
      <c r="V295" s="13"/>
      <c r="W295" s="13"/>
      <c r="X295" s="13"/>
      <c r="Y295" s="13"/>
      <c r="Z295" s="13"/>
      <c r="AA295" s="13"/>
      <c r="AB295" s="13"/>
      <c r="AC295" s="13"/>
    </row>
    <row r="296" spans="1:29" s="3" customFormat="1">
      <c r="A296" s="40"/>
      <c r="B296" s="41"/>
      <c r="C296" s="44"/>
      <c r="R296" s="13"/>
      <c r="S296" s="13"/>
      <c r="T296" s="13"/>
      <c r="U296" s="13"/>
      <c r="V296" s="13"/>
      <c r="W296" s="13"/>
      <c r="X296" s="13"/>
      <c r="Y296" s="13"/>
      <c r="Z296" s="13"/>
      <c r="AA296" s="13"/>
      <c r="AB296" s="13"/>
      <c r="AC296" s="13"/>
    </row>
    <row r="297" spans="1:29" s="3" customFormat="1">
      <c r="A297" s="40"/>
      <c r="B297" s="41"/>
      <c r="C297" s="44"/>
      <c r="R297" s="13"/>
      <c r="S297" s="13"/>
      <c r="T297" s="13"/>
      <c r="U297" s="13"/>
      <c r="V297" s="13"/>
      <c r="W297" s="13"/>
      <c r="X297" s="13"/>
      <c r="Y297" s="13"/>
      <c r="Z297" s="13"/>
      <c r="AA297" s="13"/>
      <c r="AB297" s="13"/>
      <c r="AC297" s="13"/>
    </row>
    <row r="298" spans="1:29" s="3" customFormat="1">
      <c r="A298" s="40"/>
      <c r="B298" s="41"/>
      <c r="C298" s="44"/>
      <c r="R298" s="13"/>
      <c r="S298" s="13"/>
      <c r="T298" s="13"/>
      <c r="U298" s="13"/>
      <c r="V298" s="13"/>
      <c r="W298" s="13"/>
      <c r="X298" s="13"/>
      <c r="Y298" s="13"/>
      <c r="Z298" s="13"/>
      <c r="AA298" s="13"/>
      <c r="AB298" s="13"/>
      <c r="AC298" s="13"/>
    </row>
    <row r="299" spans="1:29" s="3" customFormat="1">
      <c r="A299" s="40"/>
      <c r="B299" s="41"/>
      <c r="C299" s="44"/>
      <c r="R299" s="13"/>
      <c r="S299" s="13"/>
      <c r="T299" s="13"/>
      <c r="U299" s="13"/>
      <c r="V299" s="13"/>
      <c r="W299" s="13"/>
      <c r="X299" s="13"/>
      <c r="Y299" s="13"/>
      <c r="Z299" s="13"/>
      <c r="AA299" s="13"/>
      <c r="AB299" s="13"/>
      <c r="AC299" s="13"/>
    </row>
    <row r="300" spans="1:29" s="3" customFormat="1">
      <c r="A300" s="40"/>
      <c r="B300" s="41"/>
      <c r="C300" s="44"/>
      <c r="R300" s="13"/>
      <c r="S300" s="13"/>
      <c r="T300" s="13"/>
      <c r="U300" s="13"/>
      <c r="V300" s="13"/>
      <c r="W300" s="13"/>
      <c r="X300" s="13"/>
      <c r="Y300" s="13"/>
      <c r="Z300" s="13"/>
      <c r="AA300" s="13"/>
      <c r="AB300" s="13"/>
      <c r="AC300" s="13"/>
    </row>
    <row r="301" spans="1:29" s="3" customFormat="1">
      <c r="A301" s="40"/>
      <c r="B301" s="41"/>
      <c r="C301" s="44"/>
      <c r="R301" s="13"/>
      <c r="S301" s="13"/>
      <c r="T301" s="13"/>
      <c r="U301" s="13"/>
      <c r="V301" s="13"/>
      <c r="W301" s="13"/>
      <c r="X301" s="13"/>
      <c r="Y301" s="13"/>
      <c r="Z301" s="13"/>
      <c r="AA301" s="13"/>
      <c r="AB301" s="13"/>
      <c r="AC301" s="13"/>
    </row>
    <row r="302" spans="1:29" s="3" customFormat="1">
      <c r="A302" s="40"/>
      <c r="B302" s="41"/>
      <c r="C302" s="44"/>
      <c r="R302" s="13"/>
      <c r="S302" s="13"/>
      <c r="T302" s="13"/>
      <c r="U302" s="13"/>
      <c r="V302" s="13"/>
      <c r="W302" s="13"/>
      <c r="X302" s="13"/>
      <c r="Y302" s="13"/>
      <c r="Z302" s="13"/>
      <c r="AA302" s="13"/>
      <c r="AB302" s="13"/>
      <c r="AC302" s="13"/>
    </row>
    <row r="303" spans="1:29" s="3" customFormat="1">
      <c r="A303" s="40"/>
      <c r="B303" s="41"/>
      <c r="C303" s="44"/>
      <c r="R303" s="13"/>
      <c r="S303" s="13"/>
      <c r="T303" s="13"/>
      <c r="U303" s="13"/>
      <c r="V303" s="13"/>
      <c r="W303" s="13"/>
      <c r="X303" s="13"/>
      <c r="Y303" s="13"/>
      <c r="Z303" s="13"/>
      <c r="AA303" s="13"/>
      <c r="AB303" s="13"/>
      <c r="AC303" s="13"/>
    </row>
    <row r="304" spans="1:29" s="3" customFormat="1">
      <c r="A304" s="40"/>
      <c r="B304" s="41"/>
      <c r="C304" s="44"/>
      <c r="R304" s="13"/>
      <c r="S304" s="13"/>
      <c r="T304" s="13"/>
      <c r="U304" s="13"/>
      <c r="V304" s="13"/>
      <c r="W304" s="13"/>
      <c r="X304" s="13"/>
      <c r="Y304" s="13"/>
      <c r="Z304" s="13"/>
      <c r="AA304" s="13"/>
      <c r="AB304" s="13"/>
      <c r="AC304" s="13"/>
    </row>
    <row r="305" spans="1:29" s="3" customFormat="1">
      <c r="A305" s="40"/>
      <c r="B305" s="41"/>
      <c r="C305" s="44"/>
      <c r="R305" s="13"/>
      <c r="S305" s="13"/>
      <c r="T305" s="13"/>
      <c r="U305" s="13"/>
      <c r="V305" s="13"/>
      <c r="W305" s="13"/>
      <c r="X305" s="13"/>
      <c r="Y305" s="13"/>
      <c r="Z305" s="13"/>
      <c r="AA305" s="13"/>
      <c r="AB305" s="13"/>
      <c r="AC305" s="13"/>
    </row>
    <row r="306" spans="1:29" s="3" customFormat="1">
      <c r="A306" s="40"/>
      <c r="B306" s="41"/>
      <c r="C306" s="44"/>
      <c r="R306" s="13"/>
      <c r="S306" s="13"/>
      <c r="T306" s="13"/>
      <c r="U306" s="13"/>
      <c r="V306" s="13"/>
      <c r="W306" s="13"/>
      <c r="X306" s="13"/>
      <c r="Y306" s="13"/>
      <c r="Z306" s="13"/>
      <c r="AA306" s="13"/>
      <c r="AB306" s="13"/>
      <c r="AC306" s="13"/>
    </row>
    <row r="307" spans="1:29" s="3" customFormat="1">
      <c r="A307" s="40"/>
      <c r="B307" s="41"/>
      <c r="C307" s="44"/>
      <c r="R307" s="13"/>
      <c r="S307" s="13"/>
      <c r="T307" s="13"/>
      <c r="U307" s="13"/>
      <c r="V307" s="13"/>
      <c r="W307" s="13"/>
      <c r="X307" s="13"/>
      <c r="Y307" s="13"/>
      <c r="Z307" s="13"/>
      <c r="AA307" s="13"/>
      <c r="AB307" s="13"/>
      <c r="AC307" s="13"/>
    </row>
    <row r="308" spans="1:29" s="3" customFormat="1">
      <c r="A308" s="40"/>
      <c r="B308" s="41"/>
      <c r="C308" s="44"/>
      <c r="R308" s="13"/>
      <c r="S308" s="13"/>
      <c r="T308" s="13"/>
      <c r="U308" s="13"/>
      <c r="V308" s="13"/>
      <c r="W308" s="13"/>
      <c r="X308" s="13"/>
      <c r="Y308" s="13"/>
      <c r="Z308" s="13"/>
      <c r="AA308" s="13"/>
      <c r="AB308" s="13"/>
      <c r="AC308" s="13"/>
    </row>
    <row r="309" spans="1:29" s="3" customFormat="1">
      <c r="A309" s="40"/>
      <c r="B309" s="41"/>
      <c r="C309" s="44"/>
      <c r="R309" s="13"/>
      <c r="S309" s="13"/>
      <c r="T309" s="13"/>
      <c r="U309" s="13"/>
      <c r="V309" s="13"/>
      <c r="W309" s="13"/>
      <c r="X309" s="13"/>
      <c r="Y309" s="13"/>
      <c r="Z309" s="13"/>
      <c r="AA309" s="13"/>
      <c r="AB309" s="13"/>
      <c r="AC309" s="13"/>
    </row>
    <row r="310" spans="1:29" s="3" customFormat="1">
      <c r="A310" s="40"/>
      <c r="B310" s="41"/>
      <c r="C310" s="44"/>
      <c r="R310" s="13"/>
      <c r="S310" s="13"/>
      <c r="T310" s="13"/>
      <c r="U310" s="13"/>
      <c r="V310" s="13"/>
      <c r="W310" s="13"/>
      <c r="X310" s="13"/>
      <c r="Y310" s="13"/>
      <c r="Z310" s="13"/>
      <c r="AA310" s="13"/>
      <c r="AB310" s="13"/>
      <c r="AC310" s="13"/>
    </row>
    <row r="311" spans="1:29" s="3" customFormat="1">
      <c r="A311" s="40"/>
      <c r="B311" s="41"/>
      <c r="C311" s="44"/>
      <c r="R311" s="13"/>
      <c r="S311" s="13"/>
      <c r="T311" s="13"/>
      <c r="U311" s="13"/>
      <c r="V311" s="13"/>
      <c r="W311" s="13"/>
      <c r="X311" s="13"/>
      <c r="Y311" s="13"/>
      <c r="Z311" s="13"/>
      <c r="AA311" s="13"/>
      <c r="AB311" s="13"/>
      <c r="AC311" s="13"/>
    </row>
    <row r="312" spans="1:29" s="3" customFormat="1">
      <c r="A312" s="40"/>
      <c r="B312" s="41"/>
      <c r="C312" s="44"/>
      <c r="R312" s="13"/>
      <c r="S312" s="13"/>
      <c r="T312" s="13"/>
      <c r="U312" s="13"/>
      <c r="V312" s="13"/>
      <c r="W312" s="13"/>
      <c r="X312" s="13"/>
      <c r="Y312" s="13"/>
      <c r="Z312" s="13"/>
      <c r="AA312" s="13"/>
      <c r="AB312" s="13"/>
      <c r="AC312" s="13"/>
    </row>
    <row r="313" spans="1:29" s="3" customFormat="1">
      <c r="A313" s="40"/>
      <c r="B313" s="41"/>
      <c r="C313" s="44"/>
      <c r="R313" s="13"/>
      <c r="S313" s="13"/>
      <c r="T313" s="13"/>
      <c r="U313" s="13"/>
      <c r="V313" s="13"/>
      <c r="W313" s="13"/>
      <c r="X313" s="13"/>
      <c r="Y313" s="13"/>
      <c r="Z313" s="13"/>
      <c r="AA313" s="13"/>
      <c r="AB313" s="13"/>
      <c r="AC313" s="13"/>
    </row>
    <row r="314" spans="1:29" s="3" customFormat="1">
      <c r="A314" s="40"/>
      <c r="B314" s="41"/>
      <c r="C314" s="44"/>
      <c r="R314" s="13"/>
      <c r="S314" s="13"/>
      <c r="T314" s="13"/>
      <c r="U314" s="13"/>
      <c r="V314" s="13"/>
      <c r="W314" s="13"/>
      <c r="X314" s="13"/>
      <c r="Y314" s="13"/>
      <c r="Z314" s="13"/>
      <c r="AA314" s="13"/>
      <c r="AB314" s="13"/>
      <c r="AC314" s="13"/>
    </row>
    <row r="315" spans="1:29" s="3" customFormat="1">
      <c r="A315" s="40"/>
      <c r="B315" s="41"/>
      <c r="C315" s="44"/>
      <c r="R315" s="13"/>
      <c r="S315" s="13"/>
      <c r="T315" s="13"/>
      <c r="U315" s="13"/>
      <c r="V315" s="13"/>
      <c r="W315" s="13"/>
      <c r="X315" s="13"/>
      <c r="Y315" s="13"/>
      <c r="Z315" s="13"/>
      <c r="AA315" s="13"/>
      <c r="AB315" s="13"/>
      <c r="AC315" s="13"/>
    </row>
    <row r="316" spans="1:29" s="3" customFormat="1">
      <c r="A316" s="40"/>
      <c r="B316" s="41"/>
      <c r="C316" s="44"/>
      <c r="R316" s="13"/>
      <c r="S316" s="13"/>
      <c r="T316" s="13"/>
      <c r="U316" s="13"/>
      <c r="V316" s="13"/>
      <c r="W316" s="13"/>
      <c r="X316" s="13"/>
      <c r="Y316" s="13"/>
      <c r="Z316" s="13"/>
      <c r="AA316" s="13"/>
      <c r="AB316" s="13"/>
      <c r="AC316" s="13"/>
    </row>
    <row r="317" spans="1:29" s="3" customFormat="1">
      <c r="A317" s="40"/>
      <c r="B317" s="41"/>
      <c r="C317" s="44"/>
      <c r="R317" s="13"/>
      <c r="S317" s="13"/>
      <c r="T317" s="13"/>
      <c r="U317" s="13"/>
      <c r="V317" s="13"/>
      <c r="W317" s="13"/>
      <c r="X317" s="13"/>
      <c r="Y317" s="13"/>
      <c r="Z317" s="13"/>
      <c r="AA317" s="13"/>
      <c r="AB317" s="13"/>
      <c r="AC317" s="13"/>
    </row>
    <row r="318" spans="1:29" s="3" customFormat="1">
      <c r="A318" s="40"/>
      <c r="B318" s="41"/>
      <c r="C318" s="44"/>
      <c r="R318" s="13"/>
      <c r="S318" s="13"/>
      <c r="T318" s="13"/>
      <c r="U318" s="13"/>
      <c r="V318" s="13"/>
      <c r="W318" s="13"/>
      <c r="X318" s="13"/>
      <c r="Y318" s="13"/>
      <c r="Z318" s="13"/>
      <c r="AA318" s="13"/>
      <c r="AB318" s="13"/>
      <c r="AC318" s="13"/>
    </row>
    <row r="319" spans="1:29" s="3" customFormat="1">
      <c r="A319" s="40"/>
      <c r="B319" s="41"/>
      <c r="C319" s="44"/>
      <c r="R319" s="13"/>
      <c r="S319" s="13"/>
      <c r="T319" s="13"/>
      <c r="U319" s="13"/>
      <c r="V319" s="13"/>
      <c r="W319" s="13"/>
      <c r="X319" s="13"/>
      <c r="Y319" s="13"/>
      <c r="Z319" s="13"/>
      <c r="AA319" s="13"/>
      <c r="AB319" s="13"/>
      <c r="AC319" s="13"/>
    </row>
    <row r="320" spans="1:29" s="3" customFormat="1">
      <c r="A320" s="40"/>
      <c r="B320" s="41"/>
      <c r="C320" s="44"/>
      <c r="R320" s="13"/>
      <c r="S320" s="13"/>
      <c r="T320" s="13"/>
      <c r="U320" s="13"/>
      <c r="V320" s="13"/>
      <c r="W320" s="13"/>
      <c r="X320" s="13"/>
      <c r="Y320" s="13"/>
      <c r="Z320" s="13"/>
      <c r="AA320" s="13"/>
      <c r="AB320" s="13"/>
      <c r="AC320" s="13"/>
    </row>
    <row r="321" spans="1:29" s="3" customFormat="1">
      <c r="A321" s="40"/>
      <c r="B321" s="41"/>
      <c r="C321" s="44"/>
      <c r="R321" s="13"/>
      <c r="S321" s="13"/>
      <c r="T321" s="13"/>
      <c r="U321" s="13"/>
      <c r="V321" s="13"/>
      <c r="W321" s="13"/>
      <c r="X321" s="13"/>
      <c r="Y321" s="13"/>
      <c r="Z321" s="13"/>
      <c r="AA321" s="13"/>
      <c r="AB321" s="13"/>
      <c r="AC321" s="13"/>
    </row>
    <row r="322" spans="1:29" s="3" customFormat="1">
      <c r="A322" s="40"/>
      <c r="B322" s="41"/>
      <c r="C322" s="44"/>
      <c r="R322" s="13"/>
      <c r="S322" s="13"/>
      <c r="T322" s="13"/>
      <c r="U322" s="13"/>
      <c r="V322" s="13"/>
      <c r="W322" s="13"/>
      <c r="X322" s="13"/>
      <c r="Y322" s="13"/>
      <c r="Z322" s="13"/>
      <c r="AA322" s="13"/>
      <c r="AB322" s="13"/>
      <c r="AC322" s="13"/>
    </row>
    <row r="323" spans="1:29" s="3" customFormat="1">
      <c r="A323" s="40"/>
      <c r="B323" s="41"/>
      <c r="C323" s="44"/>
      <c r="R323" s="13"/>
      <c r="S323" s="13"/>
      <c r="T323" s="13"/>
      <c r="U323" s="13"/>
      <c r="V323" s="13"/>
      <c r="W323" s="13"/>
      <c r="X323" s="13"/>
      <c r="Y323" s="13"/>
      <c r="Z323" s="13"/>
      <c r="AA323" s="13"/>
      <c r="AB323" s="13"/>
      <c r="AC323" s="13"/>
    </row>
    <row r="324" spans="1:29" s="3" customFormat="1">
      <c r="A324" s="40"/>
      <c r="B324" s="41"/>
      <c r="C324" s="44"/>
      <c r="R324" s="13"/>
      <c r="S324" s="13"/>
      <c r="T324" s="13"/>
      <c r="U324" s="13"/>
      <c r="V324" s="13"/>
      <c r="W324" s="13"/>
      <c r="X324" s="13"/>
      <c r="Y324" s="13"/>
      <c r="Z324" s="13"/>
      <c r="AA324" s="13"/>
      <c r="AB324" s="13"/>
      <c r="AC324" s="13"/>
    </row>
    <row r="325" spans="1:29" s="3" customFormat="1">
      <c r="A325" s="40"/>
      <c r="B325" s="41"/>
      <c r="C325" s="44"/>
      <c r="R325" s="13"/>
      <c r="S325" s="13"/>
      <c r="T325" s="13"/>
      <c r="U325" s="13"/>
      <c r="V325" s="13"/>
      <c r="W325" s="13"/>
      <c r="X325" s="13"/>
      <c r="Y325" s="13"/>
      <c r="Z325" s="13"/>
      <c r="AA325" s="13"/>
      <c r="AB325" s="13"/>
      <c r="AC325" s="13"/>
    </row>
    <row r="326" spans="1:29" s="3" customFormat="1">
      <c r="A326" s="40"/>
      <c r="B326" s="41"/>
      <c r="C326" s="44"/>
      <c r="R326" s="13"/>
      <c r="S326" s="13"/>
      <c r="T326" s="13"/>
      <c r="U326" s="13"/>
      <c r="V326" s="13"/>
      <c r="W326" s="13"/>
      <c r="X326" s="13"/>
      <c r="Y326" s="13"/>
      <c r="Z326" s="13"/>
      <c r="AA326" s="13"/>
      <c r="AB326" s="13"/>
      <c r="AC326" s="13"/>
    </row>
    <row r="327" spans="1:29" s="3" customFormat="1">
      <c r="A327" s="40"/>
      <c r="B327" s="41"/>
      <c r="C327" s="44"/>
      <c r="R327" s="13"/>
      <c r="S327" s="13"/>
      <c r="T327" s="13"/>
      <c r="U327" s="13"/>
      <c r="V327" s="13"/>
      <c r="W327" s="13"/>
      <c r="X327" s="13"/>
      <c r="Y327" s="13"/>
      <c r="Z327" s="13"/>
      <c r="AA327" s="13"/>
      <c r="AB327" s="13"/>
      <c r="AC327" s="13"/>
    </row>
    <row r="328" spans="1:29" s="3" customFormat="1">
      <c r="A328" s="40"/>
      <c r="B328" s="41"/>
      <c r="C328" s="44"/>
      <c r="R328" s="13"/>
      <c r="S328" s="13"/>
      <c r="T328" s="13"/>
      <c r="U328" s="13"/>
      <c r="V328" s="13"/>
      <c r="W328" s="13"/>
      <c r="X328" s="13"/>
      <c r="Y328" s="13"/>
      <c r="Z328" s="13"/>
      <c r="AA328" s="13"/>
      <c r="AB328" s="13"/>
      <c r="AC328" s="13"/>
    </row>
    <row r="329" spans="1:29" s="3" customFormat="1">
      <c r="A329" s="40"/>
      <c r="B329" s="41"/>
      <c r="C329" s="44"/>
      <c r="R329" s="13"/>
      <c r="S329" s="13"/>
      <c r="T329" s="13"/>
      <c r="U329" s="13"/>
      <c r="V329" s="13"/>
      <c r="W329" s="13"/>
      <c r="X329" s="13"/>
      <c r="Y329" s="13"/>
      <c r="Z329" s="13"/>
      <c r="AA329" s="13"/>
      <c r="AB329" s="13"/>
      <c r="AC329" s="13"/>
    </row>
    <row r="330" spans="1:29" s="3" customFormat="1">
      <c r="A330" s="40"/>
      <c r="B330" s="41"/>
      <c r="C330" s="44"/>
      <c r="R330" s="13"/>
      <c r="S330" s="13"/>
      <c r="T330" s="13"/>
      <c r="U330" s="13"/>
      <c r="V330" s="13"/>
      <c r="W330" s="13"/>
      <c r="X330" s="13"/>
      <c r="Y330" s="13"/>
      <c r="Z330" s="13"/>
      <c r="AA330" s="13"/>
      <c r="AB330" s="13"/>
      <c r="AC330" s="13"/>
    </row>
    <row r="331" spans="1:29" s="3" customFormat="1">
      <c r="A331" s="40"/>
      <c r="B331" s="41"/>
      <c r="C331" s="44"/>
      <c r="R331" s="13"/>
      <c r="S331" s="13"/>
      <c r="T331" s="13"/>
      <c r="U331" s="13"/>
      <c r="V331" s="13"/>
      <c r="W331" s="13"/>
      <c r="X331" s="13"/>
      <c r="Y331" s="13"/>
      <c r="Z331" s="13"/>
      <c r="AA331" s="13"/>
      <c r="AB331" s="13"/>
      <c r="AC331" s="13"/>
    </row>
    <row r="332" spans="1:29" s="3" customFormat="1">
      <c r="A332" s="40"/>
      <c r="B332" s="41"/>
      <c r="C332" s="44"/>
      <c r="R332" s="13"/>
      <c r="S332" s="13"/>
      <c r="T332" s="13"/>
      <c r="U332" s="13"/>
      <c r="V332" s="13"/>
      <c r="W332" s="13"/>
      <c r="X332" s="13"/>
      <c r="Y332" s="13"/>
      <c r="Z332" s="13"/>
      <c r="AA332" s="13"/>
      <c r="AB332" s="13"/>
      <c r="AC332" s="13"/>
    </row>
    <row r="333" spans="1:29" s="3" customFormat="1">
      <c r="A333" s="40"/>
      <c r="B333" s="41"/>
      <c r="C333" s="44"/>
      <c r="R333" s="13"/>
      <c r="S333" s="13"/>
      <c r="T333" s="13"/>
      <c r="U333" s="13"/>
      <c r="V333" s="13"/>
      <c r="W333" s="13"/>
      <c r="X333" s="13"/>
      <c r="Y333" s="13"/>
      <c r="Z333" s="13"/>
      <c r="AA333" s="13"/>
      <c r="AB333" s="13"/>
      <c r="AC333" s="13"/>
    </row>
    <row r="334" spans="1:29" s="3" customFormat="1">
      <c r="A334" s="40"/>
      <c r="B334" s="41"/>
      <c r="C334" s="44"/>
      <c r="R334" s="13"/>
      <c r="S334" s="13"/>
      <c r="T334" s="13"/>
      <c r="U334" s="13"/>
      <c r="V334" s="13"/>
      <c r="W334" s="13"/>
      <c r="X334" s="13"/>
      <c r="Y334" s="13"/>
      <c r="Z334" s="13"/>
      <c r="AA334" s="13"/>
      <c r="AB334" s="13"/>
      <c r="AC334" s="13"/>
    </row>
    <row r="335" spans="1:29" s="3" customFormat="1">
      <c r="A335" s="40"/>
      <c r="B335" s="41"/>
      <c r="C335" s="44"/>
      <c r="R335" s="13"/>
      <c r="S335" s="13"/>
      <c r="T335" s="13"/>
      <c r="U335" s="13"/>
      <c r="V335" s="13"/>
      <c r="W335" s="13"/>
      <c r="X335" s="13"/>
      <c r="Y335" s="13"/>
      <c r="Z335" s="13"/>
      <c r="AA335" s="13"/>
      <c r="AB335" s="13"/>
      <c r="AC335" s="13"/>
    </row>
    <row r="336" spans="1:29" s="3" customFormat="1">
      <c r="A336" s="40"/>
      <c r="B336" s="41"/>
      <c r="C336" s="44"/>
      <c r="R336" s="13"/>
      <c r="S336" s="13"/>
      <c r="T336" s="13"/>
      <c r="U336" s="13"/>
      <c r="V336" s="13"/>
      <c r="W336" s="13"/>
      <c r="X336" s="13"/>
      <c r="Y336" s="13"/>
      <c r="Z336" s="13"/>
      <c r="AA336" s="13"/>
      <c r="AB336" s="13"/>
      <c r="AC336" s="13"/>
    </row>
    <row r="337" spans="1:29" s="3" customFormat="1">
      <c r="A337" s="40"/>
      <c r="B337" s="41"/>
      <c r="C337" s="44"/>
      <c r="R337" s="13"/>
      <c r="S337" s="13"/>
      <c r="T337" s="13"/>
      <c r="U337" s="13"/>
      <c r="V337" s="13"/>
      <c r="W337" s="13"/>
      <c r="X337" s="13"/>
      <c r="Y337" s="13"/>
      <c r="Z337" s="13"/>
      <c r="AA337" s="13"/>
      <c r="AB337" s="13"/>
      <c r="AC337" s="13"/>
    </row>
    <row r="338" spans="1:29" s="3" customFormat="1">
      <c r="A338" s="40"/>
      <c r="B338" s="41"/>
      <c r="C338" s="44"/>
      <c r="R338" s="13"/>
      <c r="S338" s="13"/>
      <c r="T338" s="13"/>
      <c r="U338" s="13"/>
      <c r="V338" s="13"/>
      <c r="W338" s="13"/>
      <c r="X338" s="13"/>
      <c r="Y338" s="13"/>
      <c r="Z338" s="13"/>
      <c r="AA338" s="13"/>
      <c r="AB338" s="13"/>
      <c r="AC338" s="13"/>
    </row>
    <row r="339" spans="1:29" s="3" customFormat="1">
      <c r="A339" s="40"/>
      <c r="B339" s="41"/>
      <c r="C339" s="44"/>
      <c r="R339" s="13"/>
      <c r="S339" s="13"/>
      <c r="T339" s="13"/>
      <c r="U339" s="13"/>
      <c r="V339" s="13"/>
      <c r="W339" s="13"/>
      <c r="X339" s="13"/>
      <c r="Y339" s="13"/>
      <c r="Z339" s="13"/>
      <c r="AA339" s="13"/>
      <c r="AB339" s="13"/>
      <c r="AC339" s="13"/>
    </row>
    <row r="340" spans="1:29" s="3" customFormat="1">
      <c r="A340" s="40"/>
      <c r="B340" s="41"/>
      <c r="C340" s="44"/>
      <c r="R340" s="13"/>
      <c r="S340" s="13"/>
      <c r="T340" s="13"/>
      <c r="U340" s="13"/>
      <c r="V340" s="13"/>
      <c r="W340" s="13"/>
      <c r="X340" s="13"/>
      <c r="Y340" s="13"/>
      <c r="Z340" s="13"/>
      <c r="AA340" s="13"/>
      <c r="AB340" s="13"/>
      <c r="AC340" s="13"/>
    </row>
    <row r="341" spans="1:29" s="3" customFormat="1">
      <c r="A341" s="40"/>
      <c r="B341" s="41"/>
      <c r="C341" s="44"/>
      <c r="R341" s="13"/>
      <c r="S341" s="13"/>
      <c r="T341" s="13"/>
      <c r="U341" s="13"/>
      <c r="V341" s="13"/>
      <c r="W341" s="13"/>
      <c r="X341" s="13"/>
      <c r="Y341" s="13"/>
      <c r="Z341" s="13"/>
      <c r="AA341" s="13"/>
      <c r="AB341" s="13"/>
      <c r="AC341" s="13"/>
    </row>
    <row r="342" spans="1:29" s="3" customFormat="1">
      <c r="A342" s="40"/>
      <c r="B342" s="41"/>
      <c r="C342" s="44"/>
      <c r="R342" s="13"/>
      <c r="S342" s="13"/>
      <c r="T342" s="13"/>
      <c r="U342" s="13"/>
      <c r="V342" s="13"/>
      <c r="W342" s="13"/>
      <c r="X342" s="13"/>
      <c r="Y342" s="13"/>
      <c r="Z342" s="13"/>
      <c r="AA342" s="13"/>
      <c r="AB342" s="13"/>
      <c r="AC342" s="13"/>
    </row>
    <row r="343" spans="1:29" s="3" customFormat="1">
      <c r="A343" s="40"/>
      <c r="B343" s="41"/>
      <c r="C343" s="44"/>
      <c r="R343" s="13"/>
      <c r="S343" s="13"/>
      <c r="T343" s="13"/>
      <c r="U343" s="13"/>
      <c r="V343" s="13"/>
      <c r="W343" s="13"/>
      <c r="X343" s="13"/>
      <c r="Y343" s="13"/>
      <c r="Z343" s="13"/>
      <c r="AA343" s="13"/>
      <c r="AB343" s="13"/>
      <c r="AC343" s="13"/>
    </row>
    <row r="344" spans="1:29" s="3" customFormat="1">
      <c r="A344" s="40"/>
      <c r="B344" s="41"/>
      <c r="C344" s="44"/>
      <c r="R344" s="13"/>
      <c r="S344" s="13"/>
      <c r="T344" s="13"/>
      <c r="U344" s="13"/>
      <c r="V344" s="13"/>
      <c r="W344" s="13"/>
      <c r="X344" s="13"/>
      <c r="Y344" s="13"/>
      <c r="Z344" s="13"/>
      <c r="AA344" s="13"/>
      <c r="AB344" s="13"/>
      <c r="AC344" s="13"/>
    </row>
    <row r="345" spans="1:29" s="3" customFormat="1">
      <c r="A345" s="40"/>
      <c r="B345" s="41"/>
      <c r="C345" s="44"/>
      <c r="R345" s="13"/>
      <c r="S345" s="13"/>
      <c r="T345" s="13"/>
      <c r="U345" s="13"/>
      <c r="V345" s="13"/>
      <c r="W345" s="13"/>
      <c r="X345" s="13"/>
      <c r="Y345" s="13"/>
      <c r="Z345" s="13"/>
      <c r="AA345" s="13"/>
      <c r="AB345" s="13"/>
      <c r="AC345" s="13"/>
    </row>
    <row r="346" spans="1:29" s="3" customFormat="1">
      <c r="A346" s="40"/>
      <c r="B346" s="41"/>
      <c r="C346" s="44"/>
      <c r="R346" s="13"/>
      <c r="S346" s="13"/>
      <c r="T346" s="13"/>
      <c r="U346" s="13"/>
      <c r="V346" s="13"/>
      <c r="W346" s="13"/>
      <c r="X346" s="13"/>
      <c r="Y346" s="13"/>
      <c r="Z346" s="13"/>
      <c r="AA346" s="13"/>
      <c r="AB346" s="13"/>
      <c r="AC346" s="13"/>
    </row>
    <row r="347" spans="1:29" s="3" customFormat="1">
      <c r="A347" s="40"/>
      <c r="B347" s="41"/>
      <c r="C347" s="44"/>
      <c r="R347" s="13"/>
      <c r="S347" s="13"/>
      <c r="T347" s="13"/>
      <c r="U347" s="13"/>
      <c r="V347" s="13"/>
      <c r="W347" s="13"/>
      <c r="X347" s="13"/>
      <c r="Y347" s="13"/>
      <c r="Z347" s="13"/>
      <c r="AA347" s="13"/>
      <c r="AB347" s="13"/>
      <c r="AC347" s="13"/>
    </row>
    <row r="348" spans="1:29" s="3" customFormat="1">
      <c r="A348" s="40"/>
      <c r="B348" s="41"/>
      <c r="C348" s="44"/>
      <c r="R348" s="13"/>
      <c r="S348" s="13"/>
      <c r="T348" s="13"/>
      <c r="U348" s="13"/>
      <c r="V348" s="13"/>
      <c r="W348" s="13"/>
      <c r="X348" s="13"/>
      <c r="Y348" s="13"/>
      <c r="Z348" s="13"/>
      <c r="AA348" s="13"/>
      <c r="AB348" s="13"/>
      <c r="AC348" s="13"/>
    </row>
    <row r="349" spans="1:29" s="3" customFormat="1">
      <c r="A349" s="40"/>
      <c r="B349" s="41"/>
      <c r="C349" s="44"/>
      <c r="R349" s="13"/>
      <c r="S349" s="13"/>
      <c r="T349" s="13"/>
      <c r="U349" s="13"/>
      <c r="V349" s="13"/>
      <c r="W349" s="13"/>
      <c r="X349" s="13"/>
      <c r="Y349" s="13"/>
      <c r="Z349" s="13"/>
      <c r="AA349" s="13"/>
      <c r="AB349" s="13"/>
      <c r="AC349" s="13"/>
    </row>
    <row r="350" spans="1:29" s="3" customFormat="1">
      <c r="A350" s="40"/>
      <c r="B350" s="41"/>
      <c r="C350" s="44"/>
      <c r="R350" s="13"/>
      <c r="S350" s="13"/>
      <c r="T350" s="13"/>
      <c r="U350" s="13"/>
      <c r="V350" s="13"/>
      <c r="W350" s="13"/>
      <c r="X350" s="13"/>
      <c r="Y350" s="13"/>
      <c r="Z350" s="13"/>
      <c r="AA350" s="13"/>
      <c r="AB350" s="13"/>
      <c r="AC350" s="13"/>
    </row>
    <row r="351" spans="1:29" s="3" customFormat="1">
      <c r="A351" s="40"/>
      <c r="B351" s="41"/>
      <c r="C351" s="44"/>
      <c r="R351" s="13"/>
      <c r="S351" s="13"/>
      <c r="T351" s="13"/>
      <c r="U351" s="13"/>
      <c r="V351" s="13"/>
      <c r="W351" s="13"/>
      <c r="X351" s="13"/>
      <c r="Y351" s="13"/>
      <c r="Z351" s="13"/>
      <c r="AA351" s="13"/>
      <c r="AB351" s="13"/>
      <c r="AC351" s="13"/>
    </row>
    <row r="352" spans="1:29" s="3" customFormat="1">
      <c r="A352" s="40"/>
      <c r="B352" s="41"/>
      <c r="C352" s="44"/>
      <c r="R352" s="13"/>
      <c r="S352" s="13"/>
      <c r="T352" s="13"/>
      <c r="U352" s="13"/>
      <c r="V352" s="13"/>
      <c r="W352" s="13"/>
      <c r="X352" s="13"/>
      <c r="Y352" s="13"/>
      <c r="Z352" s="13"/>
      <c r="AA352" s="13"/>
      <c r="AB352" s="13"/>
      <c r="AC352" s="13"/>
    </row>
    <row r="353" spans="1:29" s="3" customFormat="1">
      <c r="A353" s="40"/>
      <c r="B353" s="41"/>
      <c r="C353" s="44"/>
      <c r="R353" s="13"/>
      <c r="S353" s="13"/>
      <c r="T353" s="13"/>
      <c r="U353" s="13"/>
      <c r="V353" s="13"/>
      <c r="W353" s="13"/>
      <c r="X353" s="13"/>
      <c r="Y353" s="13"/>
      <c r="Z353" s="13"/>
      <c r="AA353" s="13"/>
      <c r="AB353" s="13"/>
      <c r="AC353" s="13"/>
    </row>
    <row r="354" spans="1:29" s="3" customFormat="1">
      <c r="A354" s="40"/>
      <c r="B354" s="41"/>
      <c r="C354" s="44"/>
      <c r="R354" s="13"/>
      <c r="S354" s="13"/>
      <c r="T354" s="13"/>
      <c r="U354" s="13"/>
      <c r="V354" s="13"/>
      <c r="W354" s="13"/>
      <c r="X354" s="13"/>
      <c r="Y354" s="13"/>
      <c r="Z354" s="13"/>
      <c r="AA354" s="13"/>
      <c r="AB354" s="13"/>
      <c r="AC354" s="13"/>
    </row>
    <row r="355" spans="1:29" s="3" customFormat="1">
      <c r="A355" s="40"/>
      <c r="B355" s="41"/>
      <c r="C355" s="44"/>
      <c r="R355" s="13"/>
      <c r="S355" s="13"/>
      <c r="T355" s="13"/>
      <c r="U355" s="13"/>
      <c r="V355" s="13"/>
      <c r="W355" s="13"/>
      <c r="X355" s="13"/>
      <c r="Y355" s="13"/>
      <c r="Z355" s="13"/>
      <c r="AA355" s="13"/>
      <c r="AB355" s="13"/>
      <c r="AC355" s="13"/>
    </row>
    <row r="356" spans="1:29" s="3" customFormat="1">
      <c r="A356" s="40"/>
      <c r="B356" s="41"/>
      <c r="C356" s="44"/>
      <c r="R356" s="13"/>
      <c r="S356" s="13"/>
      <c r="T356" s="13"/>
      <c r="U356" s="13"/>
      <c r="V356" s="13"/>
      <c r="W356" s="13"/>
      <c r="X356" s="13"/>
      <c r="Y356" s="13"/>
      <c r="Z356" s="13"/>
      <c r="AA356" s="13"/>
      <c r="AB356" s="13"/>
      <c r="AC356" s="13"/>
    </row>
    <row r="357" spans="1:29" s="3" customFormat="1">
      <c r="A357" s="40"/>
      <c r="B357" s="41"/>
      <c r="C357" s="44"/>
      <c r="R357" s="13"/>
      <c r="S357" s="13"/>
      <c r="T357" s="13"/>
      <c r="U357" s="13"/>
      <c r="V357" s="13"/>
      <c r="W357" s="13"/>
      <c r="X357" s="13"/>
      <c r="Y357" s="13"/>
      <c r="Z357" s="13"/>
      <c r="AA357" s="13"/>
      <c r="AB357" s="13"/>
      <c r="AC357" s="13"/>
    </row>
    <row r="358" spans="1:29" s="3" customFormat="1">
      <c r="A358" s="40"/>
      <c r="B358" s="41"/>
      <c r="C358" s="44"/>
      <c r="R358" s="13"/>
      <c r="S358" s="13"/>
      <c r="T358" s="13"/>
      <c r="U358" s="13"/>
      <c r="V358" s="13"/>
      <c r="W358" s="13"/>
      <c r="X358" s="13"/>
      <c r="Y358" s="13"/>
      <c r="Z358" s="13"/>
      <c r="AA358" s="13"/>
      <c r="AB358" s="13"/>
      <c r="AC358" s="13"/>
    </row>
    <row r="359" spans="1:29" s="3" customFormat="1">
      <c r="A359" s="40"/>
      <c r="B359" s="41"/>
      <c r="C359" s="44"/>
      <c r="R359" s="13"/>
      <c r="S359" s="13"/>
      <c r="T359" s="13"/>
      <c r="U359" s="13"/>
      <c r="V359" s="13"/>
      <c r="W359" s="13"/>
      <c r="X359" s="13"/>
      <c r="Y359" s="13"/>
      <c r="Z359" s="13"/>
      <c r="AA359" s="13"/>
      <c r="AB359" s="13"/>
      <c r="AC359" s="13"/>
    </row>
    <row r="360" spans="1:29" s="3" customFormat="1">
      <c r="A360" s="40"/>
      <c r="B360" s="41"/>
      <c r="C360" s="44"/>
      <c r="R360" s="13"/>
      <c r="S360" s="13"/>
      <c r="T360" s="13"/>
      <c r="U360" s="13"/>
      <c r="V360" s="13"/>
      <c r="W360" s="13"/>
      <c r="X360" s="13"/>
      <c r="Y360" s="13"/>
      <c r="Z360" s="13"/>
      <c r="AA360" s="13"/>
      <c r="AB360" s="13"/>
      <c r="AC360" s="13"/>
    </row>
    <row r="361" spans="1:29" s="3" customFormat="1">
      <c r="A361" s="40"/>
      <c r="B361" s="41"/>
      <c r="C361" s="44"/>
      <c r="R361" s="13"/>
      <c r="S361" s="13"/>
      <c r="T361" s="13"/>
      <c r="U361" s="13"/>
      <c r="V361" s="13"/>
      <c r="W361" s="13"/>
      <c r="X361" s="13"/>
      <c r="Y361" s="13"/>
      <c r="Z361" s="13"/>
      <c r="AA361" s="13"/>
      <c r="AB361" s="13"/>
      <c r="AC361" s="13"/>
    </row>
    <row r="362" spans="1:29" s="3" customFormat="1">
      <c r="A362" s="40"/>
      <c r="B362" s="41"/>
      <c r="C362" s="44"/>
      <c r="R362" s="13"/>
      <c r="S362" s="13"/>
      <c r="T362" s="13"/>
      <c r="U362" s="13"/>
      <c r="V362" s="13"/>
      <c r="W362" s="13"/>
      <c r="X362" s="13"/>
      <c r="Y362" s="13"/>
      <c r="Z362" s="13"/>
      <c r="AA362" s="13"/>
      <c r="AB362" s="13"/>
      <c r="AC362" s="13"/>
    </row>
    <row r="363" spans="1:29" s="3" customFormat="1">
      <c r="A363" s="40"/>
      <c r="B363" s="41"/>
      <c r="C363" s="44"/>
      <c r="R363" s="13"/>
      <c r="S363" s="13"/>
      <c r="T363" s="13"/>
      <c r="U363" s="13"/>
      <c r="V363" s="13"/>
      <c r="W363" s="13"/>
      <c r="X363" s="13"/>
      <c r="Y363" s="13"/>
      <c r="Z363" s="13"/>
      <c r="AA363" s="13"/>
      <c r="AB363" s="13"/>
      <c r="AC363" s="13"/>
    </row>
    <row r="364" spans="1:29" s="3" customFormat="1">
      <c r="A364" s="40"/>
      <c r="B364" s="41"/>
      <c r="C364" s="44"/>
      <c r="R364" s="13"/>
      <c r="S364" s="13"/>
      <c r="T364" s="13"/>
      <c r="U364" s="13"/>
      <c r="V364" s="13"/>
      <c r="W364" s="13"/>
      <c r="X364" s="13"/>
      <c r="Y364" s="13"/>
      <c r="Z364" s="13"/>
      <c r="AA364" s="13"/>
      <c r="AB364" s="13"/>
      <c r="AC364" s="13"/>
    </row>
    <row r="365" spans="1:29" s="3" customFormat="1">
      <c r="A365" s="40"/>
      <c r="B365" s="41"/>
      <c r="C365" s="44"/>
      <c r="R365" s="13"/>
      <c r="S365" s="13"/>
      <c r="T365" s="13"/>
      <c r="U365" s="13"/>
      <c r="V365" s="13"/>
      <c r="W365" s="13"/>
      <c r="X365" s="13"/>
      <c r="Y365" s="13"/>
      <c r="Z365" s="13"/>
      <c r="AA365" s="13"/>
      <c r="AB365" s="13"/>
      <c r="AC365" s="13"/>
    </row>
    <row r="366" spans="1:29" s="3" customFormat="1">
      <c r="A366" s="40"/>
      <c r="B366" s="41"/>
      <c r="C366" s="44"/>
      <c r="R366" s="13"/>
      <c r="S366" s="13"/>
      <c r="T366" s="13"/>
      <c r="U366" s="13"/>
      <c r="V366" s="13"/>
      <c r="W366" s="13"/>
      <c r="X366" s="13"/>
      <c r="Y366" s="13"/>
      <c r="Z366" s="13"/>
      <c r="AA366" s="13"/>
      <c r="AB366" s="13"/>
      <c r="AC366" s="13"/>
    </row>
    <row r="367" spans="1:29" s="3" customFormat="1">
      <c r="A367" s="40"/>
      <c r="B367" s="41"/>
      <c r="C367" s="44"/>
      <c r="R367" s="13"/>
      <c r="S367" s="13"/>
      <c r="T367" s="13"/>
      <c r="U367" s="13"/>
      <c r="V367" s="13"/>
      <c r="W367" s="13"/>
      <c r="X367" s="13"/>
      <c r="Y367" s="13"/>
      <c r="Z367" s="13"/>
      <c r="AA367" s="13"/>
      <c r="AB367" s="13"/>
      <c r="AC367" s="13"/>
    </row>
    <row r="368" spans="1:29" s="3" customFormat="1">
      <c r="A368" s="40"/>
      <c r="B368" s="41"/>
      <c r="C368" s="44"/>
      <c r="R368" s="13"/>
      <c r="S368" s="13"/>
      <c r="T368" s="13"/>
      <c r="U368" s="13"/>
      <c r="V368" s="13"/>
      <c r="W368" s="13"/>
      <c r="X368" s="13"/>
      <c r="Y368" s="13"/>
      <c r="Z368" s="13"/>
      <c r="AA368" s="13"/>
      <c r="AB368" s="13"/>
      <c r="AC368" s="13"/>
    </row>
    <row r="369" spans="1:29" s="3" customFormat="1">
      <c r="A369" s="40"/>
      <c r="B369" s="41"/>
      <c r="C369" s="44"/>
      <c r="R369" s="13"/>
      <c r="S369" s="13"/>
      <c r="T369" s="13"/>
      <c r="U369" s="13"/>
      <c r="V369" s="13"/>
      <c r="W369" s="13"/>
      <c r="X369" s="13"/>
      <c r="Y369" s="13"/>
      <c r="Z369" s="13"/>
      <c r="AA369" s="13"/>
      <c r="AB369" s="13"/>
      <c r="AC369" s="13"/>
    </row>
    <row r="370" spans="1:29" s="3" customFormat="1">
      <c r="A370" s="40"/>
      <c r="B370" s="41"/>
      <c r="C370" s="44"/>
      <c r="R370" s="13"/>
      <c r="S370" s="13"/>
      <c r="T370" s="13"/>
      <c r="U370" s="13"/>
      <c r="V370" s="13"/>
      <c r="W370" s="13"/>
      <c r="X370" s="13"/>
      <c r="Y370" s="13"/>
      <c r="Z370" s="13"/>
      <c r="AA370" s="13"/>
      <c r="AB370" s="13"/>
      <c r="AC370" s="13"/>
    </row>
    <row r="371" spans="1:29" s="3" customFormat="1">
      <c r="A371" s="40"/>
      <c r="B371" s="41"/>
      <c r="C371" s="44"/>
      <c r="R371" s="13"/>
      <c r="S371" s="13"/>
      <c r="T371" s="13"/>
      <c r="U371" s="13"/>
      <c r="V371" s="13"/>
      <c r="W371" s="13"/>
      <c r="X371" s="13"/>
      <c r="Y371" s="13"/>
      <c r="Z371" s="13"/>
      <c r="AA371" s="13"/>
      <c r="AB371" s="13"/>
      <c r="AC371" s="13"/>
    </row>
    <row r="372" spans="1:29" s="3" customFormat="1">
      <c r="A372" s="40"/>
      <c r="B372" s="41"/>
      <c r="C372" s="44"/>
      <c r="R372" s="13"/>
      <c r="S372" s="13"/>
      <c r="T372" s="13"/>
      <c r="U372" s="13"/>
      <c r="V372" s="13"/>
      <c r="W372" s="13"/>
      <c r="X372" s="13"/>
      <c r="Y372" s="13"/>
      <c r="Z372" s="13"/>
      <c r="AA372" s="13"/>
      <c r="AB372" s="13"/>
      <c r="AC372" s="13"/>
    </row>
    <row r="373" spans="1:29" s="3" customFormat="1">
      <c r="A373" s="40"/>
      <c r="B373" s="41"/>
      <c r="C373" s="44"/>
      <c r="R373" s="13"/>
      <c r="S373" s="13"/>
      <c r="T373" s="13"/>
      <c r="U373" s="13"/>
      <c r="V373" s="13"/>
      <c r="W373" s="13"/>
      <c r="X373" s="13"/>
      <c r="Y373" s="13"/>
      <c r="Z373" s="13"/>
      <c r="AA373" s="13"/>
      <c r="AB373" s="13"/>
      <c r="AC373" s="13"/>
    </row>
    <row r="374" spans="1:29" s="3" customFormat="1">
      <c r="A374" s="40"/>
      <c r="B374" s="41"/>
      <c r="C374" s="44"/>
      <c r="R374" s="13"/>
      <c r="S374" s="13"/>
      <c r="T374" s="13"/>
      <c r="U374" s="13"/>
      <c r="V374" s="13"/>
      <c r="W374" s="13"/>
      <c r="X374" s="13"/>
      <c r="Y374" s="13"/>
      <c r="Z374" s="13"/>
      <c r="AA374" s="13"/>
      <c r="AB374" s="13"/>
      <c r="AC374" s="13"/>
    </row>
    <row r="375" spans="1:29" s="3" customFormat="1">
      <c r="A375" s="40"/>
      <c r="B375" s="41"/>
      <c r="C375" s="44"/>
      <c r="R375" s="13"/>
      <c r="S375" s="13"/>
      <c r="T375" s="13"/>
      <c r="U375" s="13"/>
      <c r="V375" s="13"/>
      <c r="W375" s="13"/>
      <c r="X375" s="13"/>
      <c r="Y375" s="13"/>
      <c r="Z375" s="13"/>
      <c r="AA375" s="13"/>
      <c r="AB375" s="13"/>
      <c r="AC375" s="13"/>
    </row>
  </sheetData>
  <mergeCells count="32">
    <mergeCell ref="B39:L39"/>
    <mergeCell ref="R6:R8"/>
    <mergeCell ref="S6:V7"/>
    <mergeCell ref="M7:P7"/>
    <mergeCell ref="E8:F8"/>
    <mergeCell ref="G8:G9"/>
    <mergeCell ref="H8:H9"/>
    <mergeCell ref="I8:J8"/>
    <mergeCell ref="K8:K9"/>
    <mergeCell ref="L8:L9"/>
    <mergeCell ref="M8:N8"/>
    <mergeCell ref="S8:T8"/>
    <mergeCell ref="U8:U9"/>
    <mergeCell ref="V8:V9"/>
    <mergeCell ref="B16:Q16"/>
    <mergeCell ref="B18:Q18"/>
    <mergeCell ref="A5:Q5"/>
    <mergeCell ref="A6:A9"/>
    <mergeCell ref="B6:B9"/>
    <mergeCell ref="C6:C9"/>
    <mergeCell ref="D6:D9"/>
    <mergeCell ref="E6:H7"/>
    <mergeCell ref="I6:L7"/>
    <mergeCell ref="Q6:Q9"/>
    <mergeCell ref="O8:O9"/>
    <mergeCell ref="P8:P9"/>
    <mergeCell ref="A4:Q4"/>
    <mergeCell ref="A1:H1"/>
    <mergeCell ref="I1:N1"/>
    <mergeCell ref="A2:H2"/>
    <mergeCell ref="I2:N2"/>
    <mergeCell ref="A3:Q3"/>
  </mergeCells>
  <printOptions horizontalCentered="1"/>
  <pageMargins left="0.43307086614173229" right="0.35433070866141736" top="0.78740157480314965" bottom="0.78740157480314965" header="0.51181102362204722" footer="0.51181102362204722"/>
  <pageSetup paperSize="9" scale="73"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M88"/>
  <sheetViews>
    <sheetView zoomScalePageLayoutView="75" workbookViewId="0">
      <selection activeCell="I27" sqref="I27"/>
    </sheetView>
  </sheetViews>
  <sheetFormatPr defaultColWidth="9.140625" defaultRowHeight="16.5"/>
  <cols>
    <col min="1" max="1" width="6.140625" style="149" customWidth="1"/>
    <col min="2" max="2" width="43.28515625" style="144" customWidth="1"/>
    <col min="3" max="3" width="12.28515625" style="144" customWidth="1"/>
    <col min="4" max="4" width="9.7109375" style="144" customWidth="1"/>
    <col min="5" max="5" width="10.140625" style="144" customWidth="1"/>
    <col min="6" max="7" width="9.42578125" style="144" customWidth="1"/>
    <col min="8" max="8" width="15.7109375" style="144" customWidth="1"/>
    <col min="9" max="9" width="17.5703125" style="144" customWidth="1"/>
    <col min="10" max="10" width="9" style="144" customWidth="1"/>
    <col min="11" max="11" width="11.42578125" style="144" customWidth="1"/>
    <col min="12" max="12" width="10.7109375" style="144" customWidth="1"/>
    <col min="13" max="16384" width="9.140625" style="144"/>
  </cols>
  <sheetData>
    <row r="1" spans="1:13" s="141" customFormat="1" ht="26.25" customHeight="1">
      <c r="A1" s="1820" t="s">
        <v>156</v>
      </c>
      <c r="B1" s="1820"/>
      <c r="C1" s="1820"/>
      <c r="D1" s="1820"/>
      <c r="E1" s="1820"/>
      <c r="F1" s="1820"/>
      <c r="G1" s="139"/>
      <c r="H1" s="140" t="s">
        <v>0</v>
      </c>
      <c r="I1" s="140"/>
      <c r="J1" s="139"/>
      <c r="K1" s="139"/>
      <c r="L1" s="139"/>
      <c r="M1" s="139"/>
    </row>
    <row r="2" spans="1:13" s="141" customFormat="1" ht="38.25" customHeight="1">
      <c r="A2" s="1821" t="s">
        <v>143</v>
      </c>
      <c r="B2" s="1821"/>
      <c r="C2" s="1821"/>
      <c r="D2" s="1821"/>
      <c r="E2" s="1821"/>
      <c r="F2" s="1821"/>
      <c r="G2" s="142"/>
      <c r="H2" s="143" t="s">
        <v>2</v>
      </c>
      <c r="I2" s="143"/>
      <c r="J2" s="142"/>
      <c r="K2" s="142"/>
      <c r="L2" s="142"/>
      <c r="M2" s="142"/>
    </row>
    <row r="3" spans="1:13" ht="25.5" customHeight="1">
      <c r="A3" s="1822" t="s">
        <v>157</v>
      </c>
      <c r="B3" s="1822"/>
      <c r="C3" s="1822"/>
      <c r="D3" s="1822"/>
      <c r="E3" s="1822"/>
      <c r="F3" s="1822"/>
      <c r="G3" s="1822"/>
      <c r="H3" s="1822"/>
      <c r="I3" s="1822"/>
      <c r="J3" s="1822"/>
      <c r="K3" s="1822"/>
      <c r="L3" s="1822"/>
      <c r="M3" s="1822"/>
    </row>
    <row r="4" spans="1:13" s="141" customFormat="1" ht="26.25" customHeight="1">
      <c r="A4" s="1820" t="s">
        <v>158</v>
      </c>
      <c r="B4" s="1820"/>
      <c r="C4" s="1820"/>
      <c r="D4" s="1820"/>
      <c r="E4" s="1820"/>
      <c r="F4" s="1820"/>
      <c r="G4" s="1820"/>
      <c r="H4" s="1820"/>
      <c r="I4" s="1820"/>
      <c r="J4" s="1820"/>
      <c r="K4" s="1820"/>
      <c r="L4" s="1820"/>
      <c r="M4" s="1820"/>
    </row>
    <row r="5" spans="1:13" s="146" customFormat="1" ht="29.25" customHeight="1">
      <c r="A5" s="145"/>
      <c r="B5" s="142"/>
      <c r="C5" s="142"/>
      <c r="D5" s="142"/>
      <c r="E5" s="142"/>
      <c r="F5" s="142"/>
      <c r="G5" s="1823" t="s">
        <v>3</v>
      </c>
      <c r="H5" s="1823"/>
      <c r="I5" s="1823"/>
      <c r="J5" s="1823"/>
      <c r="K5" s="1823"/>
      <c r="L5" s="1823"/>
      <c r="M5" s="1823"/>
    </row>
    <row r="6" spans="1:13" s="147" customFormat="1" ht="37.5" customHeight="1">
      <c r="A6" s="1819" t="s">
        <v>4</v>
      </c>
      <c r="B6" s="1819" t="s">
        <v>159</v>
      </c>
      <c r="C6" s="1824" t="s">
        <v>160</v>
      </c>
      <c r="D6" s="1825"/>
      <c r="E6" s="1825"/>
      <c r="F6" s="1826"/>
      <c r="G6" s="1824" t="s">
        <v>161</v>
      </c>
      <c r="H6" s="1825"/>
      <c r="I6" s="1825"/>
      <c r="J6" s="1825"/>
      <c r="K6" s="1825"/>
      <c r="L6" s="1826"/>
      <c r="M6" s="1817" t="s">
        <v>7</v>
      </c>
    </row>
    <row r="7" spans="1:13" s="147" customFormat="1" ht="31.5" customHeight="1">
      <c r="A7" s="1819"/>
      <c r="B7" s="1819"/>
      <c r="C7" s="1817" t="s">
        <v>162</v>
      </c>
      <c r="D7" s="1819" t="s">
        <v>163</v>
      </c>
      <c r="E7" s="1819"/>
      <c r="F7" s="1819"/>
      <c r="G7" s="1819" t="s">
        <v>162</v>
      </c>
      <c r="H7" s="1819"/>
      <c r="I7" s="1819"/>
      <c r="J7" s="1819" t="s">
        <v>163</v>
      </c>
      <c r="K7" s="1819"/>
      <c r="L7" s="1819"/>
      <c r="M7" s="1827"/>
    </row>
    <row r="8" spans="1:13" s="147" customFormat="1" ht="93.75" customHeight="1">
      <c r="A8" s="1819"/>
      <c r="B8" s="1819"/>
      <c r="C8" s="1818"/>
      <c r="D8" s="148" t="s">
        <v>9</v>
      </c>
      <c r="E8" s="148" t="s">
        <v>10</v>
      </c>
      <c r="F8" s="148" t="s">
        <v>11</v>
      </c>
      <c r="G8" s="148" t="s">
        <v>9</v>
      </c>
      <c r="H8" s="148" t="s">
        <v>164</v>
      </c>
      <c r="I8" s="148" t="s">
        <v>165</v>
      </c>
      <c r="J8" s="148" t="s">
        <v>9</v>
      </c>
      <c r="K8" s="148" t="s">
        <v>10</v>
      </c>
      <c r="L8" s="148" t="s">
        <v>11</v>
      </c>
      <c r="M8" s="1818"/>
    </row>
    <row r="9" spans="1:13" s="149" customFormat="1" ht="21" customHeight="1">
      <c r="A9" s="148">
        <v>1</v>
      </c>
      <c r="B9" s="148">
        <v>2</v>
      </c>
      <c r="C9" s="148">
        <v>3</v>
      </c>
      <c r="D9" s="148">
        <v>4</v>
      </c>
      <c r="E9" s="148">
        <v>5</v>
      </c>
      <c r="F9" s="148">
        <v>6</v>
      </c>
      <c r="G9" s="148">
        <v>7</v>
      </c>
      <c r="H9" s="148">
        <v>8</v>
      </c>
      <c r="I9" s="148">
        <v>9</v>
      </c>
      <c r="J9" s="148">
        <v>10</v>
      </c>
      <c r="K9" s="148">
        <v>11</v>
      </c>
      <c r="L9" s="148">
        <v>12</v>
      </c>
      <c r="M9" s="148">
        <v>13</v>
      </c>
    </row>
    <row r="10" spans="1:13" hidden="1">
      <c r="A10" s="148"/>
      <c r="B10" s="148"/>
      <c r="C10" s="148"/>
      <c r="D10" s="148"/>
      <c r="E10" s="148"/>
      <c r="F10" s="148"/>
      <c r="G10" s="148"/>
      <c r="H10" s="148"/>
      <c r="I10" s="148"/>
      <c r="J10" s="150"/>
      <c r="K10" s="150"/>
      <c r="L10" s="150"/>
      <c r="M10" s="150"/>
    </row>
    <row r="11" spans="1:13" ht="23.25" customHeight="1">
      <c r="A11" s="148"/>
      <c r="B11" s="151" t="s">
        <v>166</v>
      </c>
      <c r="C11" s="151"/>
      <c r="D11" s="152"/>
      <c r="E11" s="152"/>
      <c r="F11" s="152"/>
      <c r="G11" s="152"/>
      <c r="H11" s="152"/>
      <c r="I11" s="152"/>
      <c r="J11" s="150"/>
      <c r="K11" s="150"/>
      <c r="L11" s="150"/>
      <c r="M11" s="150"/>
    </row>
    <row r="12" spans="1:13" ht="33" customHeight="1">
      <c r="A12" s="151" t="s">
        <v>33</v>
      </c>
      <c r="B12" s="153" t="s">
        <v>167</v>
      </c>
      <c r="C12" s="153"/>
      <c r="D12" s="152"/>
      <c r="E12" s="152"/>
      <c r="F12" s="152"/>
      <c r="G12" s="152"/>
      <c r="H12" s="152"/>
      <c r="I12" s="152"/>
      <c r="J12" s="150"/>
      <c r="K12" s="150"/>
      <c r="L12" s="150"/>
      <c r="M12" s="150"/>
    </row>
    <row r="13" spans="1:13" ht="36" customHeight="1">
      <c r="A13" s="151">
        <v>1</v>
      </c>
      <c r="B13" s="154" t="s">
        <v>168</v>
      </c>
      <c r="C13" s="155"/>
      <c r="D13" s="152"/>
      <c r="E13" s="152"/>
      <c r="F13" s="152"/>
      <c r="G13" s="152"/>
      <c r="H13" s="152"/>
      <c r="I13" s="152"/>
      <c r="J13" s="150"/>
      <c r="K13" s="150"/>
      <c r="L13" s="150"/>
      <c r="M13" s="150"/>
    </row>
    <row r="14" spans="1:13" s="146" customFormat="1" ht="26.25" customHeight="1">
      <c r="A14" s="156"/>
      <c r="B14" s="157" t="s">
        <v>14</v>
      </c>
      <c r="C14" s="157"/>
      <c r="D14" s="158"/>
      <c r="E14" s="158"/>
      <c r="F14" s="158"/>
      <c r="G14" s="158"/>
      <c r="H14" s="158"/>
      <c r="I14" s="158"/>
      <c r="J14" s="159"/>
      <c r="K14" s="159"/>
      <c r="L14" s="159"/>
      <c r="M14" s="159"/>
    </row>
    <row r="15" spans="1:13" s="146" customFormat="1" ht="26.25" customHeight="1">
      <c r="A15" s="160" t="s">
        <v>169</v>
      </c>
      <c r="B15" s="159" t="s">
        <v>170</v>
      </c>
      <c r="C15" s="159"/>
      <c r="D15" s="161"/>
      <c r="E15" s="161"/>
      <c r="F15" s="161"/>
      <c r="G15" s="161"/>
      <c r="H15" s="161"/>
      <c r="I15" s="161"/>
      <c r="J15" s="159"/>
      <c r="K15" s="159"/>
      <c r="L15" s="159"/>
      <c r="M15" s="159"/>
    </row>
    <row r="16" spans="1:13" s="146" customFormat="1" ht="26.25" customHeight="1">
      <c r="A16" s="160" t="s">
        <v>169</v>
      </c>
      <c r="B16" s="159" t="s">
        <v>171</v>
      </c>
      <c r="C16" s="159"/>
      <c r="D16" s="161"/>
      <c r="E16" s="161"/>
      <c r="F16" s="161"/>
      <c r="G16" s="161"/>
      <c r="H16" s="161"/>
      <c r="I16" s="161"/>
      <c r="J16" s="159"/>
      <c r="K16" s="159"/>
      <c r="L16" s="159"/>
      <c r="M16" s="159"/>
    </row>
    <row r="17" spans="1:13" ht="33">
      <c r="A17" s="162" t="s">
        <v>36</v>
      </c>
      <c r="B17" s="163" t="s">
        <v>172</v>
      </c>
      <c r="C17" s="164"/>
      <c r="D17" s="165"/>
      <c r="E17" s="165"/>
      <c r="F17" s="165"/>
      <c r="G17" s="165"/>
      <c r="H17" s="165"/>
      <c r="I17" s="165"/>
      <c r="J17" s="150"/>
      <c r="K17" s="150"/>
      <c r="L17" s="150"/>
      <c r="M17" s="150"/>
    </row>
    <row r="18" spans="1:13" s="146" customFormat="1" ht="26.25" customHeight="1">
      <c r="A18" s="156"/>
      <c r="B18" s="157" t="s">
        <v>14</v>
      </c>
      <c r="C18" s="157"/>
      <c r="D18" s="158"/>
      <c r="E18" s="158"/>
      <c r="F18" s="158"/>
      <c r="G18" s="158"/>
      <c r="H18" s="158"/>
      <c r="I18" s="158"/>
      <c r="J18" s="159"/>
      <c r="K18" s="159"/>
      <c r="L18" s="159"/>
      <c r="M18" s="159"/>
    </row>
    <row r="19" spans="1:13" s="146" customFormat="1" ht="39.75" customHeight="1">
      <c r="A19" s="160" t="s">
        <v>169</v>
      </c>
      <c r="B19" s="159" t="s">
        <v>173</v>
      </c>
      <c r="C19" s="159"/>
      <c r="D19" s="161"/>
      <c r="E19" s="161"/>
      <c r="F19" s="161"/>
      <c r="G19" s="161"/>
      <c r="H19" s="161"/>
      <c r="I19" s="161"/>
      <c r="J19" s="159"/>
      <c r="K19" s="159"/>
      <c r="L19" s="159"/>
      <c r="M19" s="159"/>
    </row>
    <row r="20" spans="1:13" s="146" customFormat="1" ht="39.75" customHeight="1">
      <c r="A20" s="160" t="s">
        <v>169</v>
      </c>
      <c r="B20" s="159" t="s">
        <v>174</v>
      </c>
      <c r="C20" s="159"/>
      <c r="D20" s="161"/>
      <c r="E20" s="161"/>
      <c r="F20" s="161"/>
      <c r="G20" s="161"/>
      <c r="H20" s="161"/>
      <c r="I20" s="161"/>
      <c r="J20" s="159"/>
      <c r="K20" s="159"/>
      <c r="L20" s="159"/>
      <c r="M20" s="159"/>
    </row>
    <row r="21" spans="1:13" ht="36" customHeight="1">
      <c r="A21" s="162" t="s">
        <v>43</v>
      </c>
      <c r="B21" s="163" t="s">
        <v>175</v>
      </c>
      <c r="C21" s="164"/>
      <c r="D21" s="165"/>
      <c r="E21" s="165"/>
      <c r="F21" s="165"/>
      <c r="G21" s="165"/>
      <c r="H21" s="165"/>
      <c r="I21" s="165"/>
      <c r="J21" s="150"/>
      <c r="K21" s="150"/>
      <c r="L21" s="150"/>
      <c r="M21" s="150"/>
    </row>
    <row r="22" spans="1:13" ht="36.75" customHeight="1">
      <c r="A22" s="151">
        <v>2</v>
      </c>
      <c r="B22" s="166" t="s">
        <v>176</v>
      </c>
      <c r="C22" s="155"/>
      <c r="D22" s="152"/>
      <c r="E22" s="152"/>
      <c r="F22" s="152"/>
      <c r="G22" s="152"/>
      <c r="H22" s="152"/>
      <c r="I22" s="152"/>
      <c r="J22" s="150"/>
      <c r="K22" s="150"/>
      <c r="L22" s="150"/>
      <c r="M22" s="150"/>
    </row>
    <row r="23" spans="1:13" s="146" customFormat="1" ht="26.25" customHeight="1">
      <c r="A23" s="156"/>
      <c r="B23" s="157" t="s">
        <v>14</v>
      </c>
      <c r="C23" s="157"/>
      <c r="D23" s="158"/>
      <c r="E23" s="158"/>
      <c r="F23" s="158"/>
      <c r="G23" s="158"/>
      <c r="H23" s="158"/>
      <c r="I23" s="158"/>
      <c r="J23" s="159"/>
      <c r="K23" s="159"/>
      <c r="L23" s="159"/>
      <c r="M23" s="159"/>
    </row>
    <row r="24" spans="1:13" s="146" customFormat="1" ht="26.25" customHeight="1">
      <c r="A24" s="160" t="s">
        <v>169</v>
      </c>
      <c r="B24" s="159" t="s">
        <v>170</v>
      </c>
      <c r="C24" s="159"/>
      <c r="D24" s="161"/>
      <c r="E24" s="161"/>
      <c r="F24" s="161"/>
      <c r="G24" s="161"/>
      <c r="H24" s="161"/>
      <c r="I24" s="161"/>
      <c r="J24" s="159"/>
      <c r="K24" s="159"/>
      <c r="L24" s="159"/>
      <c r="M24" s="159"/>
    </row>
    <row r="25" spans="1:13" s="146" customFormat="1" ht="26.25" customHeight="1">
      <c r="A25" s="160" t="s">
        <v>169</v>
      </c>
      <c r="B25" s="159" t="s">
        <v>171</v>
      </c>
      <c r="C25" s="159"/>
      <c r="D25" s="161"/>
      <c r="E25" s="161"/>
      <c r="F25" s="161"/>
      <c r="G25" s="161"/>
      <c r="H25" s="161"/>
      <c r="I25" s="161"/>
      <c r="J25" s="159"/>
      <c r="K25" s="159"/>
      <c r="L25" s="159"/>
      <c r="M25" s="159"/>
    </row>
    <row r="26" spans="1:13" s="169" customFormat="1" ht="24.75" customHeight="1">
      <c r="A26" s="167" t="s">
        <v>36</v>
      </c>
      <c r="B26" s="168" t="s">
        <v>177</v>
      </c>
      <c r="C26" s="168"/>
      <c r="D26" s="158"/>
      <c r="E26" s="158"/>
      <c r="F26" s="158"/>
      <c r="G26" s="158"/>
      <c r="H26" s="158"/>
      <c r="I26" s="158"/>
      <c r="J26" s="157"/>
      <c r="K26" s="157"/>
      <c r="L26" s="157"/>
      <c r="M26" s="157"/>
    </row>
    <row r="27" spans="1:13" s="146" customFormat="1" ht="26.25" customHeight="1">
      <c r="A27" s="156"/>
      <c r="B27" s="157" t="s">
        <v>14</v>
      </c>
      <c r="C27" s="157"/>
      <c r="D27" s="158"/>
      <c r="E27" s="158"/>
      <c r="F27" s="158"/>
      <c r="G27" s="158"/>
      <c r="H27" s="158"/>
      <c r="I27" s="158"/>
      <c r="J27" s="159"/>
      <c r="K27" s="159"/>
      <c r="L27" s="159"/>
      <c r="M27" s="159"/>
    </row>
    <row r="28" spans="1:13" s="146" customFormat="1" ht="26.25" customHeight="1">
      <c r="A28" s="160" t="s">
        <v>169</v>
      </c>
      <c r="B28" s="159" t="s">
        <v>170</v>
      </c>
      <c r="C28" s="159"/>
      <c r="D28" s="161"/>
      <c r="E28" s="161"/>
      <c r="F28" s="161"/>
      <c r="G28" s="161"/>
      <c r="H28" s="161"/>
      <c r="I28" s="161"/>
      <c r="J28" s="159"/>
      <c r="K28" s="159"/>
      <c r="L28" s="159"/>
      <c r="M28" s="159"/>
    </row>
    <row r="29" spans="1:13" s="146" customFormat="1" ht="26.25" customHeight="1">
      <c r="A29" s="160" t="s">
        <v>169</v>
      </c>
      <c r="B29" s="159" t="s">
        <v>171</v>
      </c>
      <c r="C29" s="159"/>
      <c r="D29" s="161"/>
      <c r="E29" s="161"/>
      <c r="F29" s="161"/>
      <c r="G29" s="161"/>
      <c r="H29" s="161"/>
      <c r="I29" s="161"/>
      <c r="J29" s="159"/>
      <c r="K29" s="159"/>
      <c r="L29" s="159"/>
      <c r="M29" s="159"/>
    </row>
    <row r="30" spans="1:13" ht="26.25" customHeight="1">
      <c r="A30" s="170">
        <v>-1</v>
      </c>
      <c r="B30" s="150" t="s">
        <v>178</v>
      </c>
      <c r="C30" s="150"/>
      <c r="D30" s="165"/>
      <c r="E30" s="165"/>
      <c r="F30" s="165"/>
      <c r="G30" s="165"/>
      <c r="H30" s="165"/>
      <c r="I30" s="165"/>
      <c r="J30" s="150"/>
      <c r="K30" s="150"/>
      <c r="L30" s="150"/>
      <c r="M30" s="150"/>
    </row>
    <row r="31" spans="1:13" ht="26.25" customHeight="1">
      <c r="A31" s="171" t="s">
        <v>169</v>
      </c>
      <c r="B31" s="150" t="s">
        <v>170</v>
      </c>
      <c r="C31" s="150"/>
      <c r="D31" s="165"/>
      <c r="E31" s="165"/>
      <c r="F31" s="165"/>
      <c r="G31" s="165"/>
      <c r="H31" s="165"/>
      <c r="I31" s="165"/>
      <c r="J31" s="150"/>
      <c r="K31" s="150"/>
      <c r="L31" s="150"/>
      <c r="M31" s="150"/>
    </row>
    <row r="32" spans="1:13" ht="26.25" customHeight="1">
      <c r="A32" s="171" t="s">
        <v>169</v>
      </c>
      <c r="B32" s="150" t="s">
        <v>171</v>
      </c>
      <c r="C32" s="150"/>
      <c r="D32" s="165"/>
      <c r="E32" s="165"/>
      <c r="F32" s="165"/>
      <c r="G32" s="165"/>
      <c r="H32" s="165"/>
      <c r="I32" s="165"/>
      <c r="J32" s="150"/>
      <c r="K32" s="150"/>
      <c r="L32" s="150"/>
      <c r="M32" s="150"/>
    </row>
    <row r="33" spans="1:13" ht="26.25" customHeight="1">
      <c r="A33" s="170">
        <v>-2</v>
      </c>
      <c r="B33" s="150" t="s">
        <v>178</v>
      </c>
      <c r="C33" s="150"/>
      <c r="D33" s="165"/>
      <c r="E33" s="165"/>
      <c r="F33" s="165"/>
      <c r="G33" s="165"/>
      <c r="H33" s="165"/>
      <c r="I33" s="165"/>
      <c r="J33" s="150"/>
      <c r="K33" s="150"/>
      <c r="L33" s="150"/>
      <c r="M33" s="150"/>
    </row>
    <row r="34" spans="1:13" s="146" customFormat="1" ht="26.25" customHeight="1">
      <c r="A34" s="160"/>
      <c r="B34" s="159" t="s">
        <v>82</v>
      </c>
      <c r="C34" s="159"/>
      <c r="D34" s="161"/>
      <c r="E34" s="161"/>
      <c r="F34" s="161"/>
      <c r="G34" s="161"/>
      <c r="H34" s="161"/>
      <c r="I34" s="161"/>
      <c r="J34" s="159"/>
      <c r="K34" s="159"/>
      <c r="L34" s="159"/>
      <c r="M34" s="159"/>
    </row>
    <row r="35" spans="1:13" s="146" customFormat="1" ht="26.25" customHeight="1">
      <c r="A35" s="160" t="s">
        <v>41</v>
      </c>
      <c r="B35" s="159" t="s">
        <v>41</v>
      </c>
      <c r="C35" s="159"/>
      <c r="D35" s="161"/>
      <c r="E35" s="161"/>
      <c r="F35" s="161"/>
      <c r="G35" s="161"/>
      <c r="H35" s="161"/>
      <c r="I35" s="161"/>
      <c r="J35" s="159"/>
      <c r="K35" s="159"/>
      <c r="L35" s="159"/>
      <c r="M35" s="159"/>
    </row>
    <row r="36" spans="1:13" s="169" customFormat="1" ht="26.25" customHeight="1">
      <c r="A36" s="167" t="s">
        <v>43</v>
      </c>
      <c r="B36" s="168" t="s">
        <v>179</v>
      </c>
      <c r="C36" s="168"/>
      <c r="D36" s="158"/>
      <c r="E36" s="158"/>
      <c r="F36" s="158"/>
      <c r="G36" s="158"/>
      <c r="H36" s="158"/>
      <c r="I36" s="158"/>
      <c r="J36" s="157"/>
      <c r="K36" s="157"/>
      <c r="L36" s="157"/>
      <c r="M36" s="157"/>
    </row>
    <row r="37" spans="1:13" s="146" customFormat="1" ht="26.25" customHeight="1">
      <c r="A37" s="156"/>
      <c r="B37" s="157" t="s">
        <v>14</v>
      </c>
      <c r="C37" s="157"/>
      <c r="D37" s="158"/>
      <c r="E37" s="158"/>
      <c r="F37" s="158"/>
      <c r="G37" s="158"/>
      <c r="H37" s="158"/>
      <c r="I37" s="158"/>
      <c r="J37" s="159"/>
      <c r="K37" s="159"/>
      <c r="L37" s="159"/>
      <c r="M37" s="159"/>
    </row>
    <row r="38" spans="1:13" s="146" customFormat="1" ht="26.25" customHeight="1">
      <c r="A38" s="160" t="s">
        <v>169</v>
      </c>
      <c r="B38" s="159" t="s">
        <v>170</v>
      </c>
      <c r="C38" s="159"/>
      <c r="D38" s="161"/>
      <c r="E38" s="161"/>
      <c r="F38" s="161"/>
      <c r="G38" s="161"/>
      <c r="H38" s="161"/>
      <c r="I38" s="161"/>
      <c r="J38" s="159"/>
      <c r="K38" s="159"/>
      <c r="L38" s="159"/>
      <c r="M38" s="159"/>
    </row>
    <row r="39" spans="1:13" s="146" customFormat="1" ht="26.25" customHeight="1">
      <c r="A39" s="160" t="s">
        <v>169</v>
      </c>
      <c r="B39" s="159" t="s">
        <v>171</v>
      </c>
      <c r="C39" s="159"/>
      <c r="D39" s="161"/>
      <c r="E39" s="161"/>
      <c r="F39" s="161"/>
      <c r="G39" s="161"/>
      <c r="H39" s="161"/>
      <c r="I39" s="161"/>
      <c r="J39" s="159"/>
      <c r="K39" s="159"/>
      <c r="L39" s="159"/>
      <c r="M39" s="159"/>
    </row>
    <row r="40" spans="1:13" ht="26.25" customHeight="1">
      <c r="A40" s="170">
        <v>-1</v>
      </c>
      <c r="B40" s="150" t="s">
        <v>178</v>
      </c>
      <c r="C40" s="150"/>
      <c r="D40" s="165"/>
      <c r="E40" s="165"/>
      <c r="F40" s="165"/>
      <c r="G40" s="165"/>
      <c r="H40" s="165"/>
      <c r="I40" s="165"/>
      <c r="J40" s="150"/>
      <c r="K40" s="150"/>
      <c r="L40" s="150"/>
      <c r="M40" s="150"/>
    </row>
    <row r="41" spans="1:13" ht="26.25" customHeight="1">
      <c r="A41" s="171" t="s">
        <v>169</v>
      </c>
      <c r="B41" s="150" t="s">
        <v>170</v>
      </c>
      <c r="C41" s="150"/>
      <c r="D41" s="165"/>
      <c r="E41" s="165"/>
      <c r="F41" s="165"/>
      <c r="G41" s="165"/>
      <c r="H41" s="165"/>
      <c r="I41" s="165"/>
      <c r="J41" s="150"/>
      <c r="K41" s="150"/>
      <c r="L41" s="150"/>
      <c r="M41" s="150"/>
    </row>
    <row r="42" spans="1:13" ht="26.25" customHeight="1">
      <c r="A42" s="171" t="s">
        <v>169</v>
      </c>
      <c r="B42" s="150" t="s">
        <v>171</v>
      </c>
      <c r="C42" s="150"/>
      <c r="D42" s="165"/>
      <c r="E42" s="165"/>
      <c r="F42" s="165"/>
      <c r="G42" s="165"/>
      <c r="H42" s="165"/>
      <c r="I42" s="165"/>
      <c r="J42" s="150"/>
      <c r="K42" s="150"/>
      <c r="L42" s="150"/>
      <c r="M42" s="150"/>
    </row>
    <row r="43" spans="1:13" ht="26.25" customHeight="1">
      <c r="A43" s="170">
        <v>-2</v>
      </c>
      <c r="B43" s="150" t="s">
        <v>178</v>
      </c>
      <c r="C43" s="150"/>
      <c r="D43" s="165"/>
      <c r="E43" s="165"/>
      <c r="F43" s="165"/>
      <c r="G43" s="165"/>
      <c r="H43" s="165"/>
      <c r="I43" s="165"/>
      <c r="J43" s="150"/>
      <c r="K43" s="150"/>
      <c r="L43" s="150"/>
      <c r="M43" s="150"/>
    </row>
    <row r="44" spans="1:13" s="146" customFormat="1" ht="26.25" customHeight="1">
      <c r="A44" s="160"/>
      <c r="B44" s="159" t="s">
        <v>82</v>
      </c>
      <c r="C44" s="159"/>
      <c r="D44" s="161"/>
      <c r="E44" s="161"/>
      <c r="F44" s="161"/>
      <c r="G44" s="161"/>
      <c r="H44" s="161"/>
      <c r="I44" s="161"/>
      <c r="J44" s="159"/>
      <c r="K44" s="159"/>
      <c r="L44" s="159"/>
      <c r="M44" s="159"/>
    </row>
    <row r="45" spans="1:13" s="146" customFormat="1" ht="26.25" customHeight="1">
      <c r="A45" s="160" t="s">
        <v>41</v>
      </c>
      <c r="B45" s="159" t="s">
        <v>41</v>
      </c>
      <c r="C45" s="159"/>
      <c r="D45" s="161"/>
      <c r="E45" s="161"/>
      <c r="F45" s="161"/>
      <c r="G45" s="161"/>
      <c r="H45" s="161"/>
      <c r="I45" s="161"/>
      <c r="J45" s="159"/>
      <c r="K45" s="159"/>
      <c r="L45" s="159"/>
      <c r="M45" s="159"/>
    </row>
    <row r="46" spans="1:13" ht="29.25" customHeight="1">
      <c r="A46" s="151" t="s">
        <v>49</v>
      </c>
      <c r="B46" s="155" t="s">
        <v>16</v>
      </c>
      <c r="C46" s="155"/>
      <c r="D46" s="152"/>
      <c r="E46" s="152"/>
      <c r="F46" s="152"/>
      <c r="G46" s="152"/>
      <c r="H46" s="152"/>
      <c r="I46" s="152"/>
      <c r="J46" s="150"/>
      <c r="K46" s="150"/>
      <c r="L46" s="150"/>
      <c r="M46" s="150"/>
    </row>
    <row r="47" spans="1:13" ht="29.25" customHeight="1">
      <c r="A47" s="148">
        <v>1</v>
      </c>
      <c r="B47" s="172" t="s">
        <v>180</v>
      </c>
      <c r="C47" s="150"/>
      <c r="D47" s="165"/>
      <c r="E47" s="165"/>
      <c r="F47" s="165"/>
      <c r="G47" s="165"/>
      <c r="H47" s="165"/>
      <c r="I47" s="165"/>
      <c r="J47" s="150"/>
      <c r="K47" s="150"/>
      <c r="L47" s="150"/>
      <c r="M47" s="150"/>
    </row>
    <row r="48" spans="1:13" ht="29.25" customHeight="1">
      <c r="A48" s="148">
        <v>2</v>
      </c>
      <c r="B48" s="172" t="s">
        <v>180</v>
      </c>
      <c r="C48" s="150"/>
      <c r="D48" s="165"/>
      <c r="E48" s="165"/>
      <c r="F48" s="165"/>
      <c r="G48" s="165"/>
      <c r="H48" s="165"/>
      <c r="I48" s="165"/>
      <c r="J48" s="150"/>
      <c r="K48" s="150"/>
      <c r="L48" s="150"/>
      <c r="M48" s="150"/>
    </row>
    <row r="49" spans="1:13" ht="29.25" customHeight="1">
      <c r="A49" s="148" t="s">
        <v>41</v>
      </c>
      <c r="B49" s="150" t="s">
        <v>41</v>
      </c>
      <c r="C49" s="150"/>
      <c r="D49" s="165"/>
      <c r="E49" s="165"/>
      <c r="F49" s="165"/>
      <c r="G49" s="165"/>
      <c r="H49" s="165"/>
      <c r="I49" s="165"/>
      <c r="J49" s="150"/>
      <c r="K49" s="150"/>
      <c r="L49" s="150"/>
      <c r="M49" s="150"/>
    </row>
    <row r="50" spans="1:13" ht="29.25" customHeight="1">
      <c r="A50" s="151" t="s">
        <v>181</v>
      </c>
      <c r="B50" s="155" t="s">
        <v>182</v>
      </c>
      <c r="C50" s="155"/>
      <c r="D50" s="152"/>
      <c r="E50" s="152"/>
      <c r="F50" s="152"/>
      <c r="G50" s="152"/>
      <c r="H50" s="152"/>
      <c r="I50" s="152"/>
      <c r="J50" s="150"/>
      <c r="K50" s="150"/>
      <c r="L50" s="150"/>
      <c r="M50" s="150"/>
    </row>
    <row r="51" spans="1:13" ht="29.25" customHeight="1">
      <c r="A51" s="148">
        <v>1</v>
      </c>
      <c r="B51" s="172" t="s">
        <v>180</v>
      </c>
      <c r="C51" s="150"/>
      <c r="D51" s="165"/>
      <c r="E51" s="165"/>
      <c r="F51" s="165"/>
      <c r="G51" s="165"/>
      <c r="H51" s="165"/>
      <c r="I51" s="165"/>
      <c r="J51" s="150"/>
      <c r="K51" s="150"/>
      <c r="L51" s="150"/>
      <c r="M51" s="150"/>
    </row>
    <row r="52" spans="1:13" ht="29.25" customHeight="1">
      <c r="A52" s="148">
        <v>2</v>
      </c>
      <c r="B52" s="172" t="s">
        <v>180</v>
      </c>
      <c r="C52" s="150"/>
      <c r="D52" s="165"/>
      <c r="E52" s="165"/>
      <c r="F52" s="165"/>
      <c r="G52" s="165"/>
      <c r="H52" s="165"/>
      <c r="I52" s="165"/>
      <c r="J52" s="150"/>
      <c r="K52" s="150"/>
      <c r="L52" s="150"/>
      <c r="M52" s="150"/>
    </row>
    <row r="53" spans="1:13" ht="29.25" customHeight="1">
      <c r="A53" s="148" t="s">
        <v>41</v>
      </c>
      <c r="B53" s="150" t="s">
        <v>41</v>
      </c>
      <c r="C53" s="150"/>
      <c r="D53" s="165"/>
      <c r="E53" s="165"/>
      <c r="F53" s="165"/>
      <c r="G53" s="165"/>
      <c r="H53" s="165"/>
      <c r="I53" s="165"/>
      <c r="J53" s="150"/>
      <c r="K53" s="150"/>
      <c r="L53" s="150"/>
      <c r="M53" s="150"/>
    </row>
    <row r="54" spans="1:13" ht="29.25" customHeight="1">
      <c r="A54" s="151" t="s">
        <v>181</v>
      </c>
      <c r="B54" s="155" t="s">
        <v>17</v>
      </c>
      <c r="C54" s="155"/>
      <c r="D54" s="152"/>
      <c r="E54" s="152"/>
      <c r="F54" s="152"/>
      <c r="G54" s="152"/>
      <c r="H54" s="152"/>
      <c r="I54" s="152"/>
      <c r="J54" s="150"/>
      <c r="K54" s="150"/>
      <c r="L54" s="150"/>
      <c r="M54" s="150"/>
    </row>
    <row r="55" spans="1:13" ht="29.25" customHeight="1">
      <c r="A55" s="148">
        <v>1</v>
      </c>
      <c r="B55" s="172" t="s">
        <v>180</v>
      </c>
      <c r="C55" s="150"/>
      <c r="D55" s="165"/>
      <c r="E55" s="165"/>
      <c r="F55" s="165"/>
      <c r="G55" s="165"/>
      <c r="H55" s="165"/>
      <c r="I55" s="165"/>
      <c r="J55" s="150"/>
      <c r="K55" s="150"/>
      <c r="L55" s="150"/>
      <c r="M55" s="150"/>
    </row>
    <row r="56" spans="1:13" ht="29.25" customHeight="1">
      <c r="A56" s="148">
        <v>2</v>
      </c>
      <c r="B56" s="172" t="s">
        <v>180</v>
      </c>
      <c r="C56" s="150"/>
      <c r="D56" s="165"/>
      <c r="E56" s="165"/>
      <c r="F56" s="165"/>
      <c r="G56" s="165"/>
      <c r="H56" s="165"/>
      <c r="I56" s="165"/>
      <c r="J56" s="150"/>
      <c r="K56" s="150"/>
      <c r="L56" s="150"/>
      <c r="M56" s="150"/>
    </row>
    <row r="57" spans="1:13" ht="29.25" customHeight="1">
      <c r="A57" s="148" t="s">
        <v>41</v>
      </c>
      <c r="B57" s="150" t="s">
        <v>41</v>
      </c>
      <c r="C57" s="150"/>
      <c r="D57" s="165"/>
      <c r="E57" s="165"/>
      <c r="F57" s="165"/>
      <c r="G57" s="165"/>
      <c r="H57" s="165"/>
      <c r="I57" s="165"/>
      <c r="J57" s="150"/>
      <c r="K57" s="150"/>
      <c r="L57" s="150"/>
      <c r="M57" s="150"/>
    </row>
    <row r="58" spans="1:13" ht="39.75" customHeight="1">
      <c r="A58" s="151" t="s">
        <v>137</v>
      </c>
      <c r="B58" s="155" t="s">
        <v>18</v>
      </c>
      <c r="C58" s="155"/>
      <c r="D58" s="152"/>
      <c r="E58" s="152"/>
      <c r="F58" s="152"/>
      <c r="G58" s="152"/>
      <c r="H58" s="152"/>
      <c r="I58" s="152"/>
      <c r="J58" s="150"/>
      <c r="K58" s="150"/>
      <c r="L58" s="150"/>
      <c r="M58" s="150"/>
    </row>
    <row r="59" spans="1:13" ht="31.5" customHeight="1">
      <c r="A59" s="148">
        <v>1</v>
      </c>
      <c r="B59" s="172" t="s">
        <v>180</v>
      </c>
      <c r="C59" s="150"/>
      <c r="D59" s="165"/>
      <c r="E59" s="165"/>
      <c r="F59" s="165"/>
      <c r="G59" s="165"/>
      <c r="H59" s="165"/>
      <c r="I59" s="165"/>
      <c r="J59" s="150"/>
      <c r="K59" s="150"/>
      <c r="L59" s="150"/>
      <c r="M59" s="150"/>
    </row>
    <row r="60" spans="1:13" ht="31.5" customHeight="1">
      <c r="A60" s="148">
        <v>2</v>
      </c>
      <c r="B60" s="172" t="s">
        <v>180</v>
      </c>
      <c r="C60" s="150"/>
      <c r="D60" s="165"/>
      <c r="E60" s="165"/>
      <c r="F60" s="165"/>
      <c r="G60" s="165"/>
      <c r="H60" s="165"/>
      <c r="I60" s="165"/>
      <c r="J60" s="150"/>
      <c r="K60" s="150"/>
      <c r="L60" s="150"/>
      <c r="M60" s="150"/>
    </row>
    <row r="61" spans="1:13" ht="31.5" customHeight="1">
      <c r="A61" s="148" t="s">
        <v>41</v>
      </c>
      <c r="B61" s="150" t="s">
        <v>41</v>
      </c>
      <c r="C61" s="150"/>
      <c r="D61" s="165"/>
      <c r="E61" s="165"/>
      <c r="F61" s="165"/>
      <c r="G61" s="165"/>
      <c r="H61" s="165"/>
      <c r="I61" s="165"/>
      <c r="J61" s="150"/>
      <c r="K61" s="150"/>
      <c r="L61" s="150"/>
      <c r="M61" s="150"/>
    </row>
    <row r="62" spans="1:13" ht="53.25" customHeight="1">
      <c r="A62" s="151" t="s">
        <v>139</v>
      </c>
      <c r="B62" s="155" t="s">
        <v>183</v>
      </c>
      <c r="C62" s="155"/>
      <c r="D62" s="152"/>
      <c r="E62" s="152"/>
      <c r="F62" s="152"/>
      <c r="G62" s="152"/>
      <c r="H62" s="152"/>
      <c r="I62" s="152"/>
      <c r="J62" s="150"/>
      <c r="K62" s="150"/>
      <c r="L62" s="150"/>
      <c r="M62" s="150"/>
    </row>
    <row r="63" spans="1:13" ht="28.5" customHeight="1">
      <c r="A63" s="148">
        <v>1</v>
      </c>
      <c r="B63" s="172" t="s">
        <v>180</v>
      </c>
      <c r="C63" s="150"/>
      <c r="D63" s="165"/>
      <c r="E63" s="165"/>
      <c r="F63" s="165"/>
      <c r="G63" s="165"/>
      <c r="H63" s="165"/>
      <c r="I63" s="165"/>
      <c r="J63" s="150"/>
      <c r="K63" s="150"/>
      <c r="L63" s="150"/>
      <c r="M63" s="150"/>
    </row>
    <row r="64" spans="1:13" ht="28.5" customHeight="1">
      <c r="A64" s="148">
        <v>2</v>
      </c>
      <c r="B64" s="172" t="s">
        <v>180</v>
      </c>
      <c r="C64" s="150"/>
      <c r="D64" s="165"/>
      <c r="E64" s="165"/>
      <c r="F64" s="165"/>
      <c r="G64" s="165"/>
      <c r="H64" s="165"/>
      <c r="I64" s="165"/>
      <c r="J64" s="150"/>
      <c r="K64" s="150"/>
      <c r="L64" s="150"/>
      <c r="M64" s="150"/>
    </row>
    <row r="65" spans="1:13" ht="28.5" customHeight="1">
      <c r="A65" s="148" t="s">
        <v>41</v>
      </c>
      <c r="B65" s="150" t="s">
        <v>41</v>
      </c>
      <c r="C65" s="150"/>
      <c r="D65" s="165"/>
      <c r="E65" s="165"/>
      <c r="F65" s="165"/>
      <c r="G65" s="165"/>
      <c r="H65" s="165"/>
      <c r="I65" s="165"/>
      <c r="J65" s="150"/>
      <c r="K65" s="150"/>
      <c r="L65" s="150"/>
      <c r="M65" s="150"/>
    </row>
    <row r="66" spans="1:13" ht="30" hidden="1" customHeight="1">
      <c r="A66" s="151" t="s">
        <v>184</v>
      </c>
      <c r="B66" s="155" t="s">
        <v>17</v>
      </c>
      <c r="C66" s="155"/>
      <c r="D66" s="152"/>
      <c r="E66" s="152"/>
      <c r="F66" s="152"/>
      <c r="G66" s="152"/>
      <c r="H66" s="152"/>
      <c r="I66" s="152"/>
      <c r="J66" s="150"/>
      <c r="K66" s="150"/>
      <c r="L66" s="150"/>
      <c r="M66" s="150"/>
    </row>
    <row r="67" spans="1:13" ht="30" hidden="1" customHeight="1">
      <c r="A67" s="148">
        <v>1</v>
      </c>
      <c r="B67" s="172" t="s">
        <v>185</v>
      </c>
      <c r="C67" s="150"/>
      <c r="D67" s="165"/>
      <c r="E67" s="165"/>
      <c r="F67" s="165"/>
      <c r="G67" s="165"/>
      <c r="H67" s="165"/>
      <c r="I67" s="165"/>
      <c r="J67" s="150"/>
      <c r="K67" s="150"/>
      <c r="L67" s="150"/>
      <c r="M67" s="150"/>
    </row>
    <row r="68" spans="1:13" ht="30" hidden="1" customHeight="1">
      <c r="A68" s="148">
        <v>2</v>
      </c>
      <c r="B68" s="172" t="s">
        <v>185</v>
      </c>
      <c r="C68" s="150"/>
      <c r="D68" s="165"/>
      <c r="E68" s="165"/>
      <c r="F68" s="165"/>
      <c r="G68" s="165"/>
      <c r="H68" s="165"/>
      <c r="I68" s="165"/>
      <c r="J68" s="150"/>
      <c r="K68" s="150"/>
      <c r="L68" s="150"/>
      <c r="M68" s="150"/>
    </row>
    <row r="69" spans="1:13" ht="30" hidden="1" customHeight="1">
      <c r="A69" s="148" t="s">
        <v>41</v>
      </c>
      <c r="B69" s="150" t="s">
        <v>41</v>
      </c>
      <c r="C69" s="150"/>
      <c r="D69" s="165"/>
      <c r="E69" s="165"/>
      <c r="F69" s="165"/>
      <c r="G69" s="165"/>
      <c r="H69" s="165"/>
      <c r="I69" s="165"/>
      <c r="J69" s="150"/>
      <c r="K69" s="150"/>
      <c r="L69" s="150"/>
      <c r="M69" s="150"/>
    </row>
    <row r="70" spans="1:13" ht="39.75" customHeight="1">
      <c r="A70" s="151" t="s">
        <v>186</v>
      </c>
      <c r="B70" s="155" t="s">
        <v>187</v>
      </c>
      <c r="C70" s="155"/>
      <c r="D70" s="152"/>
      <c r="E70" s="152"/>
      <c r="F70" s="152"/>
      <c r="G70" s="152"/>
      <c r="H70" s="152"/>
      <c r="I70" s="152"/>
      <c r="J70" s="150"/>
      <c r="K70" s="150"/>
      <c r="L70" s="150"/>
      <c r="M70" s="150"/>
    </row>
    <row r="71" spans="1:13" ht="28.5" customHeight="1">
      <c r="A71" s="148">
        <v>1</v>
      </c>
      <c r="B71" s="172" t="s">
        <v>180</v>
      </c>
      <c r="C71" s="150"/>
      <c r="D71" s="165"/>
      <c r="E71" s="165"/>
      <c r="F71" s="165"/>
      <c r="G71" s="165"/>
      <c r="H71" s="165"/>
      <c r="I71" s="165"/>
      <c r="J71" s="150"/>
      <c r="K71" s="150"/>
      <c r="L71" s="150"/>
      <c r="M71" s="150"/>
    </row>
    <row r="72" spans="1:13" ht="28.5" customHeight="1">
      <c r="A72" s="148">
        <v>2</v>
      </c>
      <c r="B72" s="172" t="s">
        <v>180</v>
      </c>
      <c r="C72" s="150"/>
      <c r="D72" s="165"/>
      <c r="E72" s="165"/>
      <c r="F72" s="165"/>
      <c r="G72" s="165"/>
      <c r="H72" s="165"/>
      <c r="I72" s="165"/>
      <c r="J72" s="150"/>
      <c r="K72" s="150"/>
      <c r="L72" s="150"/>
      <c r="M72" s="150"/>
    </row>
    <row r="73" spans="1:13" ht="28.5" customHeight="1">
      <c r="A73" s="148" t="s">
        <v>41</v>
      </c>
      <c r="B73" s="150" t="s">
        <v>41</v>
      </c>
      <c r="C73" s="150"/>
      <c r="D73" s="165"/>
      <c r="E73" s="165"/>
      <c r="F73" s="165"/>
      <c r="G73" s="165"/>
      <c r="H73" s="165"/>
      <c r="I73" s="165"/>
      <c r="J73" s="150"/>
      <c r="K73" s="150"/>
      <c r="L73" s="150"/>
      <c r="M73" s="150"/>
    </row>
    <row r="74" spans="1:13" ht="12" customHeight="1">
      <c r="A74" s="148"/>
      <c r="B74" s="150"/>
      <c r="C74" s="150"/>
      <c r="D74" s="165"/>
      <c r="E74" s="165"/>
      <c r="F74" s="165"/>
      <c r="G74" s="165"/>
      <c r="H74" s="165"/>
      <c r="I74" s="165"/>
      <c r="J74" s="150"/>
      <c r="K74" s="150"/>
      <c r="L74" s="150"/>
      <c r="M74" s="150"/>
    </row>
    <row r="76" spans="1:13">
      <c r="B76" s="173" t="s">
        <v>19</v>
      </c>
      <c r="C76" s="173"/>
    </row>
    <row r="77" spans="1:13">
      <c r="B77" s="174" t="s">
        <v>20</v>
      </c>
      <c r="C77" s="174"/>
    </row>
    <row r="86" ht="15.75" customHeight="1"/>
    <row r="87" hidden="1"/>
    <row r="88" hidden="1"/>
  </sheetData>
  <mergeCells count="14">
    <mergeCell ref="C7:C8"/>
    <mergeCell ref="D7:F7"/>
    <mergeCell ref="G7:I7"/>
    <mergeCell ref="J7:L7"/>
    <mergeCell ref="A1:F1"/>
    <mergeCell ref="A2:F2"/>
    <mergeCell ref="A3:M3"/>
    <mergeCell ref="A4:M4"/>
    <mergeCell ref="G5:M5"/>
    <mergeCell ref="A6:A8"/>
    <mergeCell ref="B6:B8"/>
    <mergeCell ref="C6:F6"/>
    <mergeCell ref="G6:L6"/>
    <mergeCell ref="M6:M8"/>
  </mergeCells>
  <pageMargins left="0.25" right="0.25" top="0.75" bottom="0.75" header="0.3" footer="0.3"/>
  <pageSetup paperSize="9" scale="82" fitToHeight="0" orientation="landscape" r:id="rId1"/>
  <headerFooter>
    <oddFooter>&amp;R&amp;P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pageSetUpPr fitToPage="1"/>
  </sheetPr>
  <dimension ref="A1:S72"/>
  <sheetViews>
    <sheetView zoomScalePageLayoutView="75" workbookViewId="0">
      <selection activeCell="A2" sqref="A2:I2"/>
    </sheetView>
  </sheetViews>
  <sheetFormatPr defaultColWidth="9.140625" defaultRowHeight="15"/>
  <cols>
    <col min="1" max="1" width="6.42578125" style="189" customWidth="1"/>
    <col min="2" max="2" width="42.7109375" style="175" customWidth="1"/>
    <col min="3" max="9" width="11" style="175" customWidth="1"/>
    <col min="10" max="10" width="10.42578125" style="175" customWidth="1"/>
    <col min="11" max="11" width="11" style="175" customWidth="1"/>
    <col min="12" max="16384" width="9.140625" style="175"/>
  </cols>
  <sheetData>
    <row r="1" spans="1:17" ht="23.25" customHeight="1">
      <c r="A1" s="1820" t="s">
        <v>195</v>
      </c>
      <c r="B1" s="1820"/>
      <c r="C1" s="1820"/>
      <c r="D1" s="1820"/>
      <c r="E1" s="1820"/>
      <c r="F1" s="1820"/>
      <c r="G1" s="1820"/>
      <c r="H1" s="1820"/>
      <c r="I1" s="1820"/>
      <c r="J1" s="1831" t="s">
        <v>0</v>
      </c>
      <c r="K1" s="1831"/>
      <c r="L1" s="1831"/>
      <c r="M1" s="1831"/>
      <c r="N1" s="1831"/>
      <c r="O1" s="1831"/>
      <c r="P1" s="1831"/>
      <c r="Q1" s="1831"/>
    </row>
    <row r="2" spans="1:17" ht="19.5" customHeight="1">
      <c r="A2" s="1821" t="s">
        <v>1</v>
      </c>
      <c r="B2" s="1821"/>
      <c r="C2" s="1821"/>
      <c r="D2" s="1821"/>
      <c r="E2" s="1821"/>
      <c r="F2" s="1821"/>
      <c r="G2" s="1821"/>
      <c r="H2" s="1821"/>
      <c r="I2" s="1821"/>
      <c r="J2" s="1832" t="s">
        <v>2</v>
      </c>
      <c r="K2" s="1832"/>
      <c r="L2" s="1832"/>
      <c r="M2" s="1832"/>
      <c r="N2" s="1832"/>
      <c r="O2" s="1832"/>
      <c r="P2" s="1832"/>
      <c r="Q2" s="1832"/>
    </row>
    <row r="3" spans="1:17" ht="21.75" customHeight="1">
      <c r="A3" s="1833" t="s">
        <v>157</v>
      </c>
      <c r="B3" s="1833"/>
      <c r="C3" s="1833"/>
      <c r="D3" s="1833"/>
      <c r="E3" s="1833"/>
      <c r="F3" s="1833"/>
      <c r="G3" s="1833"/>
      <c r="H3" s="1833"/>
      <c r="I3" s="1833"/>
      <c r="J3" s="1833"/>
      <c r="K3" s="1833"/>
      <c r="L3" s="1833"/>
      <c r="M3" s="1833"/>
      <c r="N3" s="1833"/>
      <c r="O3" s="1833"/>
      <c r="P3" s="1833"/>
      <c r="Q3" s="1833"/>
    </row>
    <row r="4" spans="1:17" ht="16.5">
      <c r="A4" s="176"/>
      <c r="B4" s="144"/>
      <c r="C4" s="144"/>
      <c r="D4" s="144"/>
      <c r="E4" s="144"/>
      <c r="F4" s="144"/>
      <c r="G4" s="144"/>
      <c r="H4" s="144"/>
      <c r="I4" s="144"/>
      <c r="J4" s="144"/>
      <c r="K4" s="144"/>
    </row>
    <row r="5" spans="1:17" ht="20.25" customHeight="1">
      <c r="A5" s="1820" t="s">
        <v>196</v>
      </c>
      <c r="B5" s="1820"/>
      <c r="C5" s="1820"/>
      <c r="D5" s="1820"/>
      <c r="E5" s="1820"/>
      <c r="F5" s="1820"/>
      <c r="G5" s="1820"/>
      <c r="H5" s="1820"/>
      <c r="I5" s="1820"/>
      <c r="J5" s="1820"/>
      <c r="K5" s="1820"/>
      <c r="L5" s="1820"/>
      <c r="M5" s="1820"/>
      <c r="N5" s="1820"/>
      <c r="O5" s="1820"/>
      <c r="P5" s="1820"/>
      <c r="Q5" s="1820"/>
    </row>
    <row r="6" spans="1:17" ht="23.25" customHeight="1">
      <c r="A6" s="1820" t="s">
        <v>188</v>
      </c>
      <c r="B6" s="1820"/>
      <c r="C6" s="1820"/>
      <c r="D6" s="1820"/>
      <c r="E6" s="1820"/>
      <c r="F6" s="1820"/>
      <c r="G6" s="1820"/>
      <c r="H6" s="1820"/>
      <c r="I6" s="1820"/>
      <c r="J6" s="1820"/>
      <c r="K6" s="1820"/>
      <c r="L6" s="1820"/>
      <c r="M6" s="1820"/>
      <c r="N6" s="1820"/>
      <c r="O6" s="1820"/>
      <c r="P6" s="1820"/>
      <c r="Q6" s="1820"/>
    </row>
    <row r="7" spans="1:17" ht="19.5" customHeight="1">
      <c r="A7" s="1821"/>
      <c r="B7" s="1821"/>
      <c r="C7" s="1821"/>
      <c r="D7" s="1821"/>
      <c r="E7" s="1821"/>
      <c r="F7" s="1821"/>
      <c r="G7" s="1821"/>
      <c r="H7" s="1821"/>
      <c r="I7" s="1821"/>
      <c r="J7" s="1821"/>
      <c r="K7" s="1821"/>
      <c r="L7" s="1821"/>
      <c r="M7" s="1821"/>
      <c r="N7" s="1821"/>
      <c r="O7" s="1821"/>
      <c r="P7" s="1821"/>
      <c r="Q7" s="1821"/>
    </row>
    <row r="8" spans="1:17" ht="21.75" customHeight="1">
      <c r="A8" s="177"/>
      <c r="B8" s="146"/>
      <c r="C8" s="146"/>
      <c r="D8" s="146"/>
      <c r="E8" s="146"/>
      <c r="F8" s="146"/>
      <c r="M8" s="1829" t="s">
        <v>3</v>
      </c>
      <c r="N8" s="1829"/>
      <c r="O8" s="1829"/>
      <c r="P8" s="1829"/>
      <c r="Q8" s="1829"/>
    </row>
    <row r="9" spans="1:17" ht="56.25" customHeight="1">
      <c r="A9" s="1830" t="s">
        <v>4</v>
      </c>
      <c r="B9" s="1828" t="s">
        <v>159</v>
      </c>
      <c r="C9" s="1828" t="s">
        <v>58</v>
      </c>
      <c r="D9" s="1828"/>
      <c r="E9" s="1828"/>
      <c r="F9" s="1819" t="s">
        <v>189</v>
      </c>
      <c r="G9" s="1819"/>
      <c r="H9" s="1819"/>
      <c r="I9" s="1819" t="s">
        <v>190</v>
      </c>
      <c r="J9" s="1819"/>
      <c r="K9" s="1819"/>
      <c r="L9" s="1819" t="s">
        <v>191</v>
      </c>
      <c r="M9" s="1819"/>
      <c r="N9" s="1819"/>
      <c r="O9" s="1819"/>
      <c r="P9" s="1819"/>
      <c r="Q9" s="1819"/>
    </row>
    <row r="10" spans="1:17" ht="35.25" customHeight="1">
      <c r="A10" s="1830"/>
      <c r="B10" s="1828"/>
      <c r="C10" s="1828" t="s">
        <v>9</v>
      </c>
      <c r="D10" s="1828" t="s">
        <v>10</v>
      </c>
      <c r="E10" s="1828" t="s">
        <v>12</v>
      </c>
      <c r="F10" s="1819" t="s">
        <v>9</v>
      </c>
      <c r="G10" s="1819" t="s">
        <v>10</v>
      </c>
      <c r="H10" s="1819" t="s">
        <v>12</v>
      </c>
      <c r="I10" s="1819" t="s">
        <v>9</v>
      </c>
      <c r="J10" s="1819" t="s">
        <v>10</v>
      </c>
      <c r="K10" s="1819" t="s">
        <v>12</v>
      </c>
      <c r="L10" s="1819" t="s">
        <v>192</v>
      </c>
      <c r="M10" s="1819"/>
      <c r="N10" s="1819"/>
      <c r="O10" s="1819" t="s">
        <v>193</v>
      </c>
      <c r="P10" s="1819"/>
      <c r="Q10" s="1819"/>
    </row>
    <row r="11" spans="1:17" ht="33" customHeight="1">
      <c r="A11" s="1830"/>
      <c r="B11" s="1828"/>
      <c r="C11" s="1828"/>
      <c r="D11" s="1828"/>
      <c r="E11" s="1828"/>
      <c r="F11" s="1819"/>
      <c r="G11" s="1819"/>
      <c r="H11" s="1819"/>
      <c r="I11" s="1819"/>
      <c r="J11" s="1819"/>
      <c r="K11" s="1819"/>
      <c r="L11" s="148" t="s">
        <v>9</v>
      </c>
      <c r="M11" s="148" t="s">
        <v>10</v>
      </c>
      <c r="N11" s="148" t="s">
        <v>11</v>
      </c>
      <c r="O11" s="148" t="s">
        <v>9</v>
      </c>
      <c r="P11" s="148" t="s">
        <v>10</v>
      </c>
      <c r="Q11" s="148" t="s">
        <v>11</v>
      </c>
    </row>
    <row r="12" spans="1:17" s="180" customFormat="1" ht="18.75">
      <c r="A12" s="178">
        <v>1</v>
      </c>
      <c r="B12" s="179">
        <v>2</v>
      </c>
      <c r="C12" s="178">
        <v>3</v>
      </c>
      <c r="D12" s="179">
        <v>4</v>
      </c>
      <c r="E12" s="178">
        <v>5</v>
      </c>
      <c r="F12" s="179">
        <v>6</v>
      </c>
      <c r="G12" s="178">
        <v>7</v>
      </c>
      <c r="H12" s="179">
        <v>8</v>
      </c>
      <c r="I12" s="178">
        <v>9</v>
      </c>
      <c r="J12" s="179">
        <v>10</v>
      </c>
      <c r="K12" s="178">
        <v>11</v>
      </c>
      <c r="L12" s="179">
        <v>12</v>
      </c>
      <c r="M12" s="178">
        <v>13</v>
      </c>
      <c r="N12" s="179">
        <v>14</v>
      </c>
      <c r="O12" s="178">
        <v>15</v>
      </c>
      <c r="P12" s="179">
        <v>16</v>
      </c>
      <c r="Q12" s="178">
        <v>17</v>
      </c>
    </row>
    <row r="13" spans="1:17" ht="24.75" customHeight="1">
      <c r="A13" s="178"/>
      <c r="B13" s="181" t="s">
        <v>166</v>
      </c>
      <c r="C13" s="182"/>
      <c r="D13" s="182"/>
      <c r="E13" s="182"/>
      <c r="F13" s="183"/>
      <c r="G13" s="183"/>
      <c r="H13" s="183"/>
      <c r="I13" s="183"/>
      <c r="J13" s="183"/>
      <c r="K13" s="183"/>
      <c r="L13" s="183"/>
      <c r="M13" s="183"/>
      <c r="N13" s="183"/>
      <c r="O13" s="183"/>
      <c r="P13" s="183"/>
      <c r="Q13" s="183"/>
    </row>
    <row r="14" spans="1:17" s="186" customFormat="1" ht="24.75" customHeight="1">
      <c r="A14" s="151" t="s">
        <v>33</v>
      </c>
      <c r="B14" s="153" t="s">
        <v>167</v>
      </c>
      <c r="C14" s="184"/>
      <c r="D14" s="184"/>
      <c r="E14" s="184"/>
      <c r="F14" s="185"/>
      <c r="G14" s="185"/>
      <c r="H14" s="185"/>
      <c r="I14" s="185"/>
      <c r="J14" s="185"/>
      <c r="K14" s="185"/>
      <c r="L14" s="185"/>
      <c r="M14" s="185"/>
      <c r="N14" s="185"/>
      <c r="O14" s="185"/>
      <c r="P14" s="185"/>
      <c r="Q14" s="185"/>
    </row>
    <row r="15" spans="1:17" s="186" customFormat="1" ht="24.75" customHeight="1">
      <c r="A15" s="151">
        <v>1</v>
      </c>
      <c r="B15" s="154" t="s">
        <v>168</v>
      </c>
      <c r="C15" s="184"/>
      <c r="D15" s="184"/>
      <c r="E15" s="184"/>
      <c r="F15" s="185"/>
      <c r="G15" s="185"/>
      <c r="H15" s="185"/>
      <c r="I15" s="185"/>
      <c r="J15" s="185"/>
      <c r="K15" s="185"/>
      <c r="L15" s="185"/>
      <c r="M15" s="185"/>
      <c r="N15" s="185"/>
      <c r="O15" s="185"/>
      <c r="P15" s="185"/>
      <c r="Q15" s="185"/>
    </row>
    <row r="16" spans="1:17" s="186" customFormat="1" ht="24.75" customHeight="1">
      <c r="A16" s="156"/>
      <c r="B16" s="157" t="s">
        <v>14</v>
      </c>
      <c r="C16" s="184"/>
      <c r="D16" s="184"/>
      <c r="E16" s="184"/>
      <c r="F16" s="185"/>
      <c r="G16" s="185"/>
      <c r="H16" s="185"/>
      <c r="I16" s="185"/>
      <c r="J16" s="185"/>
      <c r="K16" s="185"/>
      <c r="L16" s="185"/>
      <c r="M16" s="185"/>
      <c r="N16" s="185"/>
      <c r="O16" s="185"/>
      <c r="P16" s="185"/>
      <c r="Q16" s="185"/>
    </row>
    <row r="17" spans="1:17" s="186" customFormat="1" ht="24.75" customHeight="1">
      <c r="A17" s="160" t="s">
        <v>169</v>
      </c>
      <c r="B17" s="159" t="s">
        <v>170</v>
      </c>
      <c r="C17" s="184"/>
      <c r="D17" s="184"/>
      <c r="E17" s="184"/>
      <c r="F17" s="185"/>
      <c r="G17" s="185"/>
      <c r="H17" s="185"/>
      <c r="I17" s="185"/>
      <c r="J17" s="185"/>
      <c r="K17" s="185"/>
      <c r="L17" s="185"/>
      <c r="M17" s="185"/>
      <c r="N17" s="185"/>
      <c r="O17" s="185"/>
      <c r="P17" s="185"/>
      <c r="Q17" s="185"/>
    </row>
    <row r="18" spans="1:17" s="186" customFormat="1" ht="24.75" customHeight="1">
      <c r="A18" s="160" t="s">
        <v>169</v>
      </c>
      <c r="B18" s="159" t="s">
        <v>171</v>
      </c>
      <c r="C18" s="184"/>
      <c r="D18" s="184"/>
      <c r="E18" s="184"/>
      <c r="F18" s="185"/>
      <c r="G18" s="185"/>
      <c r="H18" s="185"/>
      <c r="I18" s="185"/>
      <c r="J18" s="185"/>
      <c r="K18" s="185"/>
      <c r="L18" s="185"/>
      <c r="M18" s="185"/>
      <c r="N18" s="185"/>
      <c r="O18" s="185"/>
      <c r="P18" s="185"/>
      <c r="Q18" s="185"/>
    </row>
    <row r="19" spans="1:17" s="186" customFormat="1" ht="33">
      <c r="A19" s="162" t="s">
        <v>36</v>
      </c>
      <c r="B19" s="163" t="s">
        <v>172</v>
      </c>
      <c r="C19" s="184"/>
      <c r="D19" s="184"/>
      <c r="E19" s="184"/>
      <c r="F19" s="185"/>
      <c r="G19" s="185"/>
      <c r="H19" s="185"/>
      <c r="I19" s="185"/>
      <c r="J19" s="185"/>
      <c r="K19" s="185"/>
      <c r="L19" s="185"/>
      <c r="M19" s="185"/>
      <c r="N19" s="185"/>
      <c r="O19" s="185"/>
      <c r="P19" s="185"/>
      <c r="Q19" s="185"/>
    </row>
    <row r="20" spans="1:17" s="186" customFormat="1" ht="24.75" customHeight="1">
      <c r="A20" s="162" t="s">
        <v>43</v>
      </c>
      <c r="B20" s="163" t="s">
        <v>175</v>
      </c>
      <c r="C20" s="184"/>
      <c r="D20" s="184"/>
      <c r="E20" s="184"/>
      <c r="F20" s="185"/>
      <c r="G20" s="185"/>
      <c r="H20" s="185"/>
      <c r="I20" s="185"/>
      <c r="J20" s="185"/>
      <c r="K20" s="185"/>
      <c r="L20" s="185"/>
      <c r="M20" s="185"/>
      <c r="N20" s="185"/>
      <c r="O20" s="185"/>
      <c r="P20" s="185"/>
      <c r="Q20" s="185"/>
    </row>
    <row r="21" spans="1:17" s="186" customFormat="1" ht="30" customHeight="1">
      <c r="A21" s="151">
        <v>2</v>
      </c>
      <c r="B21" s="166" t="s">
        <v>176</v>
      </c>
      <c r="C21" s="184"/>
      <c r="D21" s="184"/>
      <c r="E21" s="184"/>
      <c r="F21" s="185"/>
      <c r="G21" s="185"/>
      <c r="H21" s="185"/>
      <c r="I21" s="185"/>
      <c r="J21" s="185"/>
      <c r="K21" s="185"/>
      <c r="L21" s="185"/>
      <c r="M21" s="185"/>
      <c r="N21" s="185"/>
      <c r="O21" s="185"/>
      <c r="P21" s="185"/>
      <c r="Q21" s="185"/>
    </row>
    <row r="22" spans="1:17" s="186" customFormat="1" ht="24.75" customHeight="1">
      <c r="A22" s="156"/>
      <c r="B22" s="157" t="s">
        <v>14</v>
      </c>
      <c r="C22" s="184"/>
      <c r="D22" s="184"/>
      <c r="E22" s="184"/>
      <c r="F22" s="185"/>
      <c r="G22" s="185"/>
      <c r="H22" s="185"/>
      <c r="I22" s="185"/>
      <c r="J22" s="185"/>
      <c r="K22" s="185"/>
      <c r="L22" s="185"/>
      <c r="M22" s="185"/>
      <c r="N22" s="185"/>
      <c r="O22" s="185"/>
      <c r="P22" s="185"/>
      <c r="Q22" s="185"/>
    </row>
    <row r="23" spans="1:17" s="186" customFormat="1" ht="24.75" customHeight="1">
      <c r="A23" s="160" t="s">
        <v>169</v>
      </c>
      <c r="B23" s="159" t="s">
        <v>170</v>
      </c>
      <c r="C23" s="184"/>
      <c r="D23" s="184"/>
      <c r="E23" s="184"/>
      <c r="F23" s="185"/>
      <c r="G23" s="185"/>
      <c r="H23" s="185"/>
      <c r="I23" s="185"/>
      <c r="J23" s="185"/>
      <c r="K23" s="185"/>
      <c r="L23" s="185"/>
      <c r="M23" s="185"/>
      <c r="N23" s="185"/>
      <c r="O23" s="185"/>
      <c r="P23" s="185"/>
      <c r="Q23" s="185"/>
    </row>
    <row r="24" spans="1:17" s="186" customFormat="1" ht="24.75" customHeight="1">
      <c r="A24" s="160" t="s">
        <v>169</v>
      </c>
      <c r="B24" s="159" t="s">
        <v>171</v>
      </c>
      <c r="C24" s="184"/>
      <c r="D24" s="184"/>
      <c r="E24" s="184"/>
      <c r="F24" s="185"/>
      <c r="G24" s="185"/>
      <c r="H24" s="185"/>
      <c r="I24" s="185"/>
      <c r="J24" s="185"/>
      <c r="K24" s="185"/>
      <c r="L24" s="185"/>
      <c r="M24" s="185"/>
      <c r="N24" s="185"/>
      <c r="O24" s="185"/>
      <c r="P24" s="185"/>
      <c r="Q24" s="185"/>
    </row>
    <row r="25" spans="1:17" s="186" customFormat="1" ht="24.75" customHeight="1">
      <c r="A25" s="167" t="s">
        <v>36</v>
      </c>
      <c r="B25" s="168" t="s">
        <v>177</v>
      </c>
      <c r="C25" s="184"/>
      <c r="D25" s="184"/>
      <c r="E25" s="184"/>
      <c r="F25" s="185"/>
      <c r="G25" s="185"/>
      <c r="H25" s="185"/>
      <c r="I25" s="185"/>
      <c r="J25" s="185"/>
      <c r="K25" s="185"/>
      <c r="L25" s="185"/>
      <c r="M25" s="185"/>
      <c r="N25" s="185"/>
      <c r="O25" s="185"/>
      <c r="P25" s="185"/>
      <c r="Q25" s="185"/>
    </row>
    <row r="26" spans="1:17" s="186" customFormat="1" ht="24.75" customHeight="1">
      <c r="A26" s="156"/>
      <c r="B26" s="157" t="s">
        <v>14</v>
      </c>
      <c r="C26" s="184"/>
      <c r="D26" s="184"/>
      <c r="E26" s="184"/>
      <c r="F26" s="185"/>
      <c r="G26" s="185"/>
      <c r="H26" s="185"/>
      <c r="I26" s="185"/>
      <c r="J26" s="185"/>
      <c r="K26" s="185"/>
      <c r="L26" s="185"/>
      <c r="M26" s="185"/>
      <c r="N26" s="185"/>
      <c r="O26" s="185"/>
      <c r="P26" s="185"/>
      <c r="Q26" s="185"/>
    </row>
    <row r="27" spans="1:17" s="186" customFormat="1" ht="24.75" customHeight="1">
      <c r="A27" s="160" t="s">
        <v>169</v>
      </c>
      <c r="B27" s="159" t="s">
        <v>170</v>
      </c>
      <c r="C27" s="184"/>
      <c r="D27" s="184"/>
      <c r="E27" s="184"/>
      <c r="F27" s="185"/>
      <c r="G27" s="185"/>
      <c r="H27" s="185"/>
      <c r="I27" s="185"/>
      <c r="J27" s="185"/>
      <c r="K27" s="185"/>
      <c r="L27" s="185"/>
      <c r="M27" s="185"/>
      <c r="N27" s="185"/>
      <c r="O27" s="185"/>
      <c r="P27" s="185"/>
      <c r="Q27" s="185"/>
    </row>
    <row r="28" spans="1:17" s="186" customFormat="1" ht="24.75" customHeight="1">
      <c r="A28" s="160" t="s">
        <v>169</v>
      </c>
      <c r="B28" s="159" t="s">
        <v>171</v>
      </c>
      <c r="C28" s="184"/>
      <c r="D28" s="184"/>
      <c r="E28" s="184"/>
      <c r="F28" s="185"/>
      <c r="G28" s="185"/>
      <c r="H28" s="185"/>
      <c r="I28" s="185"/>
      <c r="J28" s="185"/>
      <c r="K28" s="185"/>
      <c r="L28" s="185"/>
      <c r="M28" s="185"/>
      <c r="N28" s="185"/>
      <c r="O28" s="185"/>
      <c r="P28" s="185"/>
      <c r="Q28" s="185"/>
    </row>
    <row r="29" spans="1:17" s="186" customFormat="1" ht="24.75" customHeight="1">
      <c r="A29" s="170">
        <v>-1</v>
      </c>
      <c r="B29" s="150" t="s">
        <v>178</v>
      </c>
      <c r="C29" s="184"/>
      <c r="D29" s="184"/>
      <c r="E29" s="184"/>
      <c r="F29" s="185"/>
      <c r="G29" s="185"/>
      <c r="H29" s="185"/>
      <c r="I29" s="185"/>
      <c r="J29" s="185"/>
      <c r="K29" s="185"/>
      <c r="L29" s="185"/>
      <c r="M29" s="185"/>
      <c r="N29" s="185"/>
      <c r="O29" s="185"/>
      <c r="P29" s="185"/>
      <c r="Q29" s="185"/>
    </row>
    <row r="30" spans="1:17" s="186" customFormat="1" ht="24.75" customHeight="1">
      <c r="A30" s="171" t="s">
        <v>169</v>
      </c>
      <c r="B30" s="150" t="s">
        <v>170</v>
      </c>
      <c r="C30" s="184"/>
      <c r="D30" s="184"/>
      <c r="E30" s="184"/>
      <c r="F30" s="185"/>
      <c r="G30" s="185"/>
      <c r="H30" s="185"/>
      <c r="I30" s="185"/>
      <c r="J30" s="185"/>
      <c r="K30" s="185"/>
      <c r="L30" s="185"/>
      <c r="M30" s="185"/>
      <c r="N30" s="185"/>
      <c r="O30" s="185"/>
      <c r="P30" s="185"/>
      <c r="Q30" s="185"/>
    </row>
    <row r="31" spans="1:17" s="186" customFormat="1" ht="24.75" customHeight="1">
      <c r="A31" s="171" t="s">
        <v>169</v>
      </c>
      <c r="B31" s="150" t="s">
        <v>171</v>
      </c>
      <c r="C31" s="184"/>
      <c r="D31" s="184"/>
      <c r="E31" s="184"/>
      <c r="F31" s="185"/>
      <c r="G31" s="185"/>
      <c r="H31" s="185"/>
      <c r="I31" s="185"/>
      <c r="J31" s="185"/>
      <c r="K31" s="185"/>
      <c r="L31" s="185"/>
      <c r="M31" s="185"/>
      <c r="N31" s="185"/>
      <c r="O31" s="185"/>
      <c r="P31" s="185"/>
      <c r="Q31" s="185"/>
    </row>
    <row r="32" spans="1:17" s="186" customFormat="1" ht="24.75" customHeight="1">
      <c r="A32" s="170">
        <v>-2</v>
      </c>
      <c r="B32" s="150" t="s">
        <v>178</v>
      </c>
      <c r="C32" s="184"/>
      <c r="D32" s="184"/>
      <c r="E32" s="184"/>
      <c r="F32" s="185"/>
      <c r="G32" s="185"/>
      <c r="H32" s="185"/>
      <c r="I32" s="185"/>
      <c r="J32" s="185"/>
      <c r="K32" s="185"/>
      <c r="L32" s="185"/>
      <c r="M32" s="185"/>
      <c r="N32" s="185"/>
      <c r="O32" s="185"/>
      <c r="P32" s="185"/>
      <c r="Q32" s="185"/>
    </row>
    <row r="33" spans="1:17" s="186" customFormat="1" ht="24.75" customHeight="1">
      <c r="A33" s="160"/>
      <c r="B33" s="159" t="s">
        <v>82</v>
      </c>
      <c r="C33" s="184"/>
      <c r="D33" s="184"/>
      <c r="E33" s="184"/>
      <c r="F33" s="185"/>
      <c r="G33" s="185"/>
      <c r="H33" s="185"/>
      <c r="I33" s="185"/>
      <c r="J33" s="185"/>
      <c r="K33" s="185"/>
      <c r="L33" s="185"/>
      <c r="M33" s="185"/>
      <c r="N33" s="185"/>
      <c r="O33" s="185"/>
      <c r="P33" s="185"/>
      <c r="Q33" s="185"/>
    </row>
    <row r="34" spans="1:17" s="186" customFormat="1" ht="24.75" customHeight="1">
      <c r="A34" s="160" t="s">
        <v>41</v>
      </c>
      <c r="B34" s="159" t="s">
        <v>41</v>
      </c>
      <c r="C34" s="184"/>
      <c r="D34" s="184"/>
      <c r="E34" s="184"/>
      <c r="F34" s="185"/>
      <c r="G34" s="185"/>
      <c r="H34" s="185"/>
      <c r="I34" s="185"/>
      <c r="J34" s="185"/>
      <c r="K34" s="185"/>
      <c r="L34" s="185"/>
      <c r="M34" s="185"/>
      <c r="N34" s="185"/>
      <c r="O34" s="185"/>
      <c r="P34" s="185"/>
      <c r="Q34" s="185"/>
    </row>
    <row r="35" spans="1:17" s="186" customFormat="1" ht="24.75" customHeight="1">
      <c r="A35" s="167" t="s">
        <v>43</v>
      </c>
      <c r="B35" s="168" t="s">
        <v>179</v>
      </c>
      <c r="C35" s="184"/>
      <c r="D35" s="184"/>
      <c r="E35" s="184"/>
      <c r="F35" s="185"/>
      <c r="G35" s="185"/>
      <c r="H35" s="185"/>
      <c r="I35" s="185"/>
      <c r="J35" s="185"/>
      <c r="K35" s="185"/>
      <c r="L35" s="185"/>
      <c r="M35" s="185"/>
      <c r="N35" s="185"/>
      <c r="O35" s="185"/>
      <c r="P35" s="185"/>
      <c r="Q35" s="185"/>
    </row>
    <row r="36" spans="1:17" s="186" customFormat="1" ht="24.75" customHeight="1">
      <c r="A36" s="156"/>
      <c r="B36" s="157" t="s">
        <v>14</v>
      </c>
      <c r="C36" s="184"/>
      <c r="D36" s="184"/>
      <c r="E36" s="184"/>
      <c r="F36" s="185"/>
      <c r="G36" s="185"/>
      <c r="H36" s="185"/>
      <c r="I36" s="185"/>
      <c r="J36" s="185"/>
      <c r="K36" s="185"/>
      <c r="L36" s="185"/>
      <c r="M36" s="185"/>
      <c r="N36" s="185"/>
      <c r="O36" s="185"/>
      <c r="P36" s="185"/>
      <c r="Q36" s="185"/>
    </row>
    <row r="37" spans="1:17" s="186" customFormat="1" ht="24.75" customHeight="1">
      <c r="A37" s="160" t="s">
        <v>169</v>
      </c>
      <c r="B37" s="159" t="s">
        <v>170</v>
      </c>
      <c r="C37" s="184"/>
      <c r="D37" s="184"/>
      <c r="E37" s="184"/>
      <c r="F37" s="185"/>
      <c r="G37" s="185"/>
      <c r="H37" s="185"/>
      <c r="I37" s="185"/>
      <c r="J37" s="185"/>
      <c r="K37" s="185"/>
      <c r="L37" s="185"/>
      <c r="M37" s="185"/>
      <c r="N37" s="185"/>
      <c r="O37" s="185"/>
      <c r="P37" s="185"/>
      <c r="Q37" s="185"/>
    </row>
    <row r="38" spans="1:17" s="186" customFormat="1" ht="24.75" customHeight="1">
      <c r="A38" s="160" t="s">
        <v>169</v>
      </c>
      <c r="B38" s="159" t="s">
        <v>171</v>
      </c>
      <c r="C38" s="184"/>
      <c r="D38" s="184"/>
      <c r="E38" s="184"/>
      <c r="F38" s="185"/>
      <c r="G38" s="185"/>
      <c r="H38" s="185"/>
      <c r="I38" s="185"/>
      <c r="J38" s="185"/>
      <c r="K38" s="185"/>
      <c r="L38" s="185"/>
      <c r="M38" s="185"/>
      <c r="N38" s="185"/>
      <c r="O38" s="185"/>
      <c r="P38" s="185"/>
      <c r="Q38" s="185"/>
    </row>
    <row r="39" spans="1:17" s="186" customFormat="1" ht="24.75" customHeight="1">
      <c r="A39" s="170">
        <v>-1</v>
      </c>
      <c r="B39" s="150" t="s">
        <v>178</v>
      </c>
      <c r="C39" s="184"/>
      <c r="D39" s="184"/>
      <c r="E39" s="184"/>
      <c r="F39" s="185"/>
      <c r="G39" s="185"/>
      <c r="H39" s="185"/>
      <c r="I39" s="185"/>
      <c r="J39" s="185"/>
      <c r="K39" s="185"/>
      <c r="L39" s="185"/>
      <c r="M39" s="185"/>
      <c r="N39" s="185"/>
      <c r="O39" s="185"/>
      <c r="P39" s="185"/>
      <c r="Q39" s="185"/>
    </row>
    <row r="40" spans="1:17" s="186" customFormat="1" ht="24.75" customHeight="1">
      <c r="A40" s="171" t="s">
        <v>169</v>
      </c>
      <c r="B40" s="150" t="s">
        <v>170</v>
      </c>
      <c r="C40" s="184"/>
      <c r="D40" s="184"/>
      <c r="E40" s="184"/>
      <c r="F40" s="185"/>
      <c r="G40" s="185"/>
      <c r="H40" s="185"/>
      <c r="I40" s="185"/>
      <c r="J40" s="185"/>
      <c r="K40" s="185"/>
      <c r="L40" s="185"/>
      <c r="M40" s="185"/>
      <c r="N40" s="185"/>
      <c r="O40" s="185"/>
      <c r="P40" s="185"/>
      <c r="Q40" s="185"/>
    </row>
    <row r="41" spans="1:17" s="186" customFormat="1" ht="24.75" customHeight="1">
      <c r="A41" s="171" t="s">
        <v>169</v>
      </c>
      <c r="B41" s="150" t="s">
        <v>171</v>
      </c>
      <c r="C41" s="184"/>
      <c r="D41" s="184"/>
      <c r="E41" s="184"/>
      <c r="F41" s="185"/>
      <c r="G41" s="185"/>
      <c r="H41" s="185"/>
      <c r="I41" s="185"/>
      <c r="J41" s="185"/>
      <c r="K41" s="185"/>
      <c r="L41" s="185"/>
      <c r="M41" s="185"/>
      <c r="N41" s="185"/>
      <c r="O41" s="185"/>
      <c r="P41" s="185"/>
      <c r="Q41" s="185"/>
    </row>
    <row r="42" spans="1:17" s="186" customFormat="1" ht="24.75" customHeight="1">
      <c r="A42" s="170">
        <v>-2</v>
      </c>
      <c r="B42" s="150" t="s">
        <v>178</v>
      </c>
      <c r="C42" s="184"/>
      <c r="D42" s="184"/>
      <c r="E42" s="184"/>
      <c r="F42" s="185"/>
      <c r="G42" s="185"/>
      <c r="H42" s="185"/>
      <c r="I42" s="185"/>
      <c r="J42" s="185"/>
      <c r="K42" s="185"/>
      <c r="L42" s="185"/>
      <c r="M42" s="185"/>
      <c r="N42" s="185"/>
      <c r="O42" s="185"/>
      <c r="P42" s="185"/>
      <c r="Q42" s="185"/>
    </row>
    <row r="43" spans="1:17" s="186" customFormat="1" ht="24.75" customHeight="1">
      <c r="A43" s="160"/>
      <c r="B43" s="159" t="s">
        <v>82</v>
      </c>
      <c r="C43" s="184"/>
      <c r="D43" s="184"/>
      <c r="E43" s="184"/>
      <c r="F43" s="185"/>
      <c r="G43" s="185"/>
      <c r="H43" s="185"/>
      <c r="I43" s="185"/>
      <c r="J43" s="185"/>
      <c r="K43" s="185"/>
      <c r="L43" s="185"/>
      <c r="M43" s="185"/>
      <c r="N43" s="185"/>
      <c r="O43" s="185"/>
      <c r="P43" s="185"/>
      <c r="Q43" s="185"/>
    </row>
    <row r="44" spans="1:17" s="186" customFormat="1" ht="24.75" customHeight="1">
      <c r="A44" s="160" t="s">
        <v>41</v>
      </c>
      <c r="B44" s="159" t="s">
        <v>41</v>
      </c>
      <c r="C44" s="184"/>
      <c r="D44" s="184"/>
      <c r="E44" s="184"/>
      <c r="F44" s="185"/>
      <c r="G44" s="185"/>
      <c r="H44" s="185"/>
      <c r="I44" s="185"/>
      <c r="J44" s="185"/>
      <c r="K44" s="185"/>
      <c r="L44" s="185"/>
      <c r="M44" s="185"/>
      <c r="N44" s="185"/>
      <c r="O44" s="185"/>
      <c r="P44" s="185"/>
      <c r="Q44" s="185"/>
    </row>
    <row r="45" spans="1:17" s="186" customFormat="1" ht="24.75" customHeight="1">
      <c r="A45" s="151" t="s">
        <v>49</v>
      </c>
      <c r="B45" s="155" t="s">
        <v>16</v>
      </c>
      <c r="C45" s="184"/>
      <c r="D45" s="184"/>
      <c r="E45" s="184"/>
      <c r="F45" s="185"/>
      <c r="G45" s="185"/>
      <c r="H45" s="185"/>
      <c r="I45" s="185"/>
      <c r="J45" s="185"/>
      <c r="K45" s="185"/>
      <c r="L45" s="185"/>
      <c r="M45" s="185"/>
      <c r="N45" s="185"/>
      <c r="O45" s="185"/>
      <c r="P45" s="185"/>
      <c r="Q45" s="185"/>
    </row>
    <row r="46" spans="1:17" s="186" customFormat="1" ht="24.75" customHeight="1">
      <c r="A46" s="148">
        <v>1</v>
      </c>
      <c r="B46" s="172" t="s">
        <v>180</v>
      </c>
      <c r="C46" s="184"/>
      <c r="D46" s="184"/>
      <c r="E46" s="184"/>
      <c r="F46" s="185"/>
      <c r="G46" s="185"/>
      <c r="H46" s="185"/>
      <c r="I46" s="185"/>
      <c r="J46" s="185"/>
      <c r="K46" s="185"/>
      <c r="L46" s="185"/>
      <c r="M46" s="185"/>
      <c r="N46" s="185"/>
      <c r="O46" s="185"/>
      <c r="P46" s="185"/>
      <c r="Q46" s="185"/>
    </row>
    <row r="47" spans="1:17" s="186" customFormat="1" ht="24.75" customHeight="1">
      <c r="A47" s="148">
        <v>2</v>
      </c>
      <c r="B47" s="172" t="s">
        <v>180</v>
      </c>
      <c r="C47" s="184"/>
      <c r="D47" s="184"/>
      <c r="E47" s="184"/>
      <c r="F47" s="185"/>
      <c r="G47" s="185"/>
      <c r="H47" s="185"/>
      <c r="I47" s="185"/>
      <c r="J47" s="185"/>
      <c r="K47" s="185"/>
      <c r="L47" s="185"/>
      <c r="M47" s="185"/>
      <c r="N47" s="185"/>
      <c r="O47" s="185"/>
      <c r="P47" s="185"/>
      <c r="Q47" s="185"/>
    </row>
    <row r="48" spans="1:17" s="186" customFormat="1" ht="24.75" customHeight="1">
      <c r="A48" s="148" t="s">
        <v>41</v>
      </c>
      <c r="B48" s="150" t="s">
        <v>41</v>
      </c>
      <c r="C48" s="184"/>
      <c r="D48" s="184"/>
      <c r="E48" s="184"/>
      <c r="F48" s="185"/>
      <c r="G48" s="185"/>
      <c r="H48" s="185"/>
      <c r="I48" s="185"/>
      <c r="J48" s="185"/>
      <c r="K48" s="185"/>
      <c r="L48" s="185"/>
      <c r="M48" s="185"/>
      <c r="N48" s="185"/>
      <c r="O48" s="185"/>
      <c r="P48" s="185"/>
      <c r="Q48" s="185"/>
    </row>
    <row r="49" spans="1:17" s="186" customFormat="1" ht="24.75" customHeight="1">
      <c r="A49" s="151" t="s">
        <v>181</v>
      </c>
      <c r="B49" s="155" t="s">
        <v>182</v>
      </c>
      <c r="C49" s="184"/>
      <c r="D49" s="184"/>
      <c r="E49" s="184"/>
      <c r="F49" s="185"/>
      <c r="G49" s="185"/>
      <c r="H49" s="185"/>
      <c r="I49" s="185"/>
      <c r="J49" s="185"/>
      <c r="K49" s="185"/>
      <c r="L49" s="185"/>
      <c r="M49" s="185"/>
      <c r="N49" s="185"/>
      <c r="O49" s="185"/>
      <c r="P49" s="185"/>
      <c r="Q49" s="185"/>
    </row>
    <row r="50" spans="1:17" s="186" customFormat="1" ht="24.75" customHeight="1">
      <c r="A50" s="148">
        <v>1</v>
      </c>
      <c r="B50" s="172" t="s">
        <v>180</v>
      </c>
      <c r="C50" s="184"/>
      <c r="D50" s="184"/>
      <c r="E50" s="184"/>
      <c r="F50" s="185"/>
      <c r="G50" s="185"/>
      <c r="H50" s="185"/>
      <c r="I50" s="185"/>
      <c r="J50" s="185"/>
      <c r="K50" s="185"/>
      <c r="L50" s="185"/>
      <c r="M50" s="185"/>
      <c r="N50" s="185"/>
      <c r="O50" s="185"/>
      <c r="P50" s="185"/>
      <c r="Q50" s="185"/>
    </row>
    <row r="51" spans="1:17" s="186" customFormat="1" ht="24.75" customHeight="1">
      <c r="A51" s="148">
        <v>2</v>
      </c>
      <c r="B51" s="172" t="s">
        <v>180</v>
      </c>
      <c r="C51" s="184"/>
      <c r="D51" s="184"/>
      <c r="E51" s="184"/>
      <c r="F51" s="185"/>
      <c r="G51" s="185"/>
      <c r="H51" s="185"/>
      <c r="I51" s="185"/>
      <c r="J51" s="185"/>
      <c r="K51" s="185"/>
      <c r="L51" s="185"/>
      <c r="M51" s="185"/>
      <c r="N51" s="185"/>
      <c r="O51" s="185"/>
      <c r="P51" s="185"/>
      <c r="Q51" s="185"/>
    </row>
    <row r="52" spans="1:17" s="186" customFormat="1" ht="24.75" customHeight="1">
      <c r="A52" s="148" t="s">
        <v>41</v>
      </c>
      <c r="B52" s="150" t="s">
        <v>41</v>
      </c>
      <c r="C52" s="184"/>
      <c r="D52" s="184"/>
      <c r="E52" s="184"/>
      <c r="F52" s="185"/>
      <c r="G52" s="185"/>
      <c r="H52" s="185"/>
      <c r="I52" s="185"/>
      <c r="J52" s="185"/>
      <c r="K52" s="185"/>
      <c r="L52" s="185"/>
      <c r="M52" s="185"/>
      <c r="N52" s="185"/>
      <c r="O52" s="185"/>
      <c r="P52" s="185"/>
      <c r="Q52" s="185"/>
    </row>
    <row r="53" spans="1:17" s="186" customFormat="1" ht="24.75" customHeight="1">
      <c r="A53" s="151" t="s">
        <v>137</v>
      </c>
      <c r="B53" s="155" t="s">
        <v>17</v>
      </c>
      <c r="C53" s="184"/>
      <c r="D53" s="184"/>
      <c r="E53" s="184"/>
      <c r="F53" s="185"/>
      <c r="G53" s="185"/>
      <c r="H53" s="185"/>
      <c r="I53" s="185"/>
      <c r="J53" s="185"/>
      <c r="K53" s="185"/>
      <c r="L53" s="185"/>
      <c r="M53" s="185"/>
      <c r="N53" s="185"/>
      <c r="O53" s="185"/>
      <c r="P53" s="185"/>
      <c r="Q53" s="185"/>
    </row>
    <row r="54" spans="1:17" s="186" customFormat="1" ht="24.75" customHeight="1">
      <c r="A54" s="148">
        <v>1</v>
      </c>
      <c r="B54" s="172" t="s">
        <v>180</v>
      </c>
      <c r="C54" s="184"/>
      <c r="D54" s="184"/>
      <c r="E54" s="184"/>
      <c r="F54" s="185"/>
      <c r="G54" s="185"/>
      <c r="H54" s="185"/>
      <c r="I54" s="185"/>
      <c r="J54" s="185"/>
      <c r="K54" s="185"/>
      <c r="L54" s="185"/>
      <c r="M54" s="185"/>
      <c r="N54" s="185"/>
      <c r="O54" s="185"/>
      <c r="P54" s="185"/>
      <c r="Q54" s="185"/>
    </row>
    <row r="55" spans="1:17" s="186" customFormat="1" ht="24.75" customHeight="1">
      <c r="A55" s="148">
        <v>2</v>
      </c>
      <c r="B55" s="172" t="s">
        <v>180</v>
      </c>
      <c r="C55" s="184"/>
      <c r="D55" s="184"/>
      <c r="E55" s="184"/>
      <c r="F55" s="185"/>
      <c r="G55" s="185"/>
      <c r="H55" s="185"/>
      <c r="I55" s="185"/>
      <c r="J55" s="185"/>
      <c r="K55" s="185"/>
      <c r="L55" s="185"/>
      <c r="M55" s="185"/>
      <c r="N55" s="185"/>
      <c r="O55" s="185"/>
      <c r="P55" s="185"/>
      <c r="Q55" s="185"/>
    </row>
    <row r="56" spans="1:17" s="186" customFormat="1" ht="24.75" customHeight="1">
      <c r="A56" s="148" t="s">
        <v>41</v>
      </c>
      <c r="B56" s="150" t="s">
        <v>41</v>
      </c>
      <c r="C56" s="184"/>
      <c r="D56" s="184"/>
      <c r="E56" s="184"/>
      <c r="F56" s="185"/>
      <c r="G56" s="185"/>
      <c r="H56" s="185"/>
      <c r="I56" s="185"/>
      <c r="J56" s="185"/>
      <c r="K56" s="185"/>
      <c r="L56" s="185"/>
      <c r="M56" s="185"/>
      <c r="N56" s="185"/>
      <c r="O56" s="185"/>
      <c r="P56" s="185"/>
      <c r="Q56" s="185"/>
    </row>
    <row r="57" spans="1:17" s="186" customFormat="1" ht="33">
      <c r="A57" s="151" t="s">
        <v>139</v>
      </c>
      <c r="B57" s="155" t="s">
        <v>18</v>
      </c>
      <c r="C57" s="184"/>
      <c r="D57" s="184"/>
      <c r="E57" s="184"/>
      <c r="F57" s="185"/>
      <c r="G57" s="185"/>
      <c r="H57" s="185"/>
      <c r="I57" s="185"/>
      <c r="J57" s="185"/>
      <c r="K57" s="185"/>
      <c r="L57" s="185"/>
      <c r="M57" s="185"/>
      <c r="N57" s="185"/>
      <c r="O57" s="185"/>
      <c r="P57" s="185"/>
      <c r="Q57" s="185"/>
    </row>
    <row r="58" spans="1:17" s="186" customFormat="1" ht="24.75" customHeight="1">
      <c r="A58" s="148">
        <v>1</v>
      </c>
      <c r="B58" s="172" t="s">
        <v>180</v>
      </c>
      <c r="C58" s="184"/>
      <c r="D58" s="184"/>
      <c r="E58" s="184"/>
      <c r="F58" s="185"/>
      <c r="G58" s="185"/>
      <c r="H58" s="185"/>
      <c r="I58" s="185"/>
      <c r="J58" s="185"/>
      <c r="K58" s="185"/>
      <c r="L58" s="185"/>
      <c r="M58" s="185"/>
      <c r="N58" s="185"/>
      <c r="O58" s="185"/>
      <c r="P58" s="185"/>
      <c r="Q58" s="185"/>
    </row>
    <row r="59" spans="1:17" s="186" customFormat="1" ht="24.75" customHeight="1">
      <c r="A59" s="148">
        <v>2</v>
      </c>
      <c r="B59" s="172" t="s">
        <v>180</v>
      </c>
      <c r="C59" s="184"/>
      <c r="D59" s="184"/>
      <c r="E59" s="184"/>
      <c r="F59" s="185"/>
      <c r="G59" s="185"/>
      <c r="H59" s="185"/>
      <c r="I59" s="185"/>
      <c r="J59" s="185"/>
      <c r="K59" s="185"/>
      <c r="L59" s="185"/>
      <c r="M59" s="185"/>
      <c r="N59" s="185"/>
      <c r="O59" s="185"/>
      <c r="P59" s="185"/>
      <c r="Q59" s="185"/>
    </row>
    <row r="60" spans="1:17" s="186" customFormat="1" ht="24.75" customHeight="1">
      <c r="A60" s="148" t="s">
        <v>41</v>
      </c>
      <c r="B60" s="150" t="s">
        <v>41</v>
      </c>
      <c r="C60" s="184"/>
      <c r="D60" s="184"/>
      <c r="E60" s="184"/>
      <c r="F60" s="185"/>
      <c r="G60" s="185"/>
      <c r="H60" s="185"/>
      <c r="I60" s="185"/>
      <c r="J60" s="185"/>
      <c r="K60" s="185"/>
      <c r="L60" s="185"/>
      <c r="M60" s="185"/>
      <c r="N60" s="185"/>
      <c r="O60" s="185"/>
      <c r="P60" s="185"/>
      <c r="Q60" s="185"/>
    </row>
    <row r="61" spans="1:17" s="186" customFormat="1" ht="49.5">
      <c r="A61" s="151" t="s">
        <v>184</v>
      </c>
      <c r="B61" s="155" t="s">
        <v>183</v>
      </c>
      <c r="C61" s="184"/>
      <c r="D61" s="184"/>
      <c r="E61" s="184"/>
      <c r="F61" s="185"/>
      <c r="G61" s="185"/>
      <c r="H61" s="185"/>
      <c r="I61" s="185"/>
      <c r="J61" s="185"/>
      <c r="K61" s="185"/>
      <c r="L61" s="185"/>
      <c r="M61" s="185"/>
      <c r="N61" s="185"/>
      <c r="O61" s="185"/>
      <c r="P61" s="185"/>
      <c r="Q61" s="185"/>
    </row>
    <row r="62" spans="1:17" s="186" customFormat="1" ht="24.75" customHeight="1">
      <c r="A62" s="148">
        <v>1</v>
      </c>
      <c r="B62" s="172" t="s">
        <v>180</v>
      </c>
      <c r="C62" s="184"/>
      <c r="D62" s="184"/>
      <c r="E62" s="184"/>
      <c r="F62" s="185"/>
      <c r="G62" s="185"/>
      <c r="H62" s="185"/>
      <c r="I62" s="185"/>
      <c r="J62" s="185"/>
      <c r="K62" s="185"/>
      <c r="L62" s="185"/>
      <c r="M62" s="185"/>
      <c r="N62" s="185"/>
      <c r="O62" s="185"/>
      <c r="P62" s="185"/>
      <c r="Q62" s="185"/>
    </row>
    <row r="63" spans="1:17" s="186" customFormat="1" ht="24.75" customHeight="1">
      <c r="A63" s="148">
        <v>2</v>
      </c>
      <c r="B63" s="172" t="s">
        <v>180</v>
      </c>
      <c r="C63" s="184"/>
      <c r="D63" s="184"/>
      <c r="E63" s="184"/>
      <c r="F63" s="185"/>
      <c r="G63" s="185"/>
      <c r="H63" s="185"/>
      <c r="I63" s="185"/>
      <c r="J63" s="185"/>
      <c r="K63" s="185"/>
      <c r="L63" s="185"/>
      <c r="M63" s="185"/>
      <c r="N63" s="185"/>
      <c r="O63" s="185"/>
      <c r="P63" s="185"/>
      <c r="Q63" s="185"/>
    </row>
    <row r="64" spans="1:17" s="186" customFormat="1" ht="24.75" customHeight="1">
      <c r="A64" s="148" t="s">
        <v>41</v>
      </c>
      <c r="B64" s="150" t="s">
        <v>41</v>
      </c>
      <c r="C64" s="184"/>
      <c r="D64" s="184"/>
      <c r="E64" s="184"/>
      <c r="F64" s="185"/>
      <c r="G64" s="185"/>
      <c r="H64" s="185"/>
      <c r="I64" s="185"/>
      <c r="J64" s="185"/>
      <c r="K64" s="185"/>
      <c r="L64" s="185"/>
      <c r="M64" s="185"/>
      <c r="N64" s="185"/>
      <c r="O64" s="185"/>
      <c r="P64" s="185"/>
      <c r="Q64" s="185"/>
    </row>
    <row r="65" spans="1:19" s="186" customFormat="1" ht="33">
      <c r="A65" s="151" t="s">
        <v>186</v>
      </c>
      <c r="B65" s="155" t="s">
        <v>187</v>
      </c>
      <c r="C65" s="184"/>
      <c r="D65" s="184"/>
      <c r="E65" s="184"/>
      <c r="F65" s="185"/>
      <c r="G65" s="185"/>
      <c r="H65" s="185"/>
      <c r="I65" s="185"/>
      <c r="J65" s="185"/>
      <c r="K65" s="185"/>
      <c r="L65" s="185"/>
      <c r="M65" s="185"/>
      <c r="N65" s="185"/>
      <c r="O65" s="185"/>
      <c r="P65" s="185"/>
      <c r="Q65" s="185"/>
    </row>
    <row r="66" spans="1:19" s="186" customFormat="1" ht="24.75" customHeight="1">
      <c r="A66" s="148">
        <v>1</v>
      </c>
      <c r="B66" s="172" t="s">
        <v>180</v>
      </c>
      <c r="C66" s="184"/>
      <c r="D66" s="184"/>
      <c r="E66" s="184"/>
      <c r="F66" s="185"/>
      <c r="G66" s="185"/>
      <c r="H66" s="185"/>
      <c r="I66" s="185"/>
      <c r="J66" s="185"/>
      <c r="K66" s="185"/>
      <c r="L66" s="185"/>
      <c r="M66" s="185"/>
      <c r="N66" s="185"/>
      <c r="O66" s="185"/>
      <c r="P66" s="185"/>
      <c r="Q66" s="185"/>
    </row>
    <row r="67" spans="1:19" s="186" customFormat="1" ht="24.75" customHeight="1">
      <c r="A67" s="148">
        <v>2</v>
      </c>
      <c r="B67" s="172" t="s">
        <v>180</v>
      </c>
      <c r="C67" s="184"/>
      <c r="D67" s="184"/>
      <c r="E67" s="184"/>
      <c r="F67" s="185"/>
      <c r="G67" s="185"/>
      <c r="H67" s="185"/>
      <c r="I67" s="185"/>
      <c r="J67" s="185"/>
      <c r="K67" s="185"/>
      <c r="L67" s="185"/>
      <c r="M67" s="185"/>
      <c r="N67" s="185"/>
      <c r="O67" s="185"/>
      <c r="P67" s="185"/>
      <c r="Q67" s="185"/>
    </row>
    <row r="68" spans="1:19" s="186" customFormat="1" ht="24.75" customHeight="1">
      <c r="A68" s="148" t="s">
        <v>41</v>
      </c>
      <c r="B68" s="150" t="s">
        <v>41</v>
      </c>
      <c r="C68" s="184"/>
      <c r="D68" s="184"/>
      <c r="E68" s="184"/>
      <c r="F68" s="185"/>
      <c r="G68" s="185"/>
      <c r="H68" s="185"/>
      <c r="I68" s="185"/>
      <c r="J68" s="185"/>
      <c r="K68" s="185"/>
      <c r="L68" s="185"/>
      <c r="M68" s="185"/>
      <c r="N68" s="185"/>
      <c r="O68" s="185"/>
      <c r="P68" s="185"/>
      <c r="Q68" s="185"/>
    </row>
    <row r="69" spans="1:19" ht="7.9" customHeight="1">
      <c r="A69" s="187"/>
      <c r="B69" s="155"/>
      <c r="C69" s="188"/>
      <c r="D69" s="188"/>
      <c r="E69" s="188"/>
      <c r="F69" s="188"/>
      <c r="G69" s="188"/>
      <c r="H69" s="188"/>
      <c r="I69" s="188"/>
      <c r="J69" s="188"/>
      <c r="K69" s="188"/>
      <c r="L69" s="183"/>
      <c r="M69" s="183"/>
      <c r="N69" s="183"/>
      <c r="O69" s="183"/>
      <c r="P69" s="183"/>
      <c r="Q69" s="183"/>
      <c r="S69" s="175" t="s">
        <v>194</v>
      </c>
    </row>
    <row r="71" spans="1:19" ht="15.75">
      <c r="B71" s="173" t="s">
        <v>19</v>
      </c>
    </row>
    <row r="72" spans="1:19" ht="15.75">
      <c r="B72" s="174" t="s">
        <v>20</v>
      </c>
    </row>
  </sheetData>
  <mergeCells count="26">
    <mergeCell ref="A1:I1"/>
    <mergeCell ref="J1:Q1"/>
    <mergeCell ref="A2:I2"/>
    <mergeCell ref="J2:Q2"/>
    <mergeCell ref="A3:Q3"/>
    <mergeCell ref="A5:Q5"/>
    <mergeCell ref="F10:F11"/>
    <mergeCell ref="G10:G11"/>
    <mergeCell ref="H10:H11"/>
    <mergeCell ref="I10:I11"/>
    <mergeCell ref="A6:Q6"/>
    <mergeCell ref="A7:Q7"/>
    <mergeCell ref="M8:Q8"/>
    <mergeCell ref="A9:A11"/>
    <mergeCell ref="B9:B11"/>
    <mergeCell ref="C9:E9"/>
    <mergeCell ref="F9:H9"/>
    <mergeCell ref="I9:K9"/>
    <mergeCell ref="L9:Q9"/>
    <mergeCell ref="C10:C11"/>
    <mergeCell ref="J10:J11"/>
    <mergeCell ref="K10:K11"/>
    <mergeCell ref="L10:N10"/>
    <mergeCell ref="O10:Q10"/>
    <mergeCell ref="D10:D11"/>
    <mergeCell ref="E10:E11"/>
  </mergeCells>
  <pageMargins left="0.23622047244094491" right="0.23622047244094491" top="0.74803149606299213" bottom="0.74803149606299213" header="0.31496062992125984" footer="0.31496062992125984"/>
  <pageSetup paperSize="9" scale="70" fitToHeight="0" orientation="landscape" useFirstPageNumber="1"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X633"/>
  <sheetViews>
    <sheetView zoomScale="70" zoomScaleNormal="70" workbookViewId="0">
      <pane xSplit="6" ySplit="6" topLeftCell="G362" activePane="bottomRight" state="frozen"/>
      <selection pane="topRight" activeCell="G1" sqref="G1"/>
      <selection pane="bottomLeft" activeCell="A7" sqref="A7"/>
      <selection pane="bottomRight" activeCell="M363" sqref="M363"/>
    </sheetView>
  </sheetViews>
  <sheetFormatPr defaultColWidth="10.28515625" defaultRowHeight="12.75"/>
  <cols>
    <col min="1" max="1" width="5.7109375" style="207" customWidth="1"/>
    <col min="2" max="2" width="40.7109375" style="207" customWidth="1"/>
    <col min="3" max="3" width="10.28515625" style="207" hidden="1" customWidth="1"/>
    <col min="4" max="4" width="10.85546875" style="207" hidden="1" customWidth="1"/>
    <col min="5" max="6" width="10.28515625" style="207" hidden="1" customWidth="1"/>
    <col min="7" max="8" width="10.42578125" style="207" bestFit="1" customWidth="1"/>
    <col min="9" max="9" width="10.28515625" style="207" hidden="1" customWidth="1"/>
    <col min="10" max="10" width="10.42578125" style="207" bestFit="1" customWidth="1"/>
    <col min="11" max="11" width="10.28515625" style="207" hidden="1" customWidth="1"/>
    <col min="12" max="12" width="9.140625" style="207" hidden="1" customWidth="1"/>
    <col min="13" max="13" width="22.140625" style="208" customWidth="1"/>
    <col min="14" max="14" width="13.7109375" style="207" customWidth="1"/>
    <col min="15" max="15" width="11.7109375" style="207" hidden="1" customWidth="1"/>
    <col min="16" max="16" width="12.28515625" style="207" customWidth="1"/>
    <col min="17" max="17" width="12.85546875" style="207" customWidth="1"/>
    <col min="18" max="18" width="10.7109375" style="207" hidden="1" customWidth="1"/>
    <col min="19" max="19" width="12.7109375" style="207" customWidth="1"/>
    <col min="20" max="20" width="12.5703125" style="207" customWidth="1"/>
    <col min="21" max="22" width="13" style="207" customWidth="1"/>
    <col min="23" max="26" width="11.140625" style="209" customWidth="1"/>
    <col min="27" max="27" width="12.85546875" style="207" customWidth="1"/>
    <col min="28" max="28" width="10.7109375" style="207" hidden="1" customWidth="1"/>
    <col min="29" max="29" width="12.7109375" style="207" customWidth="1"/>
    <col min="30" max="30" width="12.5703125" style="207" customWidth="1"/>
    <col min="31" max="31" width="13" style="207" customWidth="1"/>
    <col min="32" max="39" width="11.140625" style="209" customWidth="1"/>
    <col min="40" max="40" width="37.7109375" style="207" customWidth="1"/>
    <col min="41" max="41" width="18.140625" style="207" customWidth="1"/>
    <col min="42" max="42" width="11.42578125" style="207" bestFit="1" customWidth="1"/>
    <col min="43" max="43" width="20.140625" style="207" customWidth="1"/>
    <col min="44" max="44" width="19.42578125" style="207" customWidth="1"/>
    <col min="45" max="45" width="13.7109375" style="207" customWidth="1"/>
    <col min="46" max="46" width="10.42578125" style="207" bestFit="1" customWidth="1"/>
    <col min="47" max="47" width="15.85546875" style="207" customWidth="1"/>
    <col min="48" max="53" width="10.42578125" style="207" bestFit="1" customWidth="1"/>
    <col min="54" max="16384" width="10.28515625" style="207"/>
  </cols>
  <sheetData>
    <row r="1" spans="1:53">
      <c r="B1" s="207">
        <v>1</v>
      </c>
      <c r="C1" s="207">
        <v>2</v>
      </c>
      <c r="D1" s="207">
        <v>3</v>
      </c>
      <c r="E1" s="207">
        <v>4</v>
      </c>
      <c r="F1" s="207">
        <v>5</v>
      </c>
      <c r="G1" s="207">
        <v>6</v>
      </c>
      <c r="H1" s="207">
        <v>7</v>
      </c>
      <c r="I1" s="207">
        <v>8</v>
      </c>
      <c r="J1" s="207">
        <v>9</v>
      </c>
      <c r="K1" s="207">
        <v>10</v>
      </c>
      <c r="L1" s="207">
        <v>11</v>
      </c>
      <c r="M1" s="208">
        <v>12</v>
      </c>
      <c r="N1" s="207">
        <v>13</v>
      </c>
      <c r="P1" s="207">
        <v>15</v>
      </c>
      <c r="Q1" s="207">
        <v>16</v>
      </c>
      <c r="S1" s="207">
        <v>18</v>
      </c>
      <c r="T1" s="207">
        <v>19</v>
      </c>
      <c r="U1" s="207">
        <v>20</v>
      </c>
      <c r="V1" s="207">
        <v>21</v>
      </c>
      <c r="W1" s="209">
        <v>22</v>
      </c>
      <c r="X1" s="209">
        <v>23</v>
      </c>
      <c r="Y1" s="209">
        <v>24</v>
      </c>
      <c r="Z1" s="209">
        <v>25</v>
      </c>
      <c r="AA1" s="207">
        <v>26</v>
      </c>
      <c r="AC1" s="207">
        <v>28</v>
      </c>
      <c r="AD1" s="207">
        <v>29</v>
      </c>
      <c r="AE1" s="207">
        <v>30</v>
      </c>
      <c r="AF1" s="209">
        <v>32</v>
      </c>
      <c r="AG1" s="209">
        <v>32</v>
      </c>
      <c r="AN1" s="207">
        <v>33</v>
      </c>
      <c r="AO1" s="207">
        <v>34</v>
      </c>
      <c r="AP1" s="207">
        <v>35</v>
      </c>
      <c r="AQ1" s="207">
        <v>36</v>
      </c>
      <c r="AR1" s="207">
        <v>37</v>
      </c>
      <c r="AS1" s="207">
        <v>38</v>
      </c>
      <c r="AT1" s="207">
        <v>39</v>
      </c>
      <c r="AU1" s="207">
        <v>40</v>
      </c>
      <c r="AV1" s="207">
        <v>41</v>
      </c>
      <c r="AW1" s="207">
        <v>42</v>
      </c>
      <c r="AX1" s="207">
        <v>43</v>
      </c>
      <c r="AY1" s="207">
        <v>44</v>
      </c>
      <c r="AZ1" s="207">
        <v>45</v>
      </c>
      <c r="BA1" s="207">
        <v>46</v>
      </c>
    </row>
    <row r="2" spans="1:53" ht="16.5" customHeight="1">
      <c r="A2" s="1703" t="s">
        <v>285</v>
      </c>
      <c r="B2" s="1703" t="s">
        <v>23</v>
      </c>
      <c r="C2" s="1703" t="s">
        <v>286</v>
      </c>
      <c r="D2" s="1703"/>
      <c r="E2" s="1703" t="s">
        <v>287</v>
      </c>
      <c r="F2" s="1703" t="s">
        <v>288</v>
      </c>
      <c r="G2" s="1704" t="s">
        <v>289</v>
      </c>
      <c r="H2" s="1678" t="s">
        <v>290</v>
      </c>
      <c r="I2" s="1678" t="s">
        <v>291</v>
      </c>
      <c r="J2" s="1679" t="s">
        <v>292</v>
      </c>
      <c r="K2" s="1679" t="s">
        <v>293</v>
      </c>
      <c r="L2" s="1680" t="s">
        <v>27</v>
      </c>
      <c r="M2" s="1681"/>
      <c r="N2" s="1681"/>
      <c r="O2" s="1681"/>
      <c r="P2" s="1682"/>
      <c r="Q2" s="1686" t="s">
        <v>294</v>
      </c>
      <c r="R2" s="1686"/>
      <c r="S2" s="1686"/>
      <c r="T2" s="1699" t="s">
        <v>295</v>
      </c>
      <c r="U2" s="1699"/>
      <c r="V2" s="1700" t="s">
        <v>296</v>
      </c>
      <c r="W2" s="1683" t="s">
        <v>297</v>
      </c>
      <c r="X2" s="1683" t="s">
        <v>284</v>
      </c>
      <c r="Y2" s="1683" t="s">
        <v>298</v>
      </c>
      <c r="Z2" s="1683" t="s">
        <v>299</v>
      </c>
      <c r="AA2" s="1686" t="s">
        <v>300</v>
      </c>
      <c r="AB2" s="1686"/>
      <c r="AC2" s="1686"/>
      <c r="AD2" s="1699" t="s">
        <v>295</v>
      </c>
      <c r="AE2" s="1699"/>
      <c r="AF2" s="1683" t="s">
        <v>301</v>
      </c>
      <c r="AG2" s="1683" t="s">
        <v>284</v>
      </c>
      <c r="AH2" s="1683" t="s">
        <v>302</v>
      </c>
      <c r="AI2" s="1683" t="s">
        <v>303</v>
      </c>
      <c r="AJ2" s="1693" t="s">
        <v>304</v>
      </c>
      <c r="AK2" s="1694"/>
      <c r="AL2" s="1693" t="s">
        <v>295</v>
      </c>
      <c r="AM2" s="1694"/>
      <c r="AN2" s="1686" t="s">
        <v>7</v>
      </c>
      <c r="AQ2" s="1677" t="s">
        <v>305</v>
      </c>
      <c r="AR2" s="1677" t="s">
        <v>287</v>
      </c>
      <c r="AS2" s="1677" t="s">
        <v>306</v>
      </c>
      <c r="AT2" s="1675" t="s">
        <v>307</v>
      </c>
      <c r="AU2" s="1676" t="s">
        <v>282</v>
      </c>
      <c r="AV2" s="1665"/>
      <c r="AW2" s="1665"/>
      <c r="AX2" s="1665"/>
      <c r="AY2" s="1666" t="s">
        <v>2343</v>
      </c>
      <c r="AZ2" s="1666"/>
      <c r="BA2" s="1666"/>
    </row>
    <row r="3" spans="1:53">
      <c r="A3" s="1703"/>
      <c r="B3" s="1703"/>
      <c r="C3" s="1705" t="s">
        <v>308</v>
      </c>
      <c r="D3" s="1704" t="s">
        <v>9</v>
      </c>
      <c r="E3" s="1703"/>
      <c r="F3" s="1703"/>
      <c r="G3" s="1705"/>
      <c r="H3" s="1678"/>
      <c r="I3" s="1678"/>
      <c r="J3" s="1679"/>
      <c r="K3" s="1679"/>
      <c r="L3" s="1703" t="s">
        <v>309</v>
      </c>
      <c r="M3" s="1703" t="s">
        <v>310</v>
      </c>
      <c r="N3" s="1686" t="s">
        <v>311</v>
      </c>
      <c r="O3" s="1686"/>
      <c r="P3" s="1686"/>
      <c r="Q3" s="1686"/>
      <c r="R3" s="1686"/>
      <c r="S3" s="1686"/>
      <c r="T3" s="1699"/>
      <c r="U3" s="1699"/>
      <c r="V3" s="1701"/>
      <c r="W3" s="1684"/>
      <c r="X3" s="1684"/>
      <c r="Y3" s="1684"/>
      <c r="Z3" s="1684"/>
      <c r="AA3" s="1686"/>
      <c r="AB3" s="1686"/>
      <c r="AC3" s="1686"/>
      <c r="AD3" s="1699"/>
      <c r="AE3" s="1699"/>
      <c r="AF3" s="1684"/>
      <c r="AG3" s="1684"/>
      <c r="AH3" s="1684"/>
      <c r="AI3" s="1684"/>
      <c r="AJ3" s="1695"/>
      <c r="AK3" s="1696"/>
      <c r="AL3" s="1695"/>
      <c r="AM3" s="1696"/>
      <c r="AN3" s="1686"/>
      <c r="AQ3" s="1677"/>
      <c r="AR3" s="1677"/>
      <c r="AS3" s="1677"/>
      <c r="AT3" s="1675"/>
      <c r="AU3" s="1676"/>
      <c r="AV3" s="1665"/>
      <c r="AW3" s="1665"/>
      <c r="AX3" s="1665"/>
      <c r="AY3" s="1666"/>
      <c r="AZ3" s="1666"/>
      <c r="BA3" s="1666"/>
    </row>
    <row r="4" spans="1:53" ht="27.75" customHeight="1">
      <c r="A4" s="1703"/>
      <c r="B4" s="1703"/>
      <c r="C4" s="1705"/>
      <c r="D4" s="1705"/>
      <c r="E4" s="1703"/>
      <c r="F4" s="1703"/>
      <c r="G4" s="1705"/>
      <c r="H4" s="1678"/>
      <c r="I4" s="1678"/>
      <c r="J4" s="1679"/>
      <c r="K4" s="1679"/>
      <c r="L4" s="1703"/>
      <c r="M4" s="1703"/>
      <c r="N4" s="1686" t="s">
        <v>312</v>
      </c>
      <c r="O4" s="1687" t="s">
        <v>313</v>
      </c>
      <c r="P4" s="1688"/>
      <c r="Q4" s="1686" t="s">
        <v>9</v>
      </c>
      <c r="R4" s="1687" t="s">
        <v>313</v>
      </c>
      <c r="S4" s="1688"/>
      <c r="T4" s="1691" t="s">
        <v>9</v>
      </c>
      <c r="U4" s="1691" t="s">
        <v>314</v>
      </c>
      <c r="V4" s="1701"/>
      <c r="W4" s="1684"/>
      <c r="X4" s="1684"/>
      <c r="Y4" s="1684"/>
      <c r="Z4" s="1684"/>
      <c r="AA4" s="1686" t="s">
        <v>9</v>
      </c>
      <c r="AB4" s="1687" t="s">
        <v>313</v>
      </c>
      <c r="AC4" s="1688"/>
      <c r="AD4" s="1691" t="s">
        <v>9</v>
      </c>
      <c r="AE4" s="1691" t="s">
        <v>315</v>
      </c>
      <c r="AF4" s="1684"/>
      <c r="AG4" s="1684"/>
      <c r="AH4" s="1684"/>
      <c r="AI4" s="1684"/>
      <c r="AJ4" s="1683" t="s">
        <v>9</v>
      </c>
      <c r="AK4" s="1698" t="s">
        <v>313</v>
      </c>
      <c r="AL4" s="1683" t="s">
        <v>9</v>
      </c>
      <c r="AM4" s="1683" t="s">
        <v>316</v>
      </c>
      <c r="AN4" s="1686"/>
      <c r="AQ4" s="1677"/>
      <c r="AR4" s="1677"/>
      <c r="AS4" s="1677"/>
      <c r="AT4" s="1675"/>
      <c r="AU4" s="1676"/>
      <c r="AV4" s="1665"/>
      <c r="AW4" s="1665"/>
      <c r="AX4" s="1665"/>
      <c r="AY4" s="1666"/>
      <c r="AZ4" s="1666"/>
      <c r="BA4" s="1666"/>
    </row>
    <row r="5" spans="1:53" ht="30" customHeight="1">
      <c r="A5" s="1703"/>
      <c r="B5" s="1703"/>
      <c r="C5" s="1706"/>
      <c r="D5" s="1706"/>
      <c r="E5" s="1703"/>
      <c r="F5" s="1703"/>
      <c r="G5" s="1706"/>
      <c r="H5" s="1678"/>
      <c r="I5" s="1678"/>
      <c r="J5" s="1679"/>
      <c r="K5" s="1679"/>
      <c r="L5" s="1703"/>
      <c r="M5" s="1703"/>
      <c r="N5" s="1686"/>
      <c r="O5" s="1689"/>
      <c r="P5" s="1690"/>
      <c r="Q5" s="1686"/>
      <c r="R5" s="1689"/>
      <c r="S5" s="1690"/>
      <c r="T5" s="1692"/>
      <c r="U5" s="1692"/>
      <c r="V5" s="1702"/>
      <c r="W5" s="1685"/>
      <c r="X5" s="1685"/>
      <c r="Y5" s="1685"/>
      <c r="Z5" s="1685"/>
      <c r="AA5" s="1686"/>
      <c r="AB5" s="1689"/>
      <c r="AC5" s="1690"/>
      <c r="AD5" s="1692"/>
      <c r="AE5" s="1692"/>
      <c r="AF5" s="1685"/>
      <c r="AG5" s="1685"/>
      <c r="AH5" s="1685"/>
      <c r="AI5" s="1685"/>
      <c r="AJ5" s="1685"/>
      <c r="AK5" s="1698"/>
      <c r="AL5" s="1685"/>
      <c r="AM5" s="1685"/>
      <c r="AN5" s="1697"/>
      <c r="AQ5" s="1677"/>
      <c r="AR5" s="1677"/>
      <c r="AS5" s="1677"/>
      <c r="AT5" s="1675"/>
      <c r="AU5" s="1676"/>
      <c r="AV5" s="1466"/>
      <c r="AW5" s="1466"/>
      <c r="AX5" s="1466"/>
      <c r="AY5" s="1206" t="s">
        <v>9</v>
      </c>
      <c r="AZ5" s="1206" t="s">
        <v>2341</v>
      </c>
      <c r="BA5" s="1206" t="s">
        <v>2342</v>
      </c>
    </row>
    <row r="6" spans="1:53" ht="21" customHeight="1">
      <c r="A6" s="210">
        <v>1</v>
      </c>
      <c r="B6" s="210">
        <v>2</v>
      </c>
      <c r="C6" s="210">
        <v>3</v>
      </c>
      <c r="D6" s="210">
        <v>4</v>
      </c>
      <c r="E6" s="210">
        <v>5</v>
      </c>
      <c r="F6" s="210">
        <v>6</v>
      </c>
      <c r="G6" s="210">
        <v>7</v>
      </c>
      <c r="H6" s="210">
        <v>8</v>
      </c>
      <c r="I6" s="210">
        <v>9</v>
      </c>
      <c r="J6" s="210">
        <v>10</v>
      </c>
      <c r="K6" s="210">
        <v>11</v>
      </c>
      <c r="L6" s="210">
        <v>12</v>
      </c>
      <c r="M6" s="210">
        <v>13</v>
      </c>
      <c r="N6" s="210">
        <v>14</v>
      </c>
      <c r="O6" s="210">
        <v>15</v>
      </c>
      <c r="P6" s="210">
        <v>16</v>
      </c>
      <c r="Q6" s="210">
        <v>17</v>
      </c>
      <c r="R6" s="210">
        <v>18</v>
      </c>
      <c r="S6" s="210">
        <v>19</v>
      </c>
      <c r="T6" s="210">
        <v>20</v>
      </c>
      <c r="U6" s="210">
        <v>21</v>
      </c>
      <c r="V6" s="210">
        <v>22</v>
      </c>
      <c r="W6" s="210">
        <v>23</v>
      </c>
      <c r="X6" s="210">
        <v>24</v>
      </c>
      <c r="Y6" s="210">
        <v>25</v>
      </c>
      <c r="Z6" s="210">
        <v>26</v>
      </c>
      <c r="AA6" s="210">
        <v>27</v>
      </c>
      <c r="AB6" s="210">
        <v>28</v>
      </c>
      <c r="AC6" s="210">
        <v>29</v>
      </c>
      <c r="AD6" s="210">
        <v>30</v>
      </c>
      <c r="AE6" s="210">
        <v>31</v>
      </c>
      <c r="AF6" s="210">
        <v>32</v>
      </c>
      <c r="AG6" s="210">
        <v>33</v>
      </c>
      <c r="AH6" s="210">
        <v>34</v>
      </c>
      <c r="AI6" s="210">
        <v>35</v>
      </c>
      <c r="AJ6" s="210">
        <v>36</v>
      </c>
      <c r="AK6" s="210">
        <v>37</v>
      </c>
      <c r="AL6" s="210">
        <v>38</v>
      </c>
      <c r="AM6" s="210">
        <v>39</v>
      </c>
      <c r="AN6" s="210">
        <v>40</v>
      </c>
      <c r="AO6" s="210">
        <v>41</v>
      </c>
      <c r="AP6" s="210">
        <v>42</v>
      </c>
      <c r="AQ6" s="210">
        <v>43</v>
      </c>
      <c r="AR6" s="210">
        <v>44</v>
      </c>
      <c r="AS6" s="210">
        <v>45</v>
      </c>
      <c r="AT6" s="210">
        <v>46</v>
      </c>
      <c r="AU6" s="210">
        <v>47</v>
      </c>
      <c r="AV6" s="210">
        <v>48</v>
      </c>
      <c r="AW6" s="210">
        <v>49</v>
      </c>
      <c r="AX6" s="210">
        <v>50</v>
      </c>
      <c r="AY6" s="210">
        <v>51</v>
      </c>
      <c r="AZ6" s="210">
        <v>52</v>
      </c>
      <c r="BA6" s="210">
        <v>53</v>
      </c>
    </row>
    <row r="7" spans="1:53">
      <c r="A7" s="210"/>
      <c r="B7" s="211" t="s">
        <v>317</v>
      </c>
      <c r="C7" s="212"/>
      <c r="D7" s="212"/>
      <c r="E7" s="210"/>
      <c r="F7" s="210"/>
      <c r="G7" s="210"/>
      <c r="H7" s="210"/>
      <c r="I7" s="210"/>
      <c r="J7" s="210"/>
      <c r="K7" s="210"/>
      <c r="L7" s="210"/>
      <c r="M7" s="210"/>
      <c r="N7" s="213">
        <f t="shared" ref="N7:U7" si="0">SUBTOTAL(109,N12:N455)</f>
        <v>6753915.0562222218</v>
      </c>
      <c r="O7" s="213">
        <f t="shared" si="0"/>
        <v>943034</v>
      </c>
      <c r="P7" s="213">
        <f t="shared" si="0"/>
        <v>3675823.0762222223</v>
      </c>
      <c r="Q7" s="213">
        <f t="shared" si="0"/>
        <v>1965207</v>
      </c>
      <c r="R7" s="213">
        <f t="shared" si="0"/>
        <v>259978</v>
      </c>
      <c r="S7" s="213">
        <f t="shared" si="0"/>
        <v>939409</v>
      </c>
      <c r="T7" s="213">
        <f t="shared" si="0"/>
        <v>2156357.21</v>
      </c>
      <c r="U7" s="213">
        <f t="shared" si="0"/>
        <v>1496696.9</v>
      </c>
      <c r="V7" s="213"/>
      <c r="W7" s="214">
        <f>SUBTOTAL(109,W8:W455)</f>
        <v>737257.40000000014</v>
      </c>
      <c r="X7" s="214"/>
      <c r="Y7" s="214"/>
      <c r="Z7" s="214"/>
      <c r="AA7" s="213">
        <f t="shared" ref="AA7:AF7" si="1">SUBTOTAL(109,AA12:AA455)</f>
        <v>2687931.6</v>
      </c>
      <c r="AB7" s="213">
        <f t="shared" si="1"/>
        <v>897414.6</v>
      </c>
      <c r="AC7" s="213">
        <f t="shared" si="1"/>
        <v>1569170.6</v>
      </c>
      <c r="AD7" s="213">
        <f t="shared" si="1"/>
        <v>2296822.61</v>
      </c>
      <c r="AE7" s="213">
        <f t="shared" si="1"/>
        <v>1131898.4100000001</v>
      </c>
      <c r="AF7" s="213">
        <f t="shared" si="1"/>
        <v>524131.6</v>
      </c>
      <c r="AG7" s="214"/>
      <c r="AH7" s="214"/>
      <c r="AI7" s="214"/>
      <c r="AJ7" s="214"/>
      <c r="AK7" s="214"/>
      <c r="AL7" s="214"/>
      <c r="AM7" s="214"/>
      <c r="AN7" s="213" t="e">
        <f>'[4]1NGUON'!#REF!</f>
        <v>#REF!</v>
      </c>
      <c r="AQ7" s="215"/>
      <c r="AR7" s="215"/>
      <c r="AS7" s="216"/>
      <c r="AY7" s="216"/>
      <c r="AZ7" s="216"/>
      <c r="BA7" s="216"/>
    </row>
    <row r="8" spans="1:53">
      <c r="A8" s="210"/>
      <c r="B8" s="211" t="s">
        <v>318</v>
      </c>
      <c r="C8" s="212"/>
      <c r="D8" s="212"/>
      <c r="E8" s="210"/>
      <c r="F8" s="210"/>
      <c r="G8" s="210"/>
      <c r="H8" s="210"/>
      <c r="I8" s="210"/>
      <c r="J8" s="210"/>
      <c r="K8" s="210"/>
      <c r="L8" s="210"/>
      <c r="M8" s="210"/>
      <c r="N8" s="213"/>
      <c r="O8" s="213"/>
      <c r="P8" s="213"/>
      <c r="Q8" s="213"/>
      <c r="R8" s="213"/>
      <c r="S8" s="213"/>
      <c r="T8" s="213"/>
      <c r="U8" s="213"/>
      <c r="V8" s="214">
        <v>5000</v>
      </c>
      <c r="W8" s="214">
        <v>5000</v>
      </c>
      <c r="X8" s="214"/>
      <c r="Y8" s="214"/>
      <c r="Z8" s="214"/>
      <c r="AA8" s="213"/>
      <c r="AB8" s="213"/>
      <c r="AC8" s="213"/>
      <c r="AD8" s="213"/>
      <c r="AE8" s="213"/>
      <c r="AF8" s="214"/>
      <c r="AG8" s="214"/>
      <c r="AH8" s="214"/>
      <c r="AI8" s="214"/>
      <c r="AJ8" s="214"/>
      <c r="AK8" s="214"/>
      <c r="AL8" s="214"/>
      <c r="AM8" s="214"/>
      <c r="AN8" s="213"/>
      <c r="AO8" s="217"/>
      <c r="AQ8" s="215"/>
      <c r="AR8" s="215"/>
      <c r="AS8" s="216"/>
      <c r="AY8" s="216"/>
      <c r="AZ8" s="216"/>
      <c r="BA8" s="216"/>
    </row>
    <row r="9" spans="1:53">
      <c r="A9" s="210"/>
      <c r="B9" s="211" t="s">
        <v>319</v>
      </c>
      <c r="C9" s="212"/>
      <c r="D9" s="212"/>
      <c r="E9" s="210"/>
      <c r="F9" s="210"/>
      <c r="G9" s="210"/>
      <c r="H9" s="210"/>
      <c r="I9" s="210"/>
      <c r="J9" s="210"/>
      <c r="K9" s="210"/>
      <c r="L9" s="210"/>
      <c r="M9" s="210"/>
      <c r="N9" s="213"/>
      <c r="O9" s="213"/>
      <c r="P9" s="213"/>
      <c r="Q9" s="213"/>
      <c r="R9" s="213"/>
      <c r="S9" s="213"/>
      <c r="T9" s="213"/>
      <c r="U9" s="213"/>
      <c r="V9" s="214">
        <v>1000</v>
      </c>
      <c r="W9" s="214">
        <v>1000</v>
      </c>
      <c r="X9" s="214"/>
      <c r="Y9" s="214"/>
      <c r="Z9" s="214"/>
      <c r="AA9" s="213"/>
      <c r="AB9" s="213"/>
      <c r="AC9" s="213"/>
      <c r="AD9" s="213"/>
      <c r="AE9" s="213"/>
      <c r="AF9" s="214"/>
      <c r="AG9" s="214"/>
      <c r="AH9" s="214"/>
      <c r="AI9" s="214"/>
      <c r="AJ9" s="214"/>
      <c r="AK9" s="214"/>
      <c r="AL9" s="214"/>
      <c r="AM9" s="214"/>
      <c r="AN9" s="213"/>
      <c r="AQ9" s="215"/>
      <c r="AR9" s="215"/>
      <c r="AS9" s="216"/>
      <c r="AY9" s="216"/>
      <c r="AZ9" s="216"/>
      <c r="BA9" s="216"/>
    </row>
    <row r="10" spans="1:53">
      <c r="A10" s="210"/>
      <c r="B10" s="211" t="s">
        <v>320</v>
      </c>
      <c r="C10" s="212"/>
      <c r="D10" s="212"/>
      <c r="E10" s="210"/>
      <c r="F10" s="210"/>
      <c r="G10" s="210"/>
      <c r="H10" s="210"/>
      <c r="I10" s="210"/>
      <c r="J10" s="210"/>
      <c r="K10" s="210"/>
      <c r="L10" s="210"/>
      <c r="M10" s="210"/>
      <c r="N10" s="213"/>
      <c r="O10" s="213"/>
      <c r="P10" s="213"/>
      <c r="Q10" s="213"/>
      <c r="R10" s="213"/>
      <c r="S10" s="213"/>
      <c r="T10" s="213"/>
      <c r="U10" s="213"/>
      <c r="V10" s="214">
        <v>53750</v>
      </c>
      <c r="W10" s="214">
        <v>53750</v>
      </c>
      <c r="X10" s="214"/>
      <c r="Y10" s="214"/>
      <c r="Z10" s="214"/>
      <c r="AA10" s="213"/>
      <c r="AB10" s="213"/>
      <c r="AC10" s="213"/>
      <c r="AD10" s="213"/>
      <c r="AE10" s="213"/>
      <c r="AF10" s="214"/>
      <c r="AG10" s="214"/>
      <c r="AH10" s="214"/>
      <c r="AI10" s="214"/>
      <c r="AJ10" s="214"/>
      <c r="AK10" s="214"/>
      <c r="AL10" s="214"/>
      <c r="AM10" s="214"/>
      <c r="AN10" s="213"/>
      <c r="AQ10" s="215"/>
      <c r="AR10" s="215"/>
      <c r="AS10" s="216"/>
      <c r="AY10" s="216"/>
      <c r="AZ10" s="216"/>
      <c r="BA10" s="216"/>
    </row>
    <row r="11" spans="1:53">
      <c r="A11" s="210"/>
      <c r="B11" s="211" t="s">
        <v>321</v>
      </c>
      <c r="C11" s="212"/>
      <c r="D11" s="212"/>
      <c r="E11" s="210"/>
      <c r="F11" s="210"/>
      <c r="G11" s="210"/>
      <c r="H11" s="210"/>
      <c r="I11" s="210"/>
      <c r="J11" s="210"/>
      <c r="K11" s="210"/>
      <c r="L11" s="210"/>
      <c r="M11" s="210"/>
      <c r="N11" s="213"/>
      <c r="O11" s="213"/>
      <c r="P11" s="213"/>
      <c r="Q11" s="213"/>
      <c r="R11" s="213"/>
      <c r="S11" s="213"/>
      <c r="T11" s="213"/>
      <c r="U11" s="213"/>
      <c r="V11" s="214">
        <v>10000</v>
      </c>
      <c r="W11" s="214">
        <v>10000</v>
      </c>
      <c r="X11" s="214"/>
      <c r="Y11" s="214"/>
      <c r="Z11" s="214"/>
      <c r="AA11" s="213"/>
      <c r="AB11" s="213"/>
      <c r="AC11" s="213"/>
      <c r="AD11" s="213"/>
      <c r="AE11" s="213"/>
      <c r="AF11" s="214"/>
      <c r="AG11" s="214"/>
      <c r="AH11" s="214"/>
      <c r="AI11" s="214"/>
      <c r="AJ11" s="214"/>
      <c r="AK11" s="214"/>
      <c r="AL11" s="214"/>
      <c r="AM11" s="214"/>
      <c r="AN11" s="213"/>
      <c r="AQ11" s="215"/>
      <c r="AR11" s="215"/>
      <c r="AS11" s="216"/>
      <c r="AY11" s="216"/>
      <c r="AZ11" s="216"/>
      <c r="BA11" s="216"/>
    </row>
    <row r="12" spans="1:53" s="224" customFormat="1" ht="13.5">
      <c r="A12" s="218" t="s">
        <v>33</v>
      </c>
      <c r="B12" s="219" t="s">
        <v>322</v>
      </c>
      <c r="C12" s="220"/>
      <c r="D12" s="220"/>
      <c r="E12" s="218"/>
      <c r="F12" s="218"/>
      <c r="G12" s="218"/>
      <c r="H12" s="218"/>
      <c r="I12" s="218"/>
      <c r="J12" s="218"/>
      <c r="K12" s="218"/>
      <c r="L12" s="218"/>
      <c r="M12" s="218"/>
      <c r="N12" s="221">
        <f t="shared" ref="N12:W12" si="2">SUBTOTAL(109,N13:N22)</f>
        <v>44348.222222222219</v>
      </c>
      <c r="O12" s="221">
        <f t="shared" si="2"/>
        <v>0</v>
      </c>
      <c r="P12" s="221">
        <f t="shared" si="2"/>
        <v>41048.222222222219</v>
      </c>
      <c r="Q12" s="221">
        <f t="shared" si="2"/>
        <v>2797</v>
      </c>
      <c r="R12" s="221">
        <f t="shared" si="2"/>
        <v>0</v>
      </c>
      <c r="S12" s="221">
        <f t="shared" si="2"/>
        <v>2797</v>
      </c>
      <c r="T12" s="221">
        <f t="shared" si="2"/>
        <v>36501</v>
      </c>
      <c r="U12" s="221">
        <f t="shared" si="2"/>
        <v>33836.6</v>
      </c>
      <c r="V12" s="221"/>
      <c r="W12" s="222">
        <f t="shared" si="2"/>
        <v>21557.8</v>
      </c>
      <c r="X12" s="222"/>
      <c r="Y12" s="222"/>
      <c r="Z12" s="222"/>
      <c r="AA12" s="221">
        <f t="shared" ref="AA12:AC12" si="3">SUBTOTAL(109,AA13:AA22)</f>
        <v>24354.799999999999</v>
      </c>
      <c r="AB12" s="221">
        <f t="shared" si="3"/>
        <v>21557.8</v>
      </c>
      <c r="AC12" s="221">
        <f t="shared" si="3"/>
        <v>24354.799999999999</v>
      </c>
      <c r="AD12" s="221">
        <f>SUBTOTAL(109,AD13:AD26)</f>
        <v>51407.4</v>
      </c>
      <c r="AE12" s="221">
        <f>SUBTOTAL(109,AE13:AE26)</f>
        <v>27185.200000000001</v>
      </c>
      <c r="AF12" s="221">
        <f>SUBTOTAL(109,AF13:AF26)</f>
        <v>19732</v>
      </c>
      <c r="AG12" s="222"/>
      <c r="AH12" s="222"/>
      <c r="AI12" s="222"/>
      <c r="AJ12" s="222"/>
      <c r="AK12" s="222"/>
      <c r="AL12" s="222"/>
      <c r="AM12" s="222"/>
      <c r="AN12" s="223"/>
      <c r="AQ12" s="225"/>
      <c r="AR12" s="225"/>
      <c r="AS12" s="226"/>
      <c r="AY12" s="226"/>
      <c r="AZ12" s="226"/>
      <c r="BA12" s="226"/>
    </row>
    <row r="13" spans="1:53">
      <c r="A13" s="227" t="s">
        <v>33</v>
      </c>
      <c r="B13" s="228" t="s">
        <v>323</v>
      </c>
      <c r="C13" s="228"/>
      <c r="D13" s="228"/>
      <c r="E13" s="229"/>
      <c r="F13" s="230"/>
      <c r="G13" s="231"/>
      <c r="H13" s="232"/>
      <c r="I13" s="232"/>
      <c r="J13" s="232"/>
      <c r="K13" s="232"/>
      <c r="L13" s="232"/>
      <c r="M13" s="233"/>
      <c r="N13" s="234"/>
      <c r="O13" s="234"/>
      <c r="P13" s="234"/>
      <c r="Q13" s="234"/>
      <c r="R13" s="234"/>
      <c r="S13" s="234"/>
      <c r="T13" s="234"/>
      <c r="U13" s="234"/>
      <c r="V13" s="234"/>
      <c r="W13" s="235"/>
      <c r="X13" s="235"/>
      <c r="Y13" s="235"/>
      <c r="Z13" s="235"/>
      <c r="AA13" s="234"/>
      <c r="AB13" s="234"/>
      <c r="AC13" s="234"/>
      <c r="AD13" s="234"/>
      <c r="AE13" s="234"/>
      <c r="AF13" s="235"/>
      <c r="AG13" s="235"/>
      <c r="AH13" s="235"/>
      <c r="AI13" s="235"/>
      <c r="AJ13" s="235"/>
      <c r="AK13" s="235"/>
      <c r="AL13" s="235"/>
      <c r="AM13" s="235"/>
      <c r="AN13" s="236"/>
      <c r="AQ13" s="215"/>
      <c r="AR13" s="215"/>
      <c r="AS13" s="216"/>
      <c r="AY13" s="216"/>
      <c r="AZ13" s="216"/>
      <c r="BA13" s="216"/>
    </row>
    <row r="14" spans="1:53" ht="38.25">
      <c r="A14" s="237">
        <v>1</v>
      </c>
      <c r="B14" s="238" t="s">
        <v>324</v>
      </c>
      <c r="C14" s="238"/>
      <c r="D14" s="238"/>
      <c r="E14" s="239" t="s">
        <v>325</v>
      </c>
      <c r="F14" s="240" t="s">
        <v>326</v>
      </c>
      <c r="G14" s="241" t="s">
        <v>327</v>
      </c>
      <c r="H14" s="242">
        <v>2017</v>
      </c>
      <c r="I14" s="242" t="s">
        <v>328</v>
      </c>
      <c r="J14" s="242">
        <v>2019</v>
      </c>
      <c r="K14" s="242" t="s">
        <v>328</v>
      </c>
      <c r="L14" s="242"/>
      <c r="M14" s="243" t="s">
        <v>329</v>
      </c>
      <c r="N14" s="244">
        <v>5930</v>
      </c>
      <c r="O14" s="244">
        <v>0</v>
      </c>
      <c r="P14" s="244">
        <v>5930</v>
      </c>
      <c r="Q14" s="244">
        <v>1400</v>
      </c>
      <c r="R14" s="244">
        <v>0</v>
      </c>
      <c r="S14" s="244">
        <v>1400</v>
      </c>
      <c r="T14" s="244">
        <v>5337</v>
      </c>
      <c r="U14" s="244">
        <v>3937</v>
      </c>
      <c r="V14" s="245">
        <v>3937</v>
      </c>
      <c r="W14" s="245">
        <v>3937</v>
      </c>
      <c r="X14" s="245">
        <v>100</v>
      </c>
      <c r="Y14" s="245"/>
      <c r="Z14" s="245">
        <f>V14+Y14</f>
        <v>3937</v>
      </c>
      <c r="AA14" s="244">
        <f t="shared" ref="AA14:AA22" si="4">Q14+$Z14</f>
        <v>5337</v>
      </c>
      <c r="AB14" s="244">
        <f t="shared" ref="AB14:AB22" si="5">R14+$Z14</f>
        <v>3937</v>
      </c>
      <c r="AC14" s="244">
        <f t="shared" ref="AC14:AC22" si="6">S14+$Z14</f>
        <v>5337</v>
      </c>
      <c r="AD14" s="244">
        <f t="shared" ref="AD14:AD22" si="7">T14</f>
        <v>5337</v>
      </c>
      <c r="AE14" s="244">
        <f t="shared" ref="AE14:AE22" si="8">U14-Z14</f>
        <v>0</v>
      </c>
      <c r="AF14" s="245"/>
      <c r="AG14" s="245"/>
      <c r="AH14" s="245"/>
      <c r="AI14" s="245"/>
      <c r="AJ14" s="245"/>
      <c r="AK14" s="245"/>
      <c r="AL14" s="245"/>
      <c r="AM14" s="245"/>
      <c r="AN14" s="246" t="s">
        <v>330</v>
      </c>
      <c r="AQ14" s="215"/>
      <c r="AR14" s="215"/>
      <c r="AS14" s="216"/>
      <c r="AU14" s="247" t="s">
        <v>331</v>
      </c>
      <c r="AY14" s="216"/>
      <c r="AZ14" s="216"/>
      <c r="BA14" s="216"/>
    </row>
    <row r="15" spans="1:53" s="256" customFormat="1" ht="58.5" customHeight="1">
      <c r="A15" s="248">
        <v>2</v>
      </c>
      <c r="B15" s="249" t="s">
        <v>332</v>
      </c>
      <c r="C15" s="249"/>
      <c r="D15" s="249"/>
      <c r="E15" s="250" t="s">
        <v>325</v>
      </c>
      <c r="F15" s="251" t="s">
        <v>326</v>
      </c>
      <c r="G15" s="252" t="s">
        <v>333</v>
      </c>
      <c r="H15" s="253">
        <v>2017</v>
      </c>
      <c r="I15" s="253" t="s">
        <v>328</v>
      </c>
      <c r="J15" s="253">
        <v>2019</v>
      </c>
      <c r="K15" s="253" t="s">
        <v>328</v>
      </c>
      <c r="L15" s="253"/>
      <c r="M15" s="243" t="s">
        <v>334</v>
      </c>
      <c r="N15" s="254">
        <v>5527</v>
      </c>
      <c r="O15" s="254">
        <v>0</v>
      </c>
      <c r="P15" s="254">
        <v>5527</v>
      </c>
      <c r="Q15" s="254">
        <v>1207</v>
      </c>
      <c r="R15" s="254">
        <v>0</v>
      </c>
      <c r="S15" s="254">
        <v>1207</v>
      </c>
      <c r="T15" s="254">
        <v>4974</v>
      </c>
      <c r="U15" s="254">
        <v>3767</v>
      </c>
      <c r="V15" s="245">
        <v>3767</v>
      </c>
      <c r="W15" s="245">
        <v>3767</v>
      </c>
      <c r="X15" s="255">
        <v>100</v>
      </c>
      <c r="Y15" s="255"/>
      <c r="Z15" s="245">
        <f t="shared" ref="Z15:Z84" si="9">V15+Y15</f>
        <v>3767</v>
      </c>
      <c r="AA15" s="244">
        <f t="shared" si="4"/>
        <v>4974</v>
      </c>
      <c r="AB15" s="244">
        <f t="shared" si="5"/>
        <v>3767</v>
      </c>
      <c r="AC15" s="244">
        <f t="shared" si="6"/>
        <v>4974</v>
      </c>
      <c r="AD15" s="244">
        <f t="shared" si="7"/>
        <v>4974</v>
      </c>
      <c r="AE15" s="244">
        <f t="shared" si="8"/>
        <v>0</v>
      </c>
      <c r="AF15" s="255"/>
      <c r="AG15" s="255"/>
      <c r="AH15" s="255"/>
      <c r="AI15" s="255"/>
      <c r="AJ15" s="255"/>
      <c r="AK15" s="255"/>
      <c r="AL15" s="255"/>
      <c r="AM15" s="255"/>
      <c r="AN15" s="246" t="s">
        <v>330</v>
      </c>
      <c r="AQ15" s="257"/>
      <c r="AR15" s="257"/>
      <c r="AS15" s="258"/>
      <c r="AU15" s="259" t="s">
        <v>335</v>
      </c>
      <c r="AY15" s="258"/>
      <c r="AZ15" s="258"/>
      <c r="BA15" s="258"/>
    </row>
    <row r="16" spans="1:53" ht="18" customHeight="1">
      <c r="A16" s="227" t="s">
        <v>181</v>
      </c>
      <c r="B16" s="260" t="s">
        <v>336</v>
      </c>
      <c r="C16" s="260"/>
      <c r="D16" s="260"/>
      <c r="E16" s="229"/>
      <c r="F16" s="230"/>
      <c r="G16" s="231"/>
      <c r="H16" s="232"/>
      <c r="I16" s="232"/>
      <c r="J16" s="232"/>
      <c r="K16" s="232"/>
      <c r="L16" s="232"/>
      <c r="M16" s="261"/>
      <c r="N16" s="244"/>
      <c r="O16" s="244"/>
      <c r="P16" s="244"/>
      <c r="Q16" s="244"/>
      <c r="R16" s="244"/>
      <c r="S16" s="244"/>
      <c r="T16" s="244"/>
      <c r="U16" s="244"/>
      <c r="V16" s="245">
        <f t="shared" ref="V16" si="10">U16*X16/100</f>
        <v>0</v>
      </c>
      <c r="W16" s="245"/>
      <c r="X16" s="245"/>
      <c r="Y16" s="245"/>
      <c r="Z16" s="245">
        <f t="shared" si="9"/>
        <v>0</v>
      </c>
      <c r="AA16" s="244">
        <f t="shared" si="4"/>
        <v>0</v>
      </c>
      <c r="AB16" s="244">
        <f t="shared" si="5"/>
        <v>0</v>
      </c>
      <c r="AC16" s="244">
        <f t="shared" si="6"/>
        <v>0</v>
      </c>
      <c r="AD16" s="244">
        <f t="shared" si="7"/>
        <v>0</v>
      </c>
      <c r="AE16" s="244">
        <f t="shared" si="8"/>
        <v>0</v>
      </c>
      <c r="AF16" s="245"/>
      <c r="AG16" s="245"/>
      <c r="AH16" s="245"/>
      <c r="AI16" s="245"/>
      <c r="AJ16" s="245"/>
      <c r="AK16" s="245"/>
      <c r="AL16" s="245"/>
      <c r="AM16" s="245"/>
      <c r="AN16" s="262"/>
      <c r="AQ16" s="215"/>
      <c r="AR16" s="215"/>
      <c r="AS16" s="216"/>
      <c r="AY16" s="216"/>
      <c r="AZ16" s="216"/>
      <c r="BA16" s="216"/>
    </row>
    <row r="17" spans="1:53" ht="63">
      <c r="A17" s="237">
        <v>1</v>
      </c>
      <c r="B17" s="263" t="s">
        <v>337</v>
      </c>
      <c r="C17" s="263"/>
      <c r="D17" s="263"/>
      <c r="E17" s="239" t="s">
        <v>325</v>
      </c>
      <c r="F17" s="240" t="s">
        <v>326</v>
      </c>
      <c r="G17" s="241" t="s">
        <v>327</v>
      </c>
      <c r="H17" s="242">
        <v>2018</v>
      </c>
      <c r="I17" s="242" t="s">
        <v>328</v>
      </c>
      <c r="J17" s="242">
        <v>2020</v>
      </c>
      <c r="K17" s="242" t="s">
        <v>328</v>
      </c>
      <c r="L17" s="242"/>
      <c r="M17" s="264" t="s">
        <v>338</v>
      </c>
      <c r="N17" s="244">
        <v>3150</v>
      </c>
      <c r="O17" s="244">
        <v>0</v>
      </c>
      <c r="P17" s="244">
        <v>3150</v>
      </c>
      <c r="Q17" s="244">
        <v>40</v>
      </c>
      <c r="R17" s="244">
        <v>0</v>
      </c>
      <c r="S17" s="244">
        <v>40</v>
      </c>
      <c r="T17" s="244">
        <v>2835</v>
      </c>
      <c r="U17" s="244">
        <v>2835</v>
      </c>
      <c r="V17" s="245">
        <v>1417.5</v>
      </c>
      <c r="W17" s="245">
        <v>1417.5</v>
      </c>
      <c r="X17" s="245">
        <v>50</v>
      </c>
      <c r="Y17" s="245"/>
      <c r="Z17" s="245">
        <f t="shared" si="9"/>
        <v>1417.5</v>
      </c>
      <c r="AA17" s="244">
        <f t="shared" si="4"/>
        <v>1457.5</v>
      </c>
      <c r="AB17" s="244">
        <f t="shared" si="5"/>
        <v>1417.5</v>
      </c>
      <c r="AC17" s="244">
        <f t="shared" si="6"/>
        <v>1457.5</v>
      </c>
      <c r="AD17" s="244">
        <f t="shared" si="7"/>
        <v>2835</v>
      </c>
      <c r="AE17" s="244">
        <f t="shared" si="8"/>
        <v>1417.5</v>
      </c>
      <c r="AF17" s="245">
        <v>1417.5</v>
      </c>
      <c r="AG17" s="245">
        <f>AF17/AE17*100</f>
        <v>100</v>
      </c>
      <c r="AH17" s="245"/>
      <c r="AI17" s="245">
        <f>AF17+AH17</f>
        <v>1417.5</v>
      </c>
      <c r="AJ17" s="245">
        <f>AA17+AI17</f>
        <v>2875</v>
      </c>
      <c r="AK17" s="245">
        <f>AC17+AI17</f>
        <v>2875</v>
      </c>
      <c r="AL17" s="245">
        <f>T17</f>
        <v>2835</v>
      </c>
      <c r="AM17" s="245">
        <f>AE17-AI17</f>
        <v>0</v>
      </c>
      <c r="AN17" s="265"/>
      <c r="AQ17" s="215"/>
      <c r="AR17" s="215"/>
      <c r="AS17" s="216"/>
      <c r="AU17" s="259" t="s">
        <v>339</v>
      </c>
      <c r="AY17" s="216"/>
      <c r="AZ17" s="216"/>
      <c r="BA17" s="216"/>
    </row>
    <row r="18" spans="1:53" ht="47.25">
      <c r="A18" s="237">
        <v>2</v>
      </c>
      <c r="B18" s="238" t="s">
        <v>340</v>
      </c>
      <c r="C18" s="238"/>
      <c r="D18" s="238"/>
      <c r="E18" s="239" t="s">
        <v>325</v>
      </c>
      <c r="F18" s="240" t="s">
        <v>326</v>
      </c>
      <c r="G18" s="266" t="s">
        <v>341</v>
      </c>
      <c r="H18" s="242">
        <v>2018</v>
      </c>
      <c r="I18" s="242" t="s">
        <v>328</v>
      </c>
      <c r="J18" s="242">
        <v>2020</v>
      </c>
      <c r="K18" s="242" t="s">
        <v>328</v>
      </c>
      <c r="L18" s="242"/>
      <c r="M18" s="267" t="s">
        <v>342</v>
      </c>
      <c r="N18" s="244">
        <v>1750</v>
      </c>
      <c r="O18" s="244">
        <v>0</v>
      </c>
      <c r="P18" s="244">
        <v>1750</v>
      </c>
      <c r="Q18" s="244">
        <v>30</v>
      </c>
      <c r="R18" s="244">
        <v>0</v>
      </c>
      <c r="S18" s="244">
        <v>30</v>
      </c>
      <c r="T18" s="244">
        <v>1575</v>
      </c>
      <c r="U18" s="244">
        <v>1575</v>
      </c>
      <c r="V18" s="245">
        <v>1575</v>
      </c>
      <c r="W18" s="245">
        <v>1575</v>
      </c>
      <c r="X18" s="245">
        <v>100</v>
      </c>
      <c r="Y18" s="245"/>
      <c r="Z18" s="245">
        <f t="shared" si="9"/>
        <v>1575</v>
      </c>
      <c r="AA18" s="244">
        <f t="shared" si="4"/>
        <v>1605</v>
      </c>
      <c r="AB18" s="244">
        <f t="shared" si="5"/>
        <v>1575</v>
      </c>
      <c r="AC18" s="244">
        <f t="shared" si="6"/>
        <v>1605</v>
      </c>
      <c r="AD18" s="244">
        <f t="shared" si="7"/>
        <v>1575</v>
      </c>
      <c r="AE18" s="244">
        <f t="shared" si="8"/>
        <v>0</v>
      </c>
      <c r="AF18" s="245"/>
      <c r="AG18" s="245"/>
      <c r="AH18" s="245"/>
      <c r="AI18" s="245"/>
      <c r="AJ18" s="245"/>
      <c r="AK18" s="245"/>
      <c r="AL18" s="245"/>
      <c r="AM18" s="245"/>
      <c r="AN18" s="246" t="s">
        <v>330</v>
      </c>
      <c r="AQ18" s="215"/>
      <c r="AR18" s="215"/>
      <c r="AS18" s="216"/>
      <c r="AU18" s="247" t="s">
        <v>343</v>
      </c>
      <c r="AY18" s="216"/>
      <c r="AZ18" s="216"/>
      <c r="BA18" s="216"/>
    </row>
    <row r="19" spans="1:53" ht="31.5">
      <c r="A19" s="237">
        <v>3</v>
      </c>
      <c r="B19" s="263" t="s">
        <v>344</v>
      </c>
      <c r="C19" s="263"/>
      <c r="D19" s="263"/>
      <c r="E19" s="239" t="s">
        <v>325</v>
      </c>
      <c r="F19" s="240" t="s">
        <v>326</v>
      </c>
      <c r="G19" s="239" t="s">
        <v>333</v>
      </c>
      <c r="H19" s="239">
        <v>2018</v>
      </c>
      <c r="I19" s="239" t="s">
        <v>328</v>
      </c>
      <c r="J19" s="239">
        <v>2020</v>
      </c>
      <c r="K19" s="239" t="s">
        <v>328</v>
      </c>
      <c r="L19" s="242"/>
      <c r="M19" s="267" t="s">
        <v>345</v>
      </c>
      <c r="N19" s="244">
        <v>2822</v>
      </c>
      <c r="O19" s="244">
        <v>0</v>
      </c>
      <c r="P19" s="244">
        <v>2822</v>
      </c>
      <c r="Q19" s="244">
        <v>0</v>
      </c>
      <c r="R19" s="244">
        <v>0</v>
      </c>
      <c r="S19" s="244">
        <v>0</v>
      </c>
      <c r="T19" s="244">
        <v>2540</v>
      </c>
      <c r="U19" s="244">
        <v>2540</v>
      </c>
      <c r="V19" s="245">
        <v>1270</v>
      </c>
      <c r="W19" s="245">
        <v>1270</v>
      </c>
      <c r="X19" s="245">
        <v>50</v>
      </c>
      <c r="Y19" s="245"/>
      <c r="Z19" s="245">
        <f t="shared" si="9"/>
        <v>1270</v>
      </c>
      <c r="AA19" s="244">
        <f t="shared" si="4"/>
        <v>1270</v>
      </c>
      <c r="AB19" s="244">
        <f t="shared" si="5"/>
        <v>1270</v>
      </c>
      <c r="AC19" s="244">
        <f t="shared" si="6"/>
        <v>1270</v>
      </c>
      <c r="AD19" s="244">
        <f t="shared" si="7"/>
        <v>2540</v>
      </c>
      <c r="AE19" s="244">
        <f t="shared" si="8"/>
        <v>1270</v>
      </c>
      <c r="AF19" s="245">
        <v>1270</v>
      </c>
      <c r="AG19" s="245">
        <f t="shared" ref="AG19:AG22" si="11">AF19/AE19*100</f>
        <v>100</v>
      </c>
      <c r="AH19" s="245"/>
      <c r="AI19" s="245">
        <f t="shared" ref="AI19:AI21" si="12">AF19+AH19</f>
        <v>1270</v>
      </c>
      <c r="AJ19" s="245">
        <f t="shared" ref="AJ19:AJ22" si="13">AA19+AI19</f>
        <v>2540</v>
      </c>
      <c r="AK19" s="245">
        <f t="shared" ref="AK19:AK22" si="14">AC19+AI19</f>
        <v>2540</v>
      </c>
      <c r="AL19" s="245">
        <f>T19</f>
        <v>2540</v>
      </c>
      <c r="AM19" s="245">
        <f t="shared" ref="AM19:AM22" si="15">AE19-AI19</f>
        <v>0</v>
      </c>
      <c r="AN19" s="246" t="s">
        <v>330</v>
      </c>
      <c r="AO19" s="224" t="s">
        <v>346</v>
      </c>
      <c r="AQ19" s="215"/>
      <c r="AR19" s="215"/>
      <c r="AS19" s="216"/>
      <c r="AU19" s="247" t="s">
        <v>331</v>
      </c>
      <c r="AY19" s="216"/>
      <c r="AZ19" s="216"/>
      <c r="BA19" s="216"/>
    </row>
    <row r="20" spans="1:53" ht="47.25">
      <c r="A20" s="237">
        <v>4</v>
      </c>
      <c r="B20" s="263" t="s">
        <v>347</v>
      </c>
      <c r="C20" s="263"/>
      <c r="D20" s="263"/>
      <c r="E20" s="239" t="s">
        <v>325</v>
      </c>
      <c r="F20" s="240" t="s">
        <v>326</v>
      </c>
      <c r="G20" s="241" t="s">
        <v>327</v>
      </c>
      <c r="H20" s="242">
        <v>2018</v>
      </c>
      <c r="I20" s="242" t="s">
        <v>328</v>
      </c>
      <c r="J20" s="242">
        <v>2020</v>
      </c>
      <c r="K20" s="242" t="s">
        <v>328</v>
      </c>
      <c r="L20" s="242"/>
      <c r="M20" s="267" t="s">
        <v>348</v>
      </c>
      <c r="N20" s="244">
        <v>9000</v>
      </c>
      <c r="O20" s="244">
        <v>0</v>
      </c>
      <c r="P20" s="244">
        <v>5700</v>
      </c>
      <c r="Q20" s="244">
        <v>60</v>
      </c>
      <c r="R20" s="244">
        <v>0</v>
      </c>
      <c r="S20" s="244">
        <v>60</v>
      </c>
      <c r="T20" s="244">
        <v>5130</v>
      </c>
      <c r="U20" s="244">
        <v>5130</v>
      </c>
      <c r="V20" s="245">
        <v>2565</v>
      </c>
      <c r="W20" s="245">
        <v>2565</v>
      </c>
      <c r="X20" s="245">
        <v>50</v>
      </c>
      <c r="Y20" s="245"/>
      <c r="Z20" s="245">
        <f t="shared" si="9"/>
        <v>2565</v>
      </c>
      <c r="AA20" s="244">
        <f t="shared" si="4"/>
        <v>2625</v>
      </c>
      <c r="AB20" s="244">
        <f t="shared" si="5"/>
        <v>2565</v>
      </c>
      <c r="AC20" s="244">
        <f t="shared" si="6"/>
        <v>2625</v>
      </c>
      <c r="AD20" s="244">
        <f t="shared" si="7"/>
        <v>5130</v>
      </c>
      <c r="AE20" s="244">
        <f t="shared" si="8"/>
        <v>2565</v>
      </c>
      <c r="AF20" s="245">
        <v>2565</v>
      </c>
      <c r="AG20" s="245">
        <f t="shared" si="11"/>
        <v>100</v>
      </c>
      <c r="AH20" s="245"/>
      <c r="AI20" s="245">
        <f t="shared" si="12"/>
        <v>2565</v>
      </c>
      <c r="AJ20" s="245">
        <f t="shared" si="13"/>
        <v>5190</v>
      </c>
      <c r="AK20" s="245">
        <f t="shared" si="14"/>
        <v>5190</v>
      </c>
      <c r="AL20" s="245">
        <f>T20</f>
        <v>5130</v>
      </c>
      <c r="AM20" s="245">
        <f t="shared" si="15"/>
        <v>0</v>
      </c>
      <c r="AN20" s="246" t="s">
        <v>330</v>
      </c>
      <c r="AQ20" s="215"/>
      <c r="AR20" s="215"/>
      <c r="AS20" s="216"/>
      <c r="AU20" s="259" t="s">
        <v>349</v>
      </c>
      <c r="AY20" s="216"/>
      <c r="AZ20" s="216"/>
      <c r="BA20" s="216"/>
    </row>
    <row r="21" spans="1:53" ht="47.25">
      <c r="A21" s="237">
        <v>5</v>
      </c>
      <c r="B21" s="263" t="s">
        <v>350</v>
      </c>
      <c r="C21" s="263"/>
      <c r="D21" s="263"/>
      <c r="E21" s="239" t="s">
        <v>325</v>
      </c>
      <c r="F21" s="240" t="s">
        <v>326</v>
      </c>
      <c r="G21" s="241" t="s">
        <v>327</v>
      </c>
      <c r="H21" s="242">
        <v>2018</v>
      </c>
      <c r="I21" s="242" t="s">
        <v>328</v>
      </c>
      <c r="J21" s="242">
        <v>2020</v>
      </c>
      <c r="K21" s="242" t="s">
        <v>328</v>
      </c>
      <c r="L21" s="242"/>
      <c r="M21" s="267" t="s">
        <v>351</v>
      </c>
      <c r="N21" s="244">
        <v>10235.222222222223</v>
      </c>
      <c r="O21" s="244">
        <v>0</v>
      </c>
      <c r="P21" s="244">
        <v>10235.222222222223</v>
      </c>
      <c r="Q21" s="244">
        <v>60</v>
      </c>
      <c r="R21" s="244"/>
      <c r="S21" s="244">
        <v>60</v>
      </c>
      <c r="T21" s="244">
        <v>8712</v>
      </c>
      <c r="U21" s="244">
        <v>8712</v>
      </c>
      <c r="V21" s="245">
        <v>4356</v>
      </c>
      <c r="W21" s="245">
        <v>4356</v>
      </c>
      <c r="X21" s="245">
        <v>50</v>
      </c>
      <c r="Y21" s="245"/>
      <c r="Z21" s="245">
        <f t="shared" si="9"/>
        <v>4356</v>
      </c>
      <c r="AA21" s="244">
        <f t="shared" si="4"/>
        <v>4416</v>
      </c>
      <c r="AB21" s="244">
        <f t="shared" si="5"/>
        <v>4356</v>
      </c>
      <c r="AC21" s="244">
        <f t="shared" si="6"/>
        <v>4416</v>
      </c>
      <c r="AD21" s="244">
        <f t="shared" si="7"/>
        <v>8712</v>
      </c>
      <c r="AE21" s="244">
        <f t="shared" si="8"/>
        <v>4356</v>
      </c>
      <c r="AF21" s="245">
        <v>4356</v>
      </c>
      <c r="AG21" s="245">
        <f t="shared" si="11"/>
        <v>100</v>
      </c>
      <c r="AH21" s="245"/>
      <c r="AI21" s="245">
        <f t="shared" si="12"/>
        <v>4356</v>
      </c>
      <c r="AJ21" s="245">
        <f t="shared" si="13"/>
        <v>8772</v>
      </c>
      <c r="AK21" s="245">
        <f t="shared" si="14"/>
        <v>8772</v>
      </c>
      <c r="AL21" s="245">
        <f>T21</f>
        <v>8712</v>
      </c>
      <c r="AM21" s="245">
        <f t="shared" si="15"/>
        <v>0</v>
      </c>
      <c r="AN21" s="246" t="s">
        <v>330</v>
      </c>
      <c r="AQ21" s="215"/>
      <c r="AR21" s="215"/>
      <c r="AS21" s="216"/>
      <c r="AU21" s="259" t="s">
        <v>349</v>
      </c>
      <c r="AY21" s="216"/>
      <c r="AZ21" s="216"/>
      <c r="BA21" s="216"/>
    </row>
    <row r="22" spans="1:53" ht="38.25">
      <c r="A22" s="268">
        <v>6</v>
      </c>
      <c r="B22" s="269" t="s">
        <v>352</v>
      </c>
      <c r="C22" s="270"/>
      <c r="D22" s="270"/>
      <c r="E22" s="270"/>
      <c r="F22" s="270"/>
      <c r="G22" s="271" t="s">
        <v>333</v>
      </c>
      <c r="H22" s="272">
        <v>2018</v>
      </c>
      <c r="I22" s="272"/>
      <c r="J22" s="273">
        <v>2020</v>
      </c>
      <c r="K22" s="273"/>
      <c r="L22" s="273"/>
      <c r="M22" s="274" t="s">
        <v>353</v>
      </c>
      <c r="N22" s="275">
        <v>5934</v>
      </c>
      <c r="O22" s="275"/>
      <c r="P22" s="276">
        <v>5934</v>
      </c>
      <c r="Q22" s="277">
        <v>0</v>
      </c>
      <c r="R22" s="277"/>
      <c r="S22" s="277">
        <v>0</v>
      </c>
      <c r="T22" s="244">
        <v>5398</v>
      </c>
      <c r="U22" s="244">
        <f>N22*0.9</f>
        <v>5340.6</v>
      </c>
      <c r="V22" s="245">
        <v>2670.3</v>
      </c>
      <c r="W22" s="245">
        <v>2670.3</v>
      </c>
      <c r="X22" s="245">
        <v>50</v>
      </c>
      <c r="Y22" s="245"/>
      <c r="Z22" s="245">
        <f t="shared" si="9"/>
        <v>2670.3</v>
      </c>
      <c r="AA22" s="244">
        <f t="shared" si="4"/>
        <v>2670.3</v>
      </c>
      <c r="AB22" s="244">
        <f t="shared" si="5"/>
        <v>2670.3</v>
      </c>
      <c r="AC22" s="244">
        <f t="shared" si="6"/>
        <v>2670.3</v>
      </c>
      <c r="AD22" s="244">
        <f t="shared" si="7"/>
        <v>5398</v>
      </c>
      <c r="AE22" s="244">
        <f t="shared" si="8"/>
        <v>2670.3</v>
      </c>
      <c r="AF22" s="245">
        <v>2670.3</v>
      </c>
      <c r="AG22" s="245">
        <f t="shared" si="11"/>
        <v>100</v>
      </c>
      <c r="AH22" s="245"/>
      <c r="AI22" s="245">
        <f>AF22+AH22</f>
        <v>2670.3</v>
      </c>
      <c r="AJ22" s="245">
        <f t="shared" si="13"/>
        <v>5340.6</v>
      </c>
      <c r="AK22" s="245">
        <f t="shared" si="14"/>
        <v>5340.6</v>
      </c>
      <c r="AL22" s="245">
        <f>T22</f>
        <v>5398</v>
      </c>
      <c r="AM22" s="245">
        <f t="shared" si="15"/>
        <v>0</v>
      </c>
      <c r="AN22" s="246" t="s">
        <v>354</v>
      </c>
      <c r="AQ22" s="215"/>
      <c r="AR22" s="215"/>
      <c r="AS22" s="216"/>
      <c r="AU22" s="259" t="s">
        <v>355</v>
      </c>
      <c r="AY22" s="216"/>
      <c r="AZ22" s="216"/>
      <c r="BA22" s="216"/>
    </row>
    <row r="23" spans="1:53" ht="25.5">
      <c r="A23" s="278" t="s">
        <v>137</v>
      </c>
      <c r="B23" s="279" t="s">
        <v>356</v>
      </c>
      <c r="C23" s="279"/>
      <c r="D23" s="279"/>
      <c r="E23" s="279"/>
      <c r="F23" s="279"/>
      <c r="G23" s="280"/>
      <c r="H23" s="280"/>
      <c r="I23" s="280"/>
      <c r="J23" s="280"/>
      <c r="K23" s="280"/>
      <c r="L23" s="280"/>
      <c r="M23" s="280"/>
      <c r="N23" s="281">
        <f>SUBTOTAL(109,N24:N26)</f>
        <v>24844</v>
      </c>
      <c r="O23" s="281"/>
      <c r="P23" s="281">
        <f t="shared" ref="P23:AE23" si="16">SUBTOTAL(109,P24:P26)</f>
        <v>24844</v>
      </c>
      <c r="Q23" s="281"/>
      <c r="R23" s="281"/>
      <c r="S23" s="281"/>
      <c r="T23" s="281"/>
      <c r="U23" s="281"/>
      <c r="V23" s="281"/>
      <c r="W23" s="281"/>
      <c r="X23" s="281"/>
      <c r="Y23" s="281"/>
      <c r="Z23" s="245">
        <f t="shared" si="9"/>
        <v>0</v>
      </c>
      <c r="AA23" s="281">
        <f t="shared" si="16"/>
        <v>0</v>
      </c>
      <c r="AB23" s="281"/>
      <c r="AC23" s="281">
        <f t="shared" si="16"/>
        <v>0</v>
      </c>
      <c r="AD23" s="281">
        <f t="shared" si="16"/>
        <v>14906.4</v>
      </c>
      <c r="AE23" s="281">
        <f t="shared" si="16"/>
        <v>14906.4</v>
      </c>
      <c r="AF23" s="281"/>
      <c r="AG23" s="282"/>
      <c r="AH23" s="282"/>
      <c r="AI23" s="282"/>
      <c r="AJ23" s="282"/>
      <c r="AK23" s="282"/>
      <c r="AL23" s="282"/>
      <c r="AM23" s="282"/>
      <c r="AN23" s="282"/>
      <c r="AQ23" s="215"/>
      <c r="AR23" s="215"/>
      <c r="AS23" s="216"/>
      <c r="AU23" s="283"/>
      <c r="AV23" s="226"/>
      <c r="AW23" s="284"/>
      <c r="AY23" s="226"/>
      <c r="AZ23" s="226"/>
      <c r="BA23" s="285"/>
    </row>
    <row r="24" spans="1:53" ht="63">
      <c r="A24" s="286">
        <v>1</v>
      </c>
      <c r="B24" s="287" t="s">
        <v>357</v>
      </c>
      <c r="C24" s="287"/>
      <c r="D24" s="287"/>
      <c r="E24" s="239" t="s">
        <v>325</v>
      </c>
      <c r="F24" s="240" t="s">
        <v>326</v>
      </c>
      <c r="G24" s="252" t="s">
        <v>333</v>
      </c>
      <c r="H24" s="288">
        <v>2019</v>
      </c>
      <c r="I24" s="288"/>
      <c r="J24" s="288">
        <v>2021</v>
      </c>
      <c r="K24" s="288"/>
      <c r="L24" s="288"/>
      <c r="M24" s="271" t="s">
        <v>358</v>
      </c>
      <c r="N24" s="289">
        <v>14850</v>
      </c>
      <c r="O24" s="289"/>
      <c r="P24" s="289">
        <v>14850</v>
      </c>
      <c r="Q24" s="289"/>
      <c r="R24" s="289"/>
      <c r="S24" s="289"/>
      <c r="T24" s="289"/>
      <c r="U24" s="289"/>
      <c r="V24" s="289"/>
      <c r="W24" s="289"/>
      <c r="X24" s="289"/>
      <c r="Y24" s="289"/>
      <c r="Z24" s="245">
        <f t="shared" si="9"/>
        <v>0</v>
      </c>
      <c r="AA24" s="289"/>
      <c r="AB24" s="289"/>
      <c r="AC24" s="289"/>
      <c r="AD24" s="290">
        <f>P24*0.6</f>
        <v>8910</v>
      </c>
      <c r="AE24" s="290">
        <f>AD24</f>
        <v>8910</v>
      </c>
      <c r="AF24" s="245">
        <v>4455</v>
      </c>
      <c r="AG24" s="245">
        <f t="shared" ref="AG24:AG26" si="17">AF24/AE24*100</f>
        <v>50</v>
      </c>
      <c r="AH24" s="245"/>
      <c r="AI24" s="245">
        <f t="shared" ref="AI24:AI26" si="18">AF24+AH24</f>
        <v>4455</v>
      </c>
      <c r="AJ24" s="245">
        <f t="shared" ref="AJ24:AJ26" si="19">AA24+AI24</f>
        <v>4455</v>
      </c>
      <c r="AK24" s="245">
        <f t="shared" ref="AK24:AK26" si="20">AC24+AI24</f>
        <v>4455</v>
      </c>
      <c r="AL24" s="245">
        <f>AD24</f>
        <v>8910</v>
      </c>
      <c r="AM24" s="245">
        <f t="shared" ref="AM24:AM29" si="21">AE24-AI24</f>
        <v>4455</v>
      </c>
      <c r="AN24" s="286"/>
      <c r="AO24" s="207" t="s">
        <v>359</v>
      </c>
      <c r="AQ24" s="215"/>
      <c r="AR24" s="215"/>
      <c r="AS24" s="216"/>
      <c r="AU24" s="1222" t="s">
        <v>1988</v>
      </c>
      <c r="AV24" s="291" t="s">
        <v>360</v>
      </c>
      <c r="AW24" s="292"/>
      <c r="AY24" s="226"/>
      <c r="AZ24" s="226"/>
      <c r="BA24" s="285"/>
    </row>
    <row r="25" spans="1:53" ht="69.75" customHeight="1">
      <c r="A25" s="286">
        <v>2</v>
      </c>
      <c r="B25" s="293" t="s">
        <v>361</v>
      </c>
      <c r="C25" s="293"/>
      <c r="D25" s="293"/>
      <c r="E25" s="239" t="s">
        <v>325</v>
      </c>
      <c r="F25" s="240" t="s">
        <v>326</v>
      </c>
      <c r="G25" s="252" t="s">
        <v>327</v>
      </c>
      <c r="H25" s="288">
        <v>2019</v>
      </c>
      <c r="I25" s="288"/>
      <c r="J25" s="288">
        <v>2021</v>
      </c>
      <c r="K25" s="288"/>
      <c r="L25" s="288"/>
      <c r="M25" s="271" t="s">
        <v>362</v>
      </c>
      <c r="N25" s="290">
        <v>4994</v>
      </c>
      <c r="O25" s="290"/>
      <c r="P25" s="290">
        <v>4994</v>
      </c>
      <c r="Q25" s="290"/>
      <c r="R25" s="290"/>
      <c r="S25" s="290"/>
      <c r="T25" s="290"/>
      <c r="U25" s="290"/>
      <c r="V25" s="290"/>
      <c r="W25" s="290"/>
      <c r="X25" s="290"/>
      <c r="Y25" s="290"/>
      <c r="Z25" s="245">
        <f t="shared" si="9"/>
        <v>0</v>
      </c>
      <c r="AA25" s="290"/>
      <c r="AB25" s="290"/>
      <c r="AC25" s="290"/>
      <c r="AD25" s="290">
        <f>P25*0.6</f>
        <v>2996.4</v>
      </c>
      <c r="AE25" s="290">
        <f t="shared" ref="AE25:AE26" si="22">AD25</f>
        <v>2996.4</v>
      </c>
      <c r="AF25" s="245">
        <v>1498.2</v>
      </c>
      <c r="AG25" s="245">
        <f t="shared" si="17"/>
        <v>50</v>
      </c>
      <c r="AH25" s="245"/>
      <c r="AI25" s="245">
        <f t="shared" si="18"/>
        <v>1498.2</v>
      </c>
      <c r="AJ25" s="245">
        <f t="shared" si="19"/>
        <v>1498.2</v>
      </c>
      <c r="AK25" s="245">
        <f t="shared" si="20"/>
        <v>1498.2</v>
      </c>
      <c r="AL25" s="245">
        <f t="shared" ref="AL25:AL29" si="23">AD25</f>
        <v>2996.4</v>
      </c>
      <c r="AM25" s="245">
        <f t="shared" si="21"/>
        <v>1498.2</v>
      </c>
      <c r="AN25" s="286"/>
      <c r="AO25" s="207" t="s">
        <v>359</v>
      </c>
      <c r="AQ25" s="215"/>
      <c r="AR25" s="215"/>
      <c r="AS25" s="216"/>
      <c r="AU25" s="291" t="s">
        <v>363</v>
      </c>
      <c r="AV25" s="291" t="s">
        <v>364</v>
      </c>
      <c r="AW25" s="294"/>
      <c r="AY25" s="226"/>
      <c r="AZ25" s="226"/>
      <c r="BA25" s="285"/>
    </row>
    <row r="26" spans="1:53" ht="51.75" customHeight="1">
      <c r="A26" s="286">
        <v>3</v>
      </c>
      <c r="B26" s="293" t="s">
        <v>365</v>
      </c>
      <c r="C26" s="293"/>
      <c r="D26" s="293"/>
      <c r="E26" s="239" t="s">
        <v>325</v>
      </c>
      <c r="F26" s="240" t="s">
        <v>326</v>
      </c>
      <c r="G26" s="252" t="s">
        <v>327</v>
      </c>
      <c r="H26" s="288">
        <v>2019</v>
      </c>
      <c r="I26" s="288"/>
      <c r="J26" s="288">
        <v>2021</v>
      </c>
      <c r="K26" s="288"/>
      <c r="L26" s="288"/>
      <c r="M26" s="271" t="s">
        <v>366</v>
      </c>
      <c r="N26" s="290">
        <v>5000</v>
      </c>
      <c r="O26" s="290"/>
      <c r="P26" s="290">
        <v>5000</v>
      </c>
      <c r="Q26" s="290"/>
      <c r="R26" s="290"/>
      <c r="S26" s="290"/>
      <c r="T26" s="290"/>
      <c r="U26" s="290"/>
      <c r="V26" s="290"/>
      <c r="W26" s="290"/>
      <c r="X26" s="290"/>
      <c r="Y26" s="290"/>
      <c r="Z26" s="245">
        <f t="shared" si="9"/>
        <v>0</v>
      </c>
      <c r="AA26" s="290"/>
      <c r="AB26" s="290"/>
      <c r="AC26" s="290"/>
      <c r="AD26" s="290">
        <f>P26*0.6</f>
        <v>3000</v>
      </c>
      <c r="AE26" s="290">
        <f t="shared" si="22"/>
        <v>3000</v>
      </c>
      <c r="AF26" s="245">
        <v>1500</v>
      </c>
      <c r="AG26" s="245">
        <f t="shared" si="17"/>
        <v>50</v>
      </c>
      <c r="AH26" s="245"/>
      <c r="AI26" s="245">
        <f t="shared" si="18"/>
        <v>1500</v>
      </c>
      <c r="AJ26" s="245">
        <f t="shared" si="19"/>
        <v>1500</v>
      </c>
      <c r="AK26" s="245">
        <f t="shared" si="20"/>
        <v>1500</v>
      </c>
      <c r="AL26" s="245">
        <f t="shared" si="23"/>
        <v>3000</v>
      </c>
      <c r="AM26" s="245">
        <f t="shared" si="21"/>
        <v>1500</v>
      </c>
      <c r="AN26" s="286"/>
      <c r="AO26" s="207" t="s">
        <v>359</v>
      </c>
      <c r="AQ26" s="215"/>
      <c r="AR26" s="215"/>
      <c r="AS26" s="216"/>
      <c r="AU26" s="291" t="s">
        <v>331</v>
      </c>
      <c r="AV26" s="291" t="s">
        <v>364</v>
      </c>
      <c r="AW26" s="294"/>
      <c r="AY26" s="226"/>
      <c r="AZ26" s="226"/>
      <c r="BA26" s="285"/>
    </row>
    <row r="27" spans="1:53" s="305" customFormat="1" ht="51.75" customHeight="1">
      <c r="A27" s="295"/>
      <c r="B27" s="279" t="s">
        <v>367</v>
      </c>
      <c r="C27" s="296"/>
      <c r="D27" s="296"/>
      <c r="E27" s="297"/>
      <c r="F27" s="298"/>
      <c r="G27" s="299"/>
      <c r="H27" s="300"/>
      <c r="I27" s="300"/>
      <c r="J27" s="300"/>
      <c r="K27" s="300"/>
      <c r="L27" s="300"/>
      <c r="M27" s="301"/>
      <c r="N27" s="302"/>
      <c r="O27" s="302"/>
      <c r="P27" s="302"/>
      <c r="Q27" s="302"/>
      <c r="R27" s="302"/>
      <c r="S27" s="302"/>
      <c r="T27" s="302"/>
      <c r="U27" s="302"/>
      <c r="V27" s="302"/>
      <c r="W27" s="302"/>
      <c r="X27" s="302"/>
      <c r="Y27" s="302"/>
      <c r="Z27" s="303"/>
      <c r="AA27" s="302"/>
      <c r="AB27" s="302"/>
      <c r="AC27" s="302"/>
      <c r="AD27" s="302"/>
      <c r="AE27" s="302"/>
      <c r="AF27" s="303"/>
      <c r="AG27" s="235"/>
      <c r="AH27" s="303"/>
      <c r="AI27" s="303"/>
      <c r="AJ27" s="303"/>
      <c r="AK27" s="303"/>
      <c r="AL27" s="303"/>
      <c r="AM27" s="303"/>
      <c r="AN27" s="304"/>
      <c r="AQ27" s="306"/>
      <c r="AR27" s="306"/>
      <c r="AS27" s="307"/>
      <c r="AU27" s="308"/>
      <c r="AV27" s="308"/>
      <c r="AW27" s="309"/>
      <c r="AY27" s="778"/>
      <c r="AZ27" s="778"/>
      <c r="BA27" s="1468"/>
    </row>
    <row r="28" spans="1:53" ht="62.25" customHeight="1">
      <c r="A28" s="286"/>
      <c r="B28" s="547" t="s">
        <v>2290</v>
      </c>
      <c r="C28" s="311"/>
      <c r="D28" s="311"/>
      <c r="E28" s="312"/>
      <c r="F28" s="313"/>
      <c r="G28" s="252" t="s">
        <v>327</v>
      </c>
      <c r="H28" s="314">
        <v>2020</v>
      </c>
      <c r="I28" s="314"/>
      <c r="J28" s="314">
        <v>2022</v>
      </c>
      <c r="K28" s="314"/>
      <c r="L28" s="314"/>
      <c r="M28" s="1446" t="s">
        <v>2498</v>
      </c>
      <c r="N28" s="316">
        <v>3500</v>
      </c>
      <c r="O28" s="317"/>
      <c r="P28" s="316">
        <v>3500</v>
      </c>
      <c r="Q28" s="317"/>
      <c r="R28" s="317"/>
      <c r="S28" s="317"/>
      <c r="T28" s="317"/>
      <c r="U28" s="317"/>
      <c r="V28" s="317"/>
      <c r="W28" s="317"/>
      <c r="X28" s="317"/>
      <c r="Y28" s="317"/>
      <c r="Z28" s="318"/>
      <c r="AA28" s="317"/>
      <c r="AB28" s="317"/>
      <c r="AC28" s="317"/>
      <c r="AD28" s="317">
        <f>N28*0.3</f>
        <v>1050</v>
      </c>
      <c r="AE28" s="317">
        <f>AD28</f>
        <v>1050</v>
      </c>
      <c r="AF28" s="318"/>
      <c r="AG28" s="245"/>
      <c r="AH28" s="318"/>
      <c r="AI28" s="318"/>
      <c r="AJ28" s="318"/>
      <c r="AK28" s="318"/>
      <c r="AL28" s="245">
        <f t="shared" si="23"/>
        <v>1050</v>
      </c>
      <c r="AM28" s="245">
        <f t="shared" si="21"/>
        <v>1050</v>
      </c>
      <c r="AN28" s="319"/>
      <c r="AQ28" s="215"/>
      <c r="AR28" s="215"/>
      <c r="AS28" s="216"/>
      <c r="AU28" s="1222" t="s">
        <v>1988</v>
      </c>
      <c r="AV28" s="320"/>
      <c r="AW28" s="309"/>
      <c r="AY28" s="226"/>
      <c r="AZ28" s="226"/>
      <c r="BA28" s="285"/>
    </row>
    <row r="29" spans="1:53" ht="66.75" customHeight="1">
      <c r="A29" s="286"/>
      <c r="B29" s="310" t="s">
        <v>368</v>
      </c>
      <c r="C29" s="311"/>
      <c r="D29" s="311"/>
      <c r="E29" s="312"/>
      <c r="F29" s="313"/>
      <c r="G29" s="252" t="s">
        <v>327</v>
      </c>
      <c r="H29" s="314">
        <v>2020</v>
      </c>
      <c r="I29" s="314"/>
      <c r="J29" s="314">
        <v>2022</v>
      </c>
      <c r="K29" s="314"/>
      <c r="L29" s="314"/>
      <c r="M29" s="315"/>
      <c r="N29" s="316">
        <v>5000</v>
      </c>
      <c r="O29" s="317"/>
      <c r="P29" s="316">
        <v>5000</v>
      </c>
      <c r="Q29" s="317"/>
      <c r="R29" s="317"/>
      <c r="S29" s="317"/>
      <c r="T29" s="317"/>
      <c r="U29" s="317"/>
      <c r="V29" s="317"/>
      <c r="W29" s="317"/>
      <c r="X29" s="317"/>
      <c r="Y29" s="317"/>
      <c r="Z29" s="318"/>
      <c r="AA29" s="317"/>
      <c r="AB29" s="317"/>
      <c r="AC29" s="317"/>
      <c r="AD29" s="317">
        <f>N29*0.3</f>
        <v>1500</v>
      </c>
      <c r="AE29" s="317">
        <f>AD29</f>
        <v>1500</v>
      </c>
      <c r="AF29" s="318"/>
      <c r="AG29" s="245"/>
      <c r="AH29" s="318"/>
      <c r="AI29" s="318"/>
      <c r="AJ29" s="318"/>
      <c r="AK29" s="318"/>
      <c r="AL29" s="245">
        <f t="shared" si="23"/>
        <v>1500</v>
      </c>
      <c r="AM29" s="245">
        <f t="shared" si="21"/>
        <v>1500</v>
      </c>
      <c r="AN29" s="319"/>
      <c r="AQ29" s="215"/>
      <c r="AR29" s="215"/>
      <c r="AS29" s="216"/>
      <c r="AU29" s="1222" t="s">
        <v>1989</v>
      </c>
      <c r="AV29" s="320"/>
      <c r="AW29" s="309"/>
      <c r="AY29" s="226"/>
      <c r="AZ29" s="226"/>
      <c r="BA29" s="285"/>
    </row>
    <row r="30" spans="1:53" ht="66.75" customHeight="1">
      <c r="A30" s="286"/>
      <c r="B30" s="547" t="s">
        <v>2291</v>
      </c>
      <c r="C30" s="311"/>
      <c r="D30" s="311"/>
      <c r="E30" s="312"/>
      <c r="F30" s="313"/>
      <c r="G30" s="1230" t="s">
        <v>333</v>
      </c>
      <c r="H30" s="314">
        <v>2020</v>
      </c>
      <c r="I30" s="314"/>
      <c r="J30" s="314">
        <v>2022</v>
      </c>
      <c r="K30" s="314"/>
      <c r="L30" s="314"/>
      <c r="M30" s="315" t="s">
        <v>2445</v>
      </c>
      <c r="N30" s="1364">
        <v>10950</v>
      </c>
      <c r="O30" s="317"/>
      <c r="P30" s="1364">
        <v>10950</v>
      </c>
      <c r="Q30" s="317"/>
      <c r="R30" s="317"/>
      <c r="S30" s="317"/>
      <c r="T30" s="317"/>
      <c r="U30" s="317"/>
      <c r="V30" s="317"/>
      <c r="W30" s="317"/>
      <c r="X30" s="317"/>
      <c r="Y30" s="317"/>
      <c r="Z30" s="318"/>
      <c r="AA30" s="317"/>
      <c r="AB30" s="317"/>
      <c r="AC30" s="317"/>
      <c r="AD30" s="317">
        <v>3285</v>
      </c>
      <c r="AE30" s="317">
        <v>3285</v>
      </c>
      <c r="AF30" s="318"/>
      <c r="AG30" s="245"/>
      <c r="AH30" s="318"/>
      <c r="AI30" s="318"/>
      <c r="AJ30" s="318"/>
      <c r="AK30" s="318"/>
      <c r="AL30" s="245">
        <f t="shared" ref="AL30:AL31" si="24">AD30</f>
        <v>3285</v>
      </c>
      <c r="AM30" s="245">
        <f t="shared" ref="AM30:AM31" si="25">AE30-AI30</f>
        <v>3285</v>
      </c>
      <c r="AN30" s="319"/>
      <c r="AQ30" s="215"/>
      <c r="AR30" s="215"/>
      <c r="AS30" s="216"/>
      <c r="AU30" s="1447" t="s">
        <v>2292</v>
      </c>
      <c r="AV30" s="320"/>
      <c r="AW30" s="309"/>
      <c r="AY30" s="226"/>
      <c r="AZ30" s="226"/>
      <c r="BA30" s="285"/>
    </row>
    <row r="31" spans="1:53" ht="66.75" customHeight="1">
      <c r="A31" s="286"/>
      <c r="B31" s="547" t="s">
        <v>2390</v>
      </c>
      <c r="C31" s="311"/>
      <c r="D31" s="311"/>
      <c r="E31" s="312"/>
      <c r="F31" s="313"/>
      <c r="G31" s="1230" t="s">
        <v>333</v>
      </c>
      <c r="H31" s="314">
        <v>2020</v>
      </c>
      <c r="I31" s="314"/>
      <c r="J31" s="314">
        <v>2022</v>
      </c>
      <c r="K31" s="314"/>
      <c r="L31" s="314"/>
      <c r="M31" s="315" t="s">
        <v>2484</v>
      </c>
      <c r="N31" s="1364">
        <v>7000</v>
      </c>
      <c r="O31" s="317"/>
      <c r="P31" s="1364">
        <v>7000</v>
      </c>
      <c r="Q31" s="317"/>
      <c r="R31" s="317"/>
      <c r="S31" s="317"/>
      <c r="T31" s="317"/>
      <c r="U31" s="317"/>
      <c r="V31" s="317"/>
      <c r="W31" s="317"/>
      <c r="X31" s="317"/>
      <c r="Y31" s="317"/>
      <c r="Z31" s="318"/>
      <c r="AA31" s="317"/>
      <c r="AB31" s="317"/>
      <c r="AC31" s="317"/>
      <c r="AD31" s="317">
        <f>P31*0.3</f>
        <v>2100</v>
      </c>
      <c r="AE31" s="317">
        <f>AD31</f>
        <v>2100</v>
      </c>
      <c r="AF31" s="318"/>
      <c r="AG31" s="245"/>
      <c r="AH31" s="318"/>
      <c r="AI31" s="318"/>
      <c r="AJ31" s="318"/>
      <c r="AK31" s="318"/>
      <c r="AL31" s="245">
        <f t="shared" si="24"/>
        <v>2100</v>
      </c>
      <c r="AM31" s="245">
        <f t="shared" si="25"/>
        <v>2100</v>
      </c>
      <c r="AN31" s="319"/>
      <c r="AQ31" s="215"/>
      <c r="AR31" s="215"/>
      <c r="AS31" s="216"/>
      <c r="AU31" s="1447" t="s">
        <v>2293</v>
      </c>
      <c r="AV31" s="320"/>
      <c r="AW31" s="309"/>
      <c r="AY31" s="226"/>
      <c r="AZ31" s="226"/>
      <c r="BA31" s="285"/>
    </row>
    <row r="32" spans="1:53" ht="66.75" customHeight="1">
      <c r="A32" s="286"/>
      <c r="B32" s="1449" t="s">
        <v>2572</v>
      </c>
      <c r="C32" s="311"/>
      <c r="D32" s="311"/>
      <c r="E32" s="312"/>
      <c r="F32" s="313"/>
      <c r="G32" s="1594" t="s">
        <v>327</v>
      </c>
      <c r="H32" s="314">
        <v>2020</v>
      </c>
      <c r="I32" s="314"/>
      <c r="J32" s="314">
        <v>2022</v>
      </c>
      <c r="K32" s="314"/>
      <c r="L32" s="314"/>
      <c r="M32" s="1594" t="s">
        <v>2573</v>
      </c>
      <c r="N32" s="1490">
        <v>4000</v>
      </c>
      <c r="O32" s="317"/>
      <c r="P32" s="1490">
        <f>N32</f>
        <v>4000</v>
      </c>
      <c r="Q32" s="317"/>
      <c r="R32" s="317"/>
      <c r="S32" s="317"/>
      <c r="T32" s="317"/>
      <c r="U32" s="317"/>
      <c r="V32" s="317"/>
      <c r="W32" s="317"/>
      <c r="X32" s="317"/>
      <c r="Y32" s="317"/>
      <c r="Z32" s="318"/>
      <c r="AA32" s="317"/>
      <c r="AB32" s="317"/>
      <c r="AC32" s="317"/>
      <c r="AD32" s="317">
        <f>P32*0.3</f>
        <v>1200</v>
      </c>
      <c r="AE32" s="317">
        <f>AD32</f>
        <v>1200</v>
      </c>
      <c r="AF32" s="318"/>
      <c r="AG32" s="245"/>
      <c r="AH32" s="318"/>
      <c r="AI32" s="318"/>
      <c r="AJ32" s="318"/>
      <c r="AK32" s="318"/>
      <c r="AL32" s="245">
        <f t="shared" ref="AL32" si="26">AD32</f>
        <v>1200</v>
      </c>
      <c r="AM32" s="245">
        <f t="shared" ref="AM32" si="27">AE32-AI32</f>
        <v>1200</v>
      </c>
      <c r="AN32" s="319"/>
      <c r="AQ32" s="215"/>
      <c r="AR32" s="215"/>
      <c r="AS32" s="216"/>
      <c r="AU32" s="1447" t="s">
        <v>2361</v>
      </c>
      <c r="AV32" s="320"/>
      <c r="AW32" s="309"/>
      <c r="AY32" s="226"/>
      <c r="AZ32" s="226"/>
      <c r="BA32" s="285"/>
    </row>
    <row r="33" spans="1:53" s="224" customFormat="1">
      <c r="A33" s="323" t="s">
        <v>49</v>
      </c>
      <c r="B33" s="324" t="s">
        <v>369</v>
      </c>
      <c r="C33" s="220"/>
      <c r="D33" s="220"/>
      <c r="E33" s="220"/>
      <c r="F33" s="220"/>
      <c r="G33" s="325"/>
      <c r="H33" s="220"/>
      <c r="I33" s="220"/>
      <c r="J33" s="220"/>
      <c r="K33" s="220"/>
      <c r="L33" s="220"/>
      <c r="M33" s="220"/>
      <c r="N33" s="213">
        <f>SUBTOTAL(109,N34:N154)</f>
        <v>482646.30000000005</v>
      </c>
      <c r="O33" s="213">
        <f t="shared" ref="O33:AC33" si="28">SUBTOTAL(109,O34:O154)</f>
        <v>0</v>
      </c>
      <c r="P33" s="213">
        <f t="shared" si="28"/>
        <v>453397.30000000005</v>
      </c>
      <c r="Q33" s="213">
        <f t="shared" si="28"/>
        <v>137938</v>
      </c>
      <c r="R33" s="213">
        <f t="shared" si="28"/>
        <v>805</v>
      </c>
      <c r="S33" s="213">
        <f t="shared" si="28"/>
        <v>133738</v>
      </c>
      <c r="T33" s="213">
        <f>SUBTOTAL(109,T34:T154)</f>
        <v>401487</v>
      </c>
      <c r="U33" s="213">
        <f t="shared" si="28"/>
        <v>274199</v>
      </c>
      <c r="V33" s="213">
        <f t="shared" si="28"/>
        <v>134123.79999999999</v>
      </c>
      <c r="W33" s="213">
        <f t="shared" si="28"/>
        <v>233446.59999999998</v>
      </c>
      <c r="X33" s="213"/>
      <c r="Y33" s="213">
        <f t="shared" si="28"/>
        <v>1500</v>
      </c>
      <c r="Z33" s="213">
        <f t="shared" si="28"/>
        <v>237079.59999999998</v>
      </c>
      <c r="AA33" s="213">
        <f t="shared" si="28"/>
        <v>273561.8</v>
      </c>
      <c r="AB33" s="213">
        <f t="shared" si="28"/>
        <v>136428.79999999999</v>
      </c>
      <c r="AC33" s="213">
        <f t="shared" si="28"/>
        <v>269361.8</v>
      </c>
      <c r="AD33" s="213">
        <f>SUBTOTAL(109,AD34:AD220)</f>
        <v>504655</v>
      </c>
      <c r="AE33" s="213">
        <f>SUBTOTAL(109,AE34:AE220)</f>
        <v>241743.2</v>
      </c>
      <c r="AF33" s="214"/>
      <c r="AG33" s="245"/>
      <c r="AH33" s="318"/>
      <c r="AI33" s="318"/>
      <c r="AJ33" s="318"/>
      <c r="AK33" s="318"/>
      <c r="AL33" s="318"/>
      <c r="AM33" s="318"/>
      <c r="AN33" s="220">
        <v>126681</v>
      </c>
      <c r="AQ33" s="225"/>
      <c r="AR33" s="225"/>
      <c r="AS33" s="226"/>
      <c r="AY33" s="226"/>
      <c r="AZ33" s="226"/>
      <c r="BA33" s="226"/>
    </row>
    <row r="34" spans="1:53">
      <c r="A34" s="326" t="s">
        <v>33</v>
      </c>
      <c r="B34" s="327" t="s">
        <v>370</v>
      </c>
      <c r="C34" s="328"/>
      <c r="D34" s="329"/>
      <c r="E34" s="330"/>
      <c r="F34" s="331"/>
      <c r="G34" s="211"/>
      <c r="H34" s="332"/>
      <c r="I34" s="332"/>
      <c r="J34" s="332"/>
      <c r="K34" s="332"/>
      <c r="L34" s="332"/>
      <c r="M34" s="333"/>
      <c r="N34" s="334">
        <f>SUBTOTAL(109,N35:N70)</f>
        <v>133346</v>
      </c>
      <c r="O34" s="334">
        <f t="shared" ref="O34:AN34" si="29">SUBTOTAL(109,O35:O70)</f>
        <v>0</v>
      </c>
      <c r="P34" s="334">
        <f t="shared" si="29"/>
        <v>129568</v>
      </c>
      <c r="Q34" s="334">
        <f t="shared" si="29"/>
        <v>86618</v>
      </c>
      <c r="R34" s="334">
        <f t="shared" si="29"/>
        <v>0</v>
      </c>
      <c r="S34" s="334">
        <f t="shared" si="29"/>
        <v>82418</v>
      </c>
      <c r="T34" s="334">
        <f>SUBTOTAL(109,T35:T70)</f>
        <v>111651</v>
      </c>
      <c r="U34" s="334">
        <f t="shared" si="29"/>
        <v>34168</v>
      </c>
      <c r="V34" s="334">
        <f t="shared" si="29"/>
        <v>34168</v>
      </c>
      <c r="W34" s="334">
        <f t="shared" si="29"/>
        <v>34168</v>
      </c>
      <c r="X34" s="334"/>
      <c r="Y34" s="334">
        <f t="shared" si="29"/>
        <v>0</v>
      </c>
      <c r="Z34" s="334">
        <f t="shared" si="29"/>
        <v>34168</v>
      </c>
      <c r="AA34" s="334">
        <f t="shared" si="29"/>
        <v>120786</v>
      </c>
      <c r="AB34" s="334">
        <f t="shared" si="29"/>
        <v>34168</v>
      </c>
      <c r="AC34" s="334">
        <f t="shared" si="29"/>
        <v>116586</v>
      </c>
      <c r="AD34" s="334">
        <f>SUBTOTAL(109,AD35:AD70)</f>
        <v>111651</v>
      </c>
      <c r="AE34" s="334">
        <f t="shared" ref="AE34" si="30">SUBTOTAL(109,AE35:AE70)</f>
        <v>0</v>
      </c>
      <c r="AF34" s="335"/>
      <c r="AG34" s="245"/>
      <c r="AH34" s="318"/>
      <c r="AI34" s="318"/>
      <c r="AJ34" s="318"/>
      <c r="AK34" s="318"/>
      <c r="AL34" s="318"/>
      <c r="AM34" s="318"/>
      <c r="AN34" s="213">
        <f t="shared" si="29"/>
        <v>0</v>
      </c>
      <c r="AQ34" s="215"/>
      <c r="AR34" s="215"/>
      <c r="AS34" s="216"/>
      <c r="AY34" s="216"/>
      <c r="AZ34" s="216"/>
      <c r="BA34" s="216"/>
    </row>
    <row r="35" spans="1:53" ht="30" customHeight="1">
      <c r="A35" s="248">
        <v>1</v>
      </c>
      <c r="B35" s="336" t="s">
        <v>371</v>
      </c>
      <c r="C35" s="336"/>
      <c r="D35" s="336"/>
      <c r="E35" s="337" t="s">
        <v>372</v>
      </c>
      <c r="F35" s="251" t="s">
        <v>326</v>
      </c>
      <c r="G35" s="338" t="s">
        <v>373</v>
      </c>
      <c r="H35" s="253">
        <v>2016</v>
      </c>
      <c r="I35" s="253"/>
      <c r="J35" s="253">
        <v>2018</v>
      </c>
      <c r="K35" s="253"/>
      <c r="L35" s="339" t="s">
        <v>374</v>
      </c>
      <c r="M35" s="340" t="s">
        <v>375</v>
      </c>
      <c r="N35" s="337">
        <v>3549</v>
      </c>
      <c r="O35" s="337"/>
      <c r="P35" s="337">
        <v>3549</v>
      </c>
      <c r="Q35" s="337">
        <v>2283</v>
      </c>
      <c r="R35" s="337"/>
      <c r="S35" s="337">
        <v>2283</v>
      </c>
      <c r="T35" s="337">
        <v>2994</v>
      </c>
      <c r="U35" s="337">
        <v>911</v>
      </c>
      <c r="V35" s="245">
        <v>911</v>
      </c>
      <c r="W35" s="341">
        <v>911</v>
      </c>
      <c r="X35" s="245">
        <v>100</v>
      </c>
      <c r="Y35" s="341"/>
      <c r="Z35" s="245">
        <f t="shared" si="9"/>
        <v>911</v>
      </c>
      <c r="AA35" s="244">
        <f t="shared" ref="AA35:AA70" si="31">Q35+$Z35</f>
        <v>3194</v>
      </c>
      <c r="AB35" s="244">
        <f t="shared" ref="AB35:AB70" si="32">R35+$Z35</f>
        <v>911</v>
      </c>
      <c r="AC35" s="244">
        <f t="shared" ref="AC35:AC70" si="33">S35+$Z35</f>
        <v>3194</v>
      </c>
      <c r="AD35" s="244">
        <f t="shared" ref="AD35:AD70" si="34">T35</f>
        <v>2994</v>
      </c>
      <c r="AE35" s="244">
        <f t="shared" ref="AE35:AE70" si="35">U35-Z35</f>
        <v>0</v>
      </c>
      <c r="AF35" s="341"/>
      <c r="AG35" s="245"/>
      <c r="AH35" s="245"/>
      <c r="AI35" s="245"/>
      <c r="AJ35" s="245"/>
      <c r="AK35" s="245"/>
      <c r="AL35" s="245"/>
      <c r="AM35" s="245"/>
      <c r="AN35" s="342"/>
      <c r="AQ35" s="215" t="s">
        <v>376</v>
      </c>
      <c r="AR35" s="215"/>
      <c r="AS35" s="216"/>
      <c r="AY35" s="216"/>
      <c r="AZ35" s="216"/>
      <c r="BA35" s="216"/>
    </row>
    <row r="36" spans="1:53" ht="30" customHeight="1">
      <c r="A36" s="248">
        <v>2</v>
      </c>
      <c r="B36" s="336" t="s">
        <v>377</v>
      </c>
      <c r="C36" s="336"/>
      <c r="D36" s="336"/>
      <c r="E36" s="337" t="s">
        <v>372</v>
      </c>
      <c r="F36" s="251" t="s">
        <v>326</v>
      </c>
      <c r="G36" s="343" t="s">
        <v>378</v>
      </c>
      <c r="H36" s="253">
        <v>2016</v>
      </c>
      <c r="I36" s="253"/>
      <c r="J36" s="253">
        <v>2018</v>
      </c>
      <c r="K36" s="253"/>
      <c r="L36" s="253"/>
      <c r="M36" s="340" t="s">
        <v>379</v>
      </c>
      <c r="N36" s="337">
        <v>3400</v>
      </c>
      <c r="O36" s="337"/>
      <c r="P36" s="337">
        <v>3400</v>
      </c>
      <c r="Q36" s="337">
        <v>2320</v>
      </c>
      <c r="R36" s="337"/>
      <c r="S36" s="337">
        <v>2320</v>
      </c>
      <c r="T36" s="337">
        <v>2870</v>
      </c>
      <c r="U36" s="337">
        <v>740</v>
      </c>
      <c r="V36" s="245">
        <v>740</v>
      </c>
      <c r="W36" s="341">
        <v>740</v>
      </c>
      <c r="X36" s="245">
        <v>100</v>
      </c>
      <c r="Y36" s="341"/>
      <c r="Z36" s="245">
        <f t="shared" si="9"/>
        <v>740</v>
      </c>
      <c r="AA36" s="244">
        <f t="shared" si="31"/>
        <v>3060</v>
      </c>
      <c r="AB36" s="244">
        <f t="shared" si="32"/>
        <v>740</v>
      </c>
      <c r="AC36" s="244">
        <f t="shared" si="33"/>
        <v>3060</v>
      </c>
      <c r="AD36" s="244">
        <f t="shared" si="34"/>
        <v>2870</v>
      </c>
      <c r="AE36" s="244">
        <f t="shared" si="35"/>
        <v>0</v>
      </c>
      <c r="AF36" s="341"/>
      <c r="AG36" s="245"/>
      <c r="AH36" s="245"/>
      <c r="AI36" s="245"/>
      <c r="AJ36" s="245"/>
      <c r="AK36" s="245"/>
      <c r="AL36" s="245"/>
      <c r="AM36" s="245"/>
      <c r="AN36" s="342"/>
      <c r="AQ36" s="215" t="s">
        <v>380</v>
      </c>
      <c r="AR36" s="215"/>
      <c r="AS36" s="216"/>
      <c r="AY36" s="216"/>
      <c r="AZ36" s="216"/>
      <c r="BA36" s="216"/>
    </row>
    <row r="37" spans="1:53" ht="30" customHeight="1">
      <c r="A37" s="248">
        <v>3</v>
      </c>
      <c r="B37" s="338" t="s">
        <v>381</v>
      </c>
      <c r="C37" s="338"/>
      <c r="D37" s="338"/>
      <c r="E37" s="337" t="s">
        <v>372</v>
      </c>
      <c r="F37" s="251" t="s">
        <v>326</v>
      </c>
      <c r="G37" s="338" t="s">
        <v>382</v>
      </c>
      <c r="H37" s="253">
        <v>2016</v>
      </c>
      <c r="I37" s="253"/>
      <c r="J37" s="253">
        <v>2018</v>
      </c>
      <c r="K37" s="253"/>
      <c r="L37" s="339" t="s">
        <v>383</v>
      </c>
      <c r="M37" s="344" t="s">
        <v>384</v>
      </c>
      <c r="N37" s="337">
        <v>2816</v>
      </c>
      <c r="O37" s="337"/>
      <c r="P37" s="337">
        <v>2816</v>
      </c>
      <c r="Q37" s="337">
        <v>1950</v>
      </c>
      <c r="R37" s="337"/>
      <c r="S37" s="337">
        <v>1950</v>
      </c>
      <c r="T37" s="337">
        <v>2384</v>
      </c>
      <c r="U37" s="337">
        <v>584</v>
      </c>
      <c r="V37" s="245">
        <v>584</v>
      </c>
      <c r="W37" s="341">
        <v>584</v>
      </c>
      <c r="X37" s="245">
        <v>100</v>
      </c>
      <c r="Y37" s="341"/>
      <c r="Z37" s="245">
        <f t="shared" si="9"/>
        <v>584</v>
      </c>
      <c r="AA37" s="244">
        <f t="shared" si="31"/>
        <v>2534</v>
      </c>
      <c r="AB37" s="244">
        <f t="shared" si="32"/>
        <v>584</v>
      </c>
      <c r="AC37" s="244">
        <f t="shared" si="33"/>
        <v>2534</v>
      </c>
      <c r="AD37" s="244">
        <f t="shared" si="34"/>
        <v>2384</v>
      </c>
      <c r="AE37" s="244">
        <f t="shared" si="35"/>
        <v>0</v>
      </c>
      <c r="AF37" s="341"/>
      <c r="AG37" s="245"/>
      <c r="AH37" s="245"/>
      <c r="AI37" s="245"/>
      <c r="AJ37" s="245"/>
      <c r="AK37" s="245"/>
      <c r="AL37" s="245"/>
      <c r="AM37" s="245"/>
      <c r="AN37" s="342"/>
      <c r="AQ37" s="215" t="s">
        <v>382</v>
      </c>
      <c r="AR37" s="215"/>
      <c r="AS37" s="216"/>
      <c r="AY37" s="216"/>
      <c r="AZ37" s="216"/>
      <c r="BA37" s="216"/>
    </row>
    <row r="38" spans="1:53" ht="30" customHeight="1">
      <c r="A38" s="248">
        <v>4</v>
      </c>
      <c r="B38" s="338" t="s">
        <v>385</v>
      </c>
      <c r="C38" s="338"/>
      <c r="D38" s="338"/>
      <c r="E38" s="337" t="s">
        <v>372</v>
      </c>
      <c r="F38" s="251" t="s">
        <v>326</v>
      </c>
      <c r="G38" s="343" t="s">
        <v>378</v>
      </c>
      <c r="H38" s="253">
        <v>2016</v>
      </c>
      <c r="I38" s="253"/>
      <c r="J38" s="253">
        <v>2018</v>
      </c>
      <c r="K38" s="253"/>
      <c r="L38" s="253"/>
      <c r="M38" s="344" t="s">
        <v>386</v>
      </c>
      <c r="N38" s="337">
        <v>3000</v>
      </c>
      <c r="O38" s="337"/>
      <c r="P38" s="337">
        <v>3000</v>
      </c>
      <c r="Q38" s="337">
        <v>1982</v>
      </c>
      <c r="R38" s="337"/>
      <c r="S38" s="337">
        <v>1982</v>
      </c>
      <c r="T38" s="337">
        <v>2550</v>
      </c>
      <c r="U38" s="337">
        <v>718</v>
      </c>
      <c r="V38" s="245">
        <v>718</v>
      </c>
      <c r="W38" s="341">
        <v>718</v>
      </c>
      <c r="X38" s="245">
        <v>100</v>
      </c>
      <c r="Y38" s="341"/>
      <c r="Z38" s="245">
        <f t="shared" si="9"/>
        <v>718</v>
      </c>
      <c r="AA38" s="244">
        <f t="shared" si="31"/>
        <v>2700</v>
      </c>
      <c r="AB38" s="244">
        <f t="shared" si="32"/>
        <v>718</v>
      </c>
      <c r="AC38" s="244">
        <f t="shared" si="33"/>
        <v>2700</v>
      </c>
      <c r="AD38" s="244">
        <f t="shared" si="34"/>
        <v>2550</v>
      </c>
      <c r="AE38" s="244">
        <f t="shared" si="35"/>
        <v>0</v>
      </c>
      <c r="AF38" s="341"/>
      <c r="AG38" s="245"/>
      <c r="AH38" s="245"/>
      <c r="AI38" s="245"/>
      <c r="AJ38" s="245"/>
      <c r="AK38" s="245"/>
      <c r="AL38" s="245"/>
      <c r="AM38" s="245"/>
      <c r="AN38" s="342"/>
      <c r="AQ38" s="215" t="s">
        <v>387</v>
      </c>
      <c r="AR38" s="215"/>
      <c r="AS38" s="216"/>
      <c r="AY38" s="216"/>
      <c r="AZ38" s="216"/>
      <c r="BA38" s="216"/>
    </row>
    <row r="39" spans="1:53" ht="30" customHeight="1">
      <c r="A39" s="248">
        <v>5</v>
      </c>
      <c r="B39" s="345" t="s">
        <v>388</v>
      </c>
      <c r="C39" s="345"/>
      <c r="D39" s="345"/>
      <c r="E39" s="337" t="s">
        <v>372</v>
      </c>
      <c r="F39" s="251" t="s">
        <v>326</v>
      </c>
      <c r="G39" s="338" t="s">
        <v>341</v>
      </c>
      <c r="H39" s="253">
        <v>2016</v>
      </c>
      <c r="I39" s="253"/>
      <c r="J39" s="253">
        <v>2018</v>
      </c>
      <c r="K39" s="253"/>
      <c r="L39" s="253"/>
      <c r="M39" s="340" t="s">
        <v>389</v>
      </c>
      <c r="N39" s="337">
        <v>3000</v>
      </c>
      <c r="O39" s="337"/>
      <c r="P39" s="337">
        <v>3000</v>
      </c>
      <c r="Q39" s="337">
        <v>1940</v>
      </c>
      <c r="R39" s="337"/>
      <c r="S39" s="337">
        <v>1940</v>
      </c>
      <c r="T39" s="337">
        <v>2500</v>
      </c>
      <c r="U39" s="337">
        <v>760</v>
      </c>
      <c r="V39" s="245">
        <v>760</v>
      </c>
      <c r="W39" s="341">
        <v>760</v>
      </c>
      <c r="X39" s="245">
        <v>100</v>
      </c>
      <c r="Y39" s="341"/>
      <c r="Z39" s="245">
        <f t="shared" si="9"/>
        <v>760</v>
      </c>
      <c r="AA39" s="244">
        <f t="shared" si="31"/>
        <v>2700</v>
      </c>
      <c r="AB39" s="244">
        <f t="shared" si="32"/>
        <v>760</v>
      </c>
      <c r="AC39" s="244">
        <f t="shared" si="33"/>
        <v>2700</v>
      </c>
      <c r="AD39" s="244">
        <f t="shared" si="34"/>
        <v>2500</v>
      </c>
      <c r="AE39" s="244">
        <f t="shared" si="35"/>
        <v>0</v>
      </c>
      <c r="AF39" s="341"/>
      <c r="AG39" s="245"/>
      <c r="AH39" s="245"/>
      <c r="AI39" s="245"/>
      <c r="AJ39" s="245"/>
      <c r="AK39" s="245"/>
      <c r="AL39" s="245"/>
      <c r="AM39" s="245"/>
      <c r="AN39" s="342"/>
      <c r="AQ39" s="215"/>
      <c r="AR39" s="215"/>
      <c r="AS39" s="216"/>
      <c r="AY39" s="216"/>
      <c r="AZ39" s="216"/>
      <c r="BA39" s="216"/>
    </row>
    <row r="40" spans="1:53" ht="30" customHeight="1">
      <c r="A40" s="248">
        <v>6</v>
      </c>
      <c r="B40" s="336" t="s">
        <v>390</v>
      </c>
      <c r="C40" s="336"/>
      <c r="D40" s="336"/>
      <c r="E40" s="337" t="s">
        <v>372</v>
      </c>
      <c r="F40" s="251" t="s">
        <v>326</v>
      </c>
      <c r="G40" s="338" t="s">
        <v>341</v>
      </c>
      <c r="H40" s="253">
        <v>2016</v>
      </c>
      <c r="I40" s="253"/>
      <c r="J40" s="253">
        <v>2018</v>
      </c>
      <c r="K40" s="253"/>
      <c r="L40" s="253"/>
      <c r="M40" s="340" t="s">
        <v>391</v>
      </c>
      <c r="N40" s="337">
        <v>4104</v>
      </c>
      <c r="O40" s="337"/>
      <c r="P40" s="337">
        <v>4104</v>
      </c>
      <c r="Q40" s="337">
        <v>2700</v>
      </c>
      <c r="R40" s="337"/>
      <c r="S40" s="337">
        <v>2700</v>
      </c>
      <c r="T40" s="337">
        <v>3534</v>
      </c>
      <c r="U40" s="337">
        <v>984</v>
      </c>
      <c r="V40" s="245">
        <v>984</v>
      </c>
      <c r="W40" s="341">
        <v>984</v>
      </c>
      <c r="X40" s="245">
        <v>100</v>
      </c>
      <c r="Y40" s="341"/>
      <c r="Z40" s="245">
        <f t="shared" si="9"/>
        <v>984</v>
      </c>
      <c r="AA40" s="244">
        <f t="shared" si="31"/>
        <v>3684</v>
      </c>
      <c r="AB40" s="244">
        <f t="shared" si="32"/>
        <v>984</v>
      </c>
      <c r="AC40" s="244">
        <f t="shared" si="33"/>
        <v>3684</v>
      </c>
      <c r="AD40" s="244">
        <f t="shared" si="34"/>
        <v>3534</v>
      </c>
      <c r="AE40" s="244">
        <f t="shared" si="35"/>
        <v>0</v>
      </c>
      <c r="AF40" s="341"/>
      <c r="AG40" s="245"/>
      <c r="AH40" s="245"/>
      <c r="AI40" s="245"/>
      <c r="AJ40" s="245"/>
      <c r="AK40" s="245"/>
      <c r="AL40" s="245"/>
      <c r="AM40" s="245"/>
      <c r="AN40" s="342"/>
      <c r="AQ40" s="215"/>
      <c r="AR40" s="215"/>
      <c r="AS40" s="216"/>
      <c r="AY40" s="216"/>
      <c r="AZ40" s="216"/>
      <c r="BA40" s="216"/>
    </row>
    <row r="41" spans="1:53" ht="30" customHeight="1">
      <c r="A41" s="248">
        <v>7</v>
      </c>
      <c r="B41" s="338" t="s">
        <v>392</v>
      </c>
      <c r="C41" s="338"/>
      <c r="D41" s="338"/>
      <c r="E41" s="337" t="s">
        <v>372</v>
      </c>
      <c r="F41" s="251" t="s">
        <v>326</v>
      </c>
      <c r="G41" s="343" t="s">
        <v>333</v>
      </c>
      <c r="H41" s="253">
        <v>2016</v>
      </c>
      <c r="I41" s="253"/>
      <c r="J41" s="253">
        <v>2018</v>
      </c>
      <c r="K41" s="253"/>
      <c r="L41" s="253"/>
      <c r="M41" s="344" t="s">
        <v>393</v>
      </c>
      <c r="N41" s="337">
        <v>8178</v>
      </c>
      <c r="O41" s="337"/>
      <c r="P41" s="337">
        <v>8000</v>
      </c>
      <c r="Q41" s="337">
        <v>5100</v>
      </c>
      <c r="R41" s="337"/>
      <c r="S41" s="337">
        <v>5100</v>
      </c>
      <c r="T41" s="337">
        <v>6900</v>
      </c>
      <c r="U41" s="337">
        <v>2100</v>
      </c>
      <c r="V41" s="245">
        <v>2100</v>
      </c>
      <c r="W41" s="341">
        <v>2100</v>
      </c>
      <c r="X41" s="245">
        <v>100</v>
      </c>
      <c r="Y41" s="341"/>
      <c r="Z41" s="245">
        <f t="shared" si="9"/>
        <v>2100</v>
      </c>
      <c r="AA41" s="244">
        <f t="shared" si="31"/>
        <v>7200</v>
      </c>
      <c r="AB41" s="244">
        <f t="shared" si="32"/>
        <v>2100</v>
      </c>
      <c r="AC41" s="244">
        <f t="shared" si="33"/>
        <v>7200</v>
      </c>
      <c r="AD41" s="244">
        <f t="shared" si="34"/>
        <v>6900</v>
      </c>
      <c r="AE41" s="244">
        <f t="shared" si="35"/>
        <v>0</v>
      </c>
      <c r="AF41" s="341"/>
      <c r="AG41" s="245"/>
      <c r="AH41" s="245"/>
      <c r="AI41" s="245"/>
      <c r="AJ41" s="245"/>
      <c r="AK41" s="245"/>
      <c r="AL41" s="245"/>
      <c r="AM41" s="245"/>
      <c r="AN41" s="342"/>
      <c r="AQ41" s="215"/>
      <c r="AR41" s="215"/>
      <c r="AS41" s="216"/>
      <c r="AY41" s="216"/>
      <c r="AZ41" s="216"/>
      <c r="BA41" s="216"/>
    </row>
    <row r="42" spans="1:53" ht="30" customHeight="1">
      <c r="A42" s="248">
        <v>8</v>
      </c>
      <c r="B42" s="336" t="s">
        <v>394</v>
      </c>
      <c r="C42" s="336"/>
      <c r="D42" s="336"/>
      <c r="E42" s="337" t="s">
        <v>372</v>
      </c>
      <c r="F42" s="251" t="s">
        <v>326</v>
      </c>
      <c r="G42" s="249" t="s">
        <v>395</v>
      </c>
      <c r="H42" s="253">
        <v>2016</v>
      </c>
      <c r="I42" s="253"/>
      <c r="J42" s="253">
        <v>2018</v>
      </c>
      <c r="K42" s="253"/>
      <c r="L42" s="339" t="s">
        <v>396</v>
      </c>
      <c r="M42" s="340" t="s">
        <v>397</v>
      </c>
      <c r="N42" s="337">
        <v>2500</v>
      </c>
      <c r="O42" s="337"/>
      <c r="P42" s="337">
        <v>2500</v>
      </c>
      <c r="Q42" s="337">
        <v>1605</v>
      </c>
      <c r="R42" s="337"/>
      <c r="S42" s="337">
        <v>1605</v>
      </c>
      <c r="T42" s="337">
        <v>2110</v>
      </c>
      <c r="U42" s="337">
        <v>645</v>
      </c>
      <c r="V42" s="245">
        <v>645</v>
      </c>
      <c r="W42" s="341">
        <v>645</v>
      </c>
      <c r="X42" s="245">
        <v>100</v>
      </c>
      <c r="Y42" s="341"/>
      <c r="Z42" s="245">
        <f t="shared" si="9"/>
        <v>645</v>
      </c>
      <c r="AA42" s="244">
        <f t="shared" si="31"/>
        <v>2250</v>
      </c>
      <c r="AB42" s="244">
        <f t="shared" si="32"/>
        <v>645</v>
      </c>
      <c r="AC42" s="244">
        <f t="shared" si="33"/>
        <v>2250</v>
      </c>
      <c r="AD42" s="244">
        <f t="shared" si="34"/>
        <v>2110</v>
      </c>
      <c r="AE42" s="244">
        <f t="shared" si="35"/>
        <v>0</v>
      </c>
      <c r="AF42" s="341"/>
      <c r="AG42" s="245"/>
      <c r="AH42" s="245"/>
      <c r="AI42" s="245"/>
      <c r="AJ42" s="245"/>
      <c r="AK42" s="245"/>
      <c r="AL42" s="245"/>
      <c r="AM42" s="245"/>
      <c r="AN42" s="342"/>
      <c r="AQ42" s="215"/>
      <c r="AR42" s="215"/>
      <c r="AS42" s="216"/>
      <c r="AY42" s="216"/>
      <c r="AZ42" s="216"/>
      <c r="BA42" s="216"/>
    </row>
    <row r="43" spans="1:53" ht="30" customHeight="1">
      <c r="A43" s="248">
        <v>9</v>
      </c>
      <c r="B43" s="336" t="s">
        <v>398</v>
      </c>
      <c r="C43" s="336"/>
      <c r="D43" s="336"/>
      <c r="E43" s="337" t="s">
        <v>372</v>
      </c>
      <c r="F43" s="251" t="s">
        <v>326</v>
      </c>
      <c r="G43" s="338" t="s">
        <v>341</v>
      </c>
      <c r="H43" s="253">
        <v>2016</v>
      </c>
      <c r="I43" s="253"/>
      <c r="J43" s="253">
        <v>2018</v>
      </c>
      <c r="K43" s="253"/>
      <c r="L43" s="253"/>
      <c r="M43" s="340" t="s">
        <v>399</v>
      </c>
      <c r="N43" s="337">
        <v>3500</v>
      </c>
      <c r="O43" s="337"/>
      <c r="P43" s="337">
        <v>3500</v>
      </c>
      <c r="Q43" s="337">
        <v>2545</v>
      </c>
      <c r="R43" s="337"/>
      <c r="S43" s="337">
        <v>2545</v>
      </c>
      <c r="T43" s="337">
        <v>3000</v>
      </c>
      <c r="U43" s="337">
        <v>605</v>
      </c>
      <c r="V43" s="245">
        <v>605</v>
      </c>
      <c r="W43" s="341">
        <v>605</v>
      </c>
      <c r="X43" s="245">
        <v>100</v>
      </c>
      <c r="Y43" s="341"/>
      <c r="Z43" s="245">
        <f t="shared" si="9"/>
        <v>605</v>
      </c>
      <c r="AA43" s="244">
        <f t="shared" si="31"/>
        <v>3150</v>
      </c>
      <c r="AB43" s="244">
        <f t="shared" si="32"/>
        <v>605</v>
      </c>
      <c r="AC43" s="244">
        <f t="shared" si="33"/>
        <v>3150</v>
      </c>
      <c r="AD43" s="244">
        <f t="shared" si="34"/>
        <v>3000</v>
      </c>
      <c r="AE43" s="244">
        <f t="shared" si="35"/>
        <v>0</v>
      </c>
      <c r="AF43" s="341"/>
      <c r="AG43" s="245"/>
      <c r="AH43" s="245"/>
      <c r="AI43" s="245"/>
      <c r="AJ43" s="245"/>
      <c r="AK43" s="245"/>
      <c r="AL43" s="245"/>
      <c r="AM43" s="245"/>
      <c r="AN43" s="342"/>
      <c r="AQ43" s="215"/>
      <c r="AR43" s="215"/>
      <c r="AS43" s="216"/>
      <c r="AY43" s="216"/>
      <c r="AZ43" s="216"/>
      <c r="BA43" s="216"/>
    </row>
    <row r="44" spans="1:53" ht="30" customHeight="1">
      <c r="A44" s="248">
        <v>10</v>
      </c>
      <c r="B44" s="338" t="s">
        <v>400</v>
      </c>
      <c r="C44" s="338"/>
      <c r="D44" s="338"/>
      <c r="E44" s="337" t="s">
        <v>372</v>
      </c>
      <c r="F44" s="251" t="s">
        <v>326</v>
      </c>
      <c r="G44" s="249" t="s">
        <v>401</v>
      </c>
      <c r="H44" s="253">
        <v>2016</v>
      </c>
      <c r="I44" s="253"/>
      <c r="J44" s="253">
        <v>2018</v>
      </c>
      <c r="K44" s="253"/>
      <c r="L44" s="339" t="s">
        <v>402</v>
      </c>
      <c r="M44" s="344" t="s">
        <v>389</v>
      </c>
      <c r="N44" s="337">
        <v>4000</v>
      </c>
      <c r="O44" s="337"/>
      <c r="P44" s="337">
        <v>4000</v>
      </c>
      <c r="Q44" s="337">
        <v>2600</v>
      </c>
      <c r="R44" s="337"/>
      <c r="S44" s="337">
        <v>2600</v>
      </c>
      <c r="T44" s="337">
        <v>3400</v>
      </c>
      <c r="U44" s="337">
        <v>1000</v>
      </c>
      <c r="V44" s="245">
        <v>1000</v>
      </c>
      <c r="W44" s="341">
        <v>1000</v>
      </c>
      <c r="X44" s="245">
        <v>100</v>
      </c>
      <c r="Y44" s="341"/>
      <c r="Z44" s="245">
        <f t="shared" si="9"/>
        <v>1000</v>
      </c>
      <c r="AA44" s="244">
        <f t="shared" si="31"/>
        <v>3600</v>
      </c>
      <c r="AB44" s="244">
        <f t="shared" si="32"/>
        <v>1000</v>
      </c>
      <c r="AC44" s="244">
        <f t="shared" si="33"/>
        <v>3600</v>
      </c>
      <c r="AD44" s="244">
        <f t="shared" si="34"/>
        <v>3400</v>
      </c>
      <c r="AE44" s="244">
        <f t="shared" si="35"/>
        <v>0</v>
      </c>
      <c r="AF44" s="341"/>
      <c r="AG44" s="245"/>
      <c r="AH44" s="245"/>
      <c r="AI44" s="245"/>
      <c r="AJ44" s="245"/>
      <c r="AK44" s="245"/>
      <c r="AL44" s="245"/>
      <c r="AM44" s="245"/>
      <c r="AN44" s="342"/>
      <c r="AQ44" s="215"/>
      <c r="AR44" s="215"/>
      <c r="AS44" s="216"/>
      <c r="AY44" s="216"/>
      <c r="AZ44" s="216"/>
      <c r="BA44" s="216"/>
    </row>
    <row r="45" spans="1:53" ht="30" customHeight="1">
      <c r="A45" s="248">
        <v>11</v>
      </c>
      <c r="B45" s="338" t="s">
        <v>403</v>
      </c>
      <c r="C45" s="338"/>
      <c r="D45" s="338"/>
      <c r="E45" s="337" t="s">
        <v>372</v>
      </c>
      <c r="F45" s="251" t="s">
        <v>326</v>
      </c>
      <c r="G45" s="249" t="s">
        <v>382</v>
      </c>
      <c r="H45" s="253">
        <v>2016</v>
      </c>
      <c r="I45" s="253"/>
      <c r="J45" s="253">
        <v>2018</v>
      </c>
      <c r="K45" s="253"/>
      <c r="L45" s="253"/>
      <c r="M45" s="344" t="s">
        <v>404</v>
      </c>
      <c r="N45" s="337">
        <v>2815</v>
      </c>
      <c r="O45" s="337"/>
      <c r="P45" s="337">
        <v>2815</v>
      </c>
      <c r="Q45" s="337">
        <v>1745</v>
      </c>
      <c r="R45" s="337"/>
      <c r="S45" s="337">
        <v>1745</v>
      </c>
      <c r="T45" s="337">
        <v>2534</v>
      </c>
      <c r="U45" s="337">
        <v>789</v>
      </c>
      <c r="V45" s="245">
        <v>789</v>
      </c>
      <c r="W45" s="341">
        <v>789</v>
      </c>
      <c r="X45" s="245">
        <v>100</v>
      </c>
      <c r="Y45" s="341"/>
      <c r="Z45" s="245">
        <f t="shared" si="9"/>
        <v>789</v>
      </c>
      <c r="AA45" s="244">
        <f t="shared" si="31"/>
        <v>2534</v>
      </c>
      <c r="AB45" s="244">
        <f t="shared" si="32"/>
        <v>789</v>
      </c>
      <c r="AC45" s="244">
        <f t="shared" si="33"/>
        <v>2534</v>
      </c>
      <c r="AD45" s="244">
        <f t="shared" si="34"/>
        <v>2534</v>
      </c>
      <c r="AE45" s="244">
        <f t="shared" si="35"/>
        <v>0</v>
      </c>
      <c r="AF45" s="341"/>
      <c r="AG45" s="245"/>
      <c r="AH45" s="245"/>
      <c r="AI45" s="245"/>
      <c r="AJ45" s="245"/>
      <c r="AK45" s="245"/>
      <c r="AL45" s="245"/>
      <c r="AM45" s="245"/>
      <c r="AN45" s="342"/>
      <c r="AQ45" s="215"/>
      <c r="AR45" s="215"/>
      <c r="AS45" s="216"/>
      <c r="AY45" s="216"/>
      <c r="AZ45" s="216"/>
      <c r="BA45" s="216"/>
    </row>
    <row r="46" spans="1:53" ht="30" customHeight="1">
      <c r="A46" s="248">
        <v>12</v>
      </c>
      <c r="B46" s="336" t="s">
        <v>405</v>
      </c>
      <c r="C46" s="336"/>
      <c r="D46" s="336"/>
      <c r="E46" s="337" t="s">
        <v>372</v>
      </c>
      <c r="F46" s="251" t="s">
        <v>326</v>
      </c>
      <c r="G46" s="343" t="s">
        <v>333</v>
      </c>
      <c r="H46" s="253">
        <v>2016</v>
      </c>
      <c r="I46" s="253"/>
      <c r="J46" s="253">
        <v>2018</v>
      </c>
      <c r="K46" s="253"/>
      <c r="L46" s="253"/>
      <c r="M46" s="340" t="s">
        <v>406</v>
      </c>
      <c r="N46" s="337">
        <v>4200</v>
      </c>
      <c r="O46" s="337"/>
      <c r="P46" s="337">
        <v>4200</v>
      </c>
      <c r="Q46" s="337">
        <v>2603</v>
      </c>
      <c r="R46" s="337"/>
      <c r="S46" s="337">
        <v>2603</v>
      </c>
      <c r="T46" s="337">
        <v>3630</v>
      </c>
      <c r="U46" s="337">
        <v>1177</v>
      </c>
      <c r="V46" s="245">
        <v>1177</v>
      </c>
      <c r="W46" s="341">
        <v>1177</v>
      </c>
      <c r="X46" s="245">
        <v>100</v>
      </c>
      <c r="Y46" s="341"/>
      <c r="Z46" s="245">
        <f t="shared" si="9"/>
        <v>1177</v>
      </c>
      <c r="AA46" s="244">
        <f t="shared" si="31"/>
        <v>3780</v>
      </c>
      <c r="AB46" s="244">
        <f t="shared" si="32"/>
        <v>1177</v>
      </c>
      <c r="AC46" s="244">
        <f t="shared" si="33"/>
        <v>3780</v>
      </c>
      <c r="AD46" s="244">
        <f t="shared" si="34"/>
        <v>3630</v>
      </c>
      <c r="AE46" s="244">
        <f t="shared" si="35"/>
        <v>0</v>
      </c>
      <c r="AF46" s="341"/>
      <c r="AG46" s="245"/>
      <c r="AH46" s="245"/>
      <c r="AI46" s="245"/>
      <c r="AJ46" s="245"/>
      <c r="AK46" s="245"/>
      <c r="AL46" s="245"/>
      <c r="AM46" s="245"/>
      <c r="AN46" s="342"/>
      <c r="AQ46" s="215"/>
      <c r="AR46" s="215"/>
      <c r="AS46" s="216"/>
      <c r="AY46" s="216"/>
      <c r="AZ46" s="216"/>
      <c r="BA46" s="216"/>
    </row>
    <row r="47" spans="1:53" ht="30" customHeight="1">
      <c r="A47" s="248">
        <v>13</v>
      </c>
      <c r="B47" s="338" t="s">
        <v>407</v>
      </c>
      <c r="C47" s="338"/>
      <c r="D47" s="338"/>
      <c r="E47" s="337" t="s">
        <v>372</v>
      </c>
      <c r="F47" s="251" t="s">
        <v>326</v>
      </c>
      <c r="G47" s="343" t="s">
        <v>378</v>
      </c>
      <c r="H47" s="253">
        <v>2016</v>
      </c>
      <c r="I47" s="253"/>
      <c r="J47" s="253">
        <v>2018</v>
      </c>
      <c r="K47" s="253"/>
      <c r="L47" s="253"/>
      <c r="M47" s="344" t="s">
        <v>408</v>
      </c>
      <c r="N47" s="337">
        <v>4000</v>
      </c>
      <c r="O47" s="337"/>
      <c r="P47" s="337">
        <v>4000</v>
      </c>
      <c r="Q47" s="337">
        <v>2550</v>
      </c>
      <c r="R47" s="337"/>
      <c r="S47" s="337">
        <v>2550</v>
      </c>
      <c r="T47" s="337">
        <v>3450</v>
      </c>
      <c r="U47" s="337">
        <v>1050</v>
      </c>
      <c r="V47" s="245">
        <v>1050</v>
      </c>
      <c r="W47" s="341">
        <v>1050</v>
      </c>
      <c r="X47" s="245">
        <v>100</v>
      </c>
      <c r="Y47" s="341"/>
      <c r="Z47" s="245">
        <f t="shared" si="9"/>
        <v>1050</v>
      </c>
      <c r="AA47" s="244">
        <f t="shared" si="31"/>
        <v>3600</v>
      </c>
      <c r="AB47" s="244">
        <f t="shared" si="32"/>
        <v>1050</v>
      </c>
      <c r="AC47" s="244">
        <f t="shared" si="33"/>
        <v>3600</v>
      </c>
      <c r="AD47" s="244">
        <f t="shared" si="34"/>
        <v>3450</v>
      </c>
      <c r="AE47" s="244">
        <f t="shared" si="35"/>
        <v>0</v>
      </c>
      <c r="AF47" s="341"/>
      <c r="AG47" s="245"/>
      <c r="AH47" s="245"/>
      <c r="AI47" s="245"/>
      <c r="AJ47" s="245"/>
      <c r="AK47" s="245"/>
      <c r="AL47" s="245"/>
      <c r="AM47" s="245"/>
      <c r="AN47" s="342"/>
      <c r="AO47" s="346">
        <f>T47/P47</f>
        <v>0.86250000000000004</v>
      </c>
      <c r="AQ47" s="215"/>
      <c r="AR47" s="215"/>
      <c r="AS47" s="216"/>
      <c r="AY47" s="216"/>
      <c r="AZ47" s="216"/>
      <c r="BA47" s="216"/>
    </row>
    <row r="48" spans="1:53" s="348" customFormat="1" ht="30" customHeight="1">
      <c r="A48" s="248">
        <v>14</v>
      </c>
      <c r="B48" s="336" t="s">
        <v>409</v>
      </c>
      <c r="C48" s="336"/>
      <c r="D48" s="336"/>
      <c r="E48" s="337" t="s">
        <v>372</v>
      </c>
      <c r="F48" s="251" t="s">
        <v>326</v>
      </c>
      <c r="G48" s="345" t="s">
        <v>373</v>
      </c>
      <c r="H48" s="253">
        <v>2016</v>
      </c>
      <c r="I48" s="253"/>
      <c r="J48" s="253">
        <v>2018</v>
      </c>
      <c r="K48" s="253"/>
      <c r="L48" s="339" t="s">
        <v>410</v>
      </c>
      <c r="M48" s="340" t="s">
        <v>411</v>
      </c>
      <c r="N48" s="337">
        <v>4978</v>
      </c>
      <c r="O48" s="337"/>
      <c r="P48" s="337">
        <v>4978</v>
      </c>
      <c r="Q48" s="337">
        <f>3350+600</f>
        <v>3950</v>
      </c>
      <c r="R48" s="337"/>
      <c r="S48" s="337">
        <v>3350</v>
      </c>
      <c r="T48" s="337">
        <v>4280</v>
      </c>
      <c r="U48" s="337">
        <v>1029</v>
      </c>
      <c r="V48" s="245">
        <v>1029</v>
      </c>
      <c r="W48" s="341">
        <v>1029</v>
      </c>
      <c r="X48" s="245">
        <v>100</v>
      </c>
      <c r="Y48" s="341"/>
      <c r="Z48" s="245">
        <f t="shared" si="9"/>
        <v>1029</v>
      </c>
      <c r="AA48" s="244">
        <f t="shared" si="31"/>
        <v>4979</v>
      </c>
      <c r="AB48" s="244">
        <f t="shared" si="32"/>
        <v>1029</v>
      </c>
      <c r="AC48" s="244">
        <f t="shared" si="33"/>
        <v>4379</v>
      </c>
      <c r="AD48" s="244">
        <f t="shared" si="34"/>
        <v>4280</v>
      </c>
      <c r="AE48" s="244">
        <f t="shared" si="35"/>
        <v>0</v>
      </c>
      <c r="AF48" s="341"/>
      <c r="AG48" s="255"/>
      <c r="AH48" s="255"/>
      <c r="AI48" s="255"/>
      <c r="AJ48" s="255"/>
      <c r="AK48" s="255"/>
      <c r="AL48" s="255"/>
      <c r="AM48" s="255"/>
      <c r="AN48" s="337" t="s">
        <v>412</v>
      </c>
      <c r="AO48" s="347">
        <f>T48/P48</f>
        <v>0.85978304539975892</v>
      </c>
      <c r="AQ48" s="349"/>
      <c r="AR48" s="349"/>
      <c r="AS48" s="350"/>
      <c r="AY48" s="350"/>
      <c r="AZ48" s="350"/>
      <c r="BA48" s="350"/>
    </row>
    <row r="49" spans="1:53" s="348" customFormat="1" ht="30" customHeight="1">
      <c r="A49" s="248">
        <v>15</v>
      </c>
      <c r="B49" s="338" t="s">
        <v>413</v>
      </c>
      <c r="C49" s="338"/>
      <c r="D49" s="338"/>
      <c r="E49" s="337" t="s">
        <v>372</v>
      </c>
      <c r="F49" s="251" t="s">
        <v>326</v>
      </c>
      <c r="G49" s="338" t="s">
        <v>382</v>
      </c>
      <c r="H49" s="253">
        <v>2016</v>
      </c>
      <c r="I49" s="253"/>
      <c r="J49" s="253">
        <v>2018</v>
      </c>
      <c r="K49" s="253"/>
      <c r="L49" s="339" t="s">
        <v>414</v>
      </c>
      <c r="M49" s="344" t="s">
        <v>415</v>
      </c>
      <c r="N49" s="337">
        <v>4500</v>
      </c>
      <c r="O49" s="337"/>
      <c r="P49" s="337">
        <v>4500</v>
      </c>
      <c r="Q49" s="337">
        <v>3125</v>
      </c>
      <c r="R49" s="337"/>
      <c r="S49" s="337">
        <v>3125</v>
      </c>
      <c r="T49" s="337">
        <v>3900</v>
      </c>
      <c r="U49" s="337">
        <v>771</v>
      </c>
      <c r="V49" s="245">
        <v>771</v>
      </c>
      <c r="W49" s="341">
        <v>771</v>
      </c>
      <c r="X49" s="245">
        <v>100</v>
      </c>
      <c r="Y49" s="341"/>
      <c r="Z49" s="245">
        <f t="shared" si="9"/>
        <v>771</v>
      </c>
      <c r="AA49" s="244">
        <f t="shared" si="31"/>
        <v>3896</v>
      </c>
      <c r="AB49" s="244">
        <f t="shared" si="32"/>
        <v>771</v>
      </c>
      <c r="AC49" s="244">
        <f t="shared" si="33"/>
        <v>3896</v>
      </c>
      <c r="AD49" s="244">
        <f t="shared" si="34"/>
        <v>3900</v>
      </c>
      <c r="AE49" s="244">
        <f t="shared" si="35"/>
        <v>0</v>
      </c>
      <c r="AF49" s="341"/>
      <c r="AG49" s="255"/>
      <c r="AH49" s="255"/>
      <c r="AI49" s="255"/>
      <c r="AJ49" s="255"/>
      <c r="AK49" s="255"/>
      <c r="AL49" s="255"/>
      <c r="AM49" s="255"/>
      <c r="AN49" s="342"/>
      <c r="AQ49" s="349"/>
      <c r="AR49" s="349"/>
      <c r="AS49" s="350"/>
      <c r="AY49" s="350"/>
      <c r="AZ49" s="350"/>
      <c r="BA49" s="350"/>
    </row>
    <row r="50" spans="1:53" ht="30" customHeight="1">
      <c r="A50" s="248">
        <v>16</v>
      </c>
      <c r="B50" s="338" t="s">
        <v>416</v>
      </c>
      <c r="C50" s="338"/>
      <c r="D50" s="338"/>
      <c r="E50" s="337" t="s">
        <v>372</v>
      </c>
      <c r="F50" s="251" t="s">
        <v>326</v>
      </c>
      <c r="G50" s="343" t="s">
        <v>378</v>
      </c>
      <c r="H50" s="253">
        <v>2016</v>
      </c>
      <c r="I50" s="253"/>
      <c r="J50" s="253">
        <v>2018</v>
      </c>
      <c r="K50" s="253"/>
      <c r="L50" s="339" t="s">
        <v>417</v>
      </c>
      <c r="M50" s="344" t="s">
        <v>418</v>
      </c>
      <c r="N50" s="337">
        <v>3000</v>
      </c>
      <c r="O50" s="337"/>
      <c r="P50" s="337">
        <v>3000</v>
      </c>
      <c r="Q50" s="337">
        <v>1980</v>
      </c>
      <c r="R50" s="337"/>
      <c r="S50" s="337">
        <v>1980</v>
      </c>
      <c r="T50" s="337">
        <v>2550</v>
      </c>
      <c r="U50" s="337">
        <v>720</v>
      </c>
      <c r="V50" s="245">
        <v>720</v>
      </c>
      <c r="W50" s="341">
        <v>720</v>
      </c>
      <c r="X50" s="245">
        <v>100</v>
      </c>
      <c r="Y50" s="341"/>
      <c r="Z50" s="245">
        <f t="shared" si="9"/>
        <v>720</v>
      </c>
      <c r="AA50" s="244">
        <f t="shared" si="31"/>
        <v>2700</v>
      </c>
      <c r="AB50" s="244">
        <f t="shared" si="32"/>
        <v>720</v>
      </c>
      <c r="AC50" s="244">
        <f t="shared" si="33"/>
        <v>2700</v>
      </c>
      <c r="AD50" s="244">
        <f t="shared" si="34"/>
        <v>2550</v>
      </c>
      <c r="AE50" s="244">
        <f t="shared" si="35"/>
        <v>0</v>
      </c>
      <c r="AF50" s="341"/>
      <c r="AG50" s="245"/>
      <c r="AH50" s="245"/>
      <c r="AI50" s="245"/>
      <c r="AJ50" s="245"/>
      <c r="AK50" s="245"/>
      <c r="AL50" s="245"/>
      <c r="AM50" s="245"/>
      <c r="AN50" s="342"/>
      <c r="AQ50" s="215"/>
      <c r="AR50" s="215"/>
      <c r="AS50" s="216"/>
      <c r="AY50" s="216"/>
      <c r="AZ50" s="216"/>
      <c r="BA50" s="216"/>
    </row>
    <row r="51" spans="1:53" ht="30" customHeight="1">
      <c r="A51" s="248">
        <v>17</v>
      </c>
      <c r="B51" s="338" t="s">
        <v>419</v>
      </c>
      <c r="C51" s="338"/>
      <c r="D51" s="338"/>
      <c r="E51" s="337" t="s">
        <v>372</v>
      </c>
      <c r="F51" s="251" t="s">
        <v>326</v>
      </c>
      <c r="G51" s="249" t="s">
        <v>395</v>
      </c>
      <c r="H51" s="253">
        <v>2016</v>
      </c>
      <c r="I51" s="253"/>
      <c r="J51" s="253">
        <v>2018</v>
      </c>
      <c r="K51" s="253"/>
      <c r="L51" s="253"/>
      <c r="M51" s="344" t="s">
        <v>420</v>
      </c>
      <c r="N51" s="337">
        <v>4500</v>
      </c>
      <c r="O51" s="337"/>
      <c r="P51" s="337">
        <v>4500</v>
      </c>
      <c r="Q51" s="337">
        <v>3025</v>
      </c>
      <c r="R51" s="337"/>
      <c r="S51" s="337">
        <v>3025</v>
      </c>
      <c r="T51" s="337">
        <v>3850</v>
      </c>
      <c r="U51" s="337">
        <v>1025</v>
      </c>
      <c r="V51" s="245">
        <v>1025</v>
      </c>
      <c r="W51" s="341">
        <v>1025</v>
      </c>
      <c r="X51" s="245">
        <v>100</v>
      </c>
      <c r="Y51" s="341"/>
      <c r="Z51" s="245">
        <f t="shared" si="9"/>
        <v>1025</v>
      </c>
      <c r="AA51" s="244">
        <f t="shared" si="31"/>
        <v>4050</v>
      </c>
      <c r="AB51" s="244">
        <f t="shared" si="32"/>
        <v>1025</v>
      </c>
      <c r="AC51" s="244">
        <f t="shared" si="33"/>
        <v>4050</v>
      </c>
      <c r="AD51" s="244">
        <f t="shared" si="34"/>
        <v>3850</v>
      </c>
      <c r="AE51" s="244">
        <f t="shared" si="35"/>
        <v>0</v>
      </c>
      <c r="AF51" s="341"/>
      <c r="AG51" s="245"/>
      <c r="AH51" s="245"/>
      <c r="AI51" s="245"/>
      <c r="AJ51" s="245"/>
      <c r="AK51" s="245"/>
      <c r="AL51" s="245"/>
      <c r="AM51" s="245"/>
      <c r="AN51" s="342"/>
      <c r="AQ51" s="215"/>
      <c r="AR51" s="215"/>
      <c r="AS51" s="216"/>
      <c r="AY51" s="216"/>
      <c r="AZ51" s="216"/>
      <c r="BA51" s="216"/>
    </row>
    <row r="52" spans="1:53" ht="30" customHeight="1">
      <c r="A52" s="248">
        <v>18</v>
      </c>
      <c r="B52" s="338" t="s">
        <v>421</v>
      </c>
      <c r="C52" s="338"/>
      <c r="D52" s="338"/>
      <c r="E52" s="337" t="s">
        <v>372</v>
      </c>
      <c r="F52" s="251" t="s">
        <v>326</v>
      </c>
      <c r="G52" s="249" t="s">
        <v>395</v>
      </c>
      <c r="H52" s="253">
        <v>2016</v>
      </c>
      <c r="I52" s="253"/>
      <c r="J52" s="253">
        <v>2018</v>
      </c>
      <c r="K52" s="253"/>
      <c r="L52" s="253"/>
      <c r="M52" s="344" t="s">
        <v>422</v>
      </c>
      <c r="N52" s="337">
        <v>6324</v>
      </c>
      <c r="O52" s="337"/>
      <c r="P52" s="337">
        <v>6324</v>
      </c>
      <c r="Q52" s="337">
        <v>4000</v>
      </c>
      <c r="R52" s="337"/>
      <c r="S52" s="337">
        <v>4000</v>
      </c>
      <c r="T52" s="337">
        <v>5542</v>
      </c>
      <c r="U52" s="337">
        <v>1692</v>
      </c>
      <c r="V52" s="245">
        <v>1692</v>
      </c>
      <c r="W52" s="341">
        <v>1692</v>
      </c>
      <c r="X52" s="245">
        <v>100</v>
      </c>
      <c r="Y52" s="341"/>
      <c r="Z52" s="245">
        <f t="shared" si="9"/>
        <v>1692</v>
      </c>
      <c r="AA52" s="244">
        <f t="shared" si="31"/>
        <v>5692</v>
      </c>
      <c r="AB52" s="244">
        <f t="shared" si="32"/>
        <v>1692</v>
      </c>
      <c r="AC52" s="244">
        <f t="shared" si="33"/>
        <v>5692</v>
      </c>
      <c r="AD52" s="244">
        <f t="shared" si="34"/>
        <v>5542</v>
      </c>
      <c r="AE52" s="244">
        <f t="shared" si="35"/>
        <v>0</v>
      </c>
      <c r="AF52" s="341"/>
      <c r="AG52" s="245"/>
      <c r="AH52" s="245"/>
      <c r="AI52" s="245"/>
      <c r="AJ52" s="245"/>
      <c r="AK52" s="245"/>
      <c r="AL52" s="245"/>
      <c r="AM52" s="245"/>
      <c r="AN52" s="342"/>
      <c r="AQ52" s="215"/>
      <c r="AR52" s="215"/>
      <c r="AS52" s="216"/>
      <c r="AY52" s="216"/>
      <c r="AZ52" s="216"/>
      <c r="BA52" s="216"/>
    </row>
    <row r="53" spans="1:53" ht="30" customHeight="1">
      <c r="A53" s="248">
        <v>19</v>
      </c>
      <c r="B53" s="338" t="s">
        <v>423</v>
      </c>
      <c r="C53" s="338"/>
      <c r="D53" s="338"/>
      <c r="E53" s="337" t="s">
        <v>372</v>
      </c>
      <c r="F53" s="251" t="s">
        <v>326</v>
      </c>
      <c r="G53" s="338" t="s">
        <v>341</v>
      </c>
      <c r="H53" s="253">
        <v>2016</v>
      </c>
      <c r="I53" s="253"/>
      <c r="J53" s="253">
        <v>2018</v>
      </c>
      <c r="K53" s="253"/>
      <c r="L53" s="253"/>
      <c r="M53" s="344" t="s">
        <v>424</v>
      </c>
      <c r="N53" s="337">
        <v>4000</v>
      </c>
      <c r="O53" s="337"/>
      <c r="P53" s="337">
        <v>4000</v>
      </c>
      <c r="Q53" s="337">
        <v>2550</v>
      </c>
      <c r="R53" s="337"/>
      <c r="S53" s="337">
        <v>2550</v>
      </c>
      <c r="T53" s="337">
        <v>3450</v>
      </c>
      <c r="U53" s="337">
        <v>1050</v>
      </c>
      <c r="V53" s="245">
        <v>1050</v>
      </c>
      <c r="W53" s="341">
        <v>1050</v>
      </c>
      <c r="X53" s="245">
        <v>100</v>
      </c>
      <c r="Y53" s="341"/>
      <c r="Z53" s="245">
        <f t="shared" si="9"/>
        <v>1050</v>
      </c>
      <c r="AA53" s="244">
        <f t="shared" si="31"/>
        <v>3600</v>
      </c>
      <c r="AB53" s="244">
        <f t="shared" si="32"/>
        <v>1050</v>
      </c>
      <c r="AC53" s="244">
        <f t="shared" si="33"/>
        <v>3600</v>
      </c>
      <c r="AD53" s="244">
        <f t="shared" si="34"/>
        <v>3450</v>
      </c>
      <c r="AE53" s="244">
        <f t="shared" si="35"/>
        <v>0</v>
      </c>
      <c r="AF53" s="341"/>
      <c r="AG53" s="245"/>
      <c r="AH53" s="245"/>
      <c r="AI53" s="245"/>
      <c r="AJ53" s="245"/>
      <c r="AK53" s="245"/>
      <c r="AL53" s="245"/>
      <c r="AM53" s="245"/>
      <c r="AN53" s="342"/>
      <c r="AQ53" s="215"/>
      <c r="AR53" s="215"/>
      <c r="AS53" s="216"/>
      <c r="AY53" s="216"/>
      <c r="AZ53" s="216"/>
      <c r="BA53" s="216"/>
    </row>
    <row r="54" spans="1:53" ht="30" customHeight="1">
      <c r="A54" s="248">
        <v>20</v>
      </c>
      <c r="B54" s="338" t="s">
        <v>425</v>
      </c>
      <c r="C54" s="338"/>
      <c r="D54" s="338"/>
      <c r="E54" s="337" t="s">
        <v>372</v>
      </c>
      <c r="F54" s="251" t="s">
        <v>326</v>
      </c>
      <c r="G54" s="343" t="s">
        <v>378</v>
      </c>
      <c r="H54" s="253">
        <v>2016</v>
      </c>
      <c r="I54" s="253"/>
      <c r="J54" s="253">
        <v>2018</v>
      </c>
      <c r="K54" s="253"/>
      <c r="L54" s="253"/>
      <c r="M54" s="344" t="s">
        <v>426</v>
      </c>
      <c r="N54" s="337">
        <v>3200</v>
      </c>
      <c r="O54" s="337"/>
      <c r="P54" s="337">
        <v>3200</v>
      </c>
      <c r="Q54" s="337">
        <v>2120</v>
      </c>
      <c r="R54" s="337"/>
      <c r="S54" s="337">
        <v>2120</v>
      </c>
      <c r="T54" s="337">
        <v>2730</v>
      </c>
      <c r="U54" s="337">
        <v>760</v>
      </c>
      <c r="V54" s="245">
        <v>760</v>
      </c>
      <c r="W54" s="341">
        <v>760</v>
      </c>
      <c r="X54" s="245">
        <v>100</v>
      </c>
      <c r="Y54" s="341"/>
      <c r="Z54" s="245">
        <f t="shared" si="9"/>
        <v>760</v>
      </c>
      <c r="AA54" s="244">
        <f t="shared" si="31"/>
        <v>2880</v>
      </c>
      <c r="AB54" s="244">
        <f t="shared" si="32"/>
        <v>760</v>
      </c>
      <c r="AC54" s="244">
        <f t="shared" si="33"/>
        <v>2880</v>
      </c>
      <c r="AD54" s="244">
        <f t="shared" si="34"/>
        <v>2730</v>
      </c>
      <c r="AE54" s="244">
        <f t="shared" si="35"/>
        <v>0</v>
      </c>
      <c r="AF54" s="341"/>
      <c r="AG54" s="245"/>
      <c r="AH54" s="245"/>
      <c r="AI54" s="245"/>
      <c r="AJ54" s="245"/>
      <c r="AK54" s="245"/>
      <c r="AL54" s="245"/>
      <c r="AM54" s="245"/>
      <c r="AN54" s="342"/>
      <c r="AQ54" s="215"/>
      <c r="AR54" s="215"/>
      <c r="AS54" s="216"/>
      <c r="AY54" s="216"/>
      <c r="AZ54" s="216"/>
      <c r="BA54" s="216"/>
    </row>
    <row r="55" spans="1:53" ht="30" customHeight="1">
      <c r="A55" s="248">
        <v>21</v>
      </c>
      <c r="B55" s="336" t="s">
        <v>427</v>
      </c>
      <c r="C55" s="336"/>
      <c r="D55" s="336"/>
      <c r="E55" s="337" t="s">
        <v>372</v>
      </c>
      <c r="F55" s="251" t="s">
        <v>326</v>
      </c>
      <c r="G55" s="338" t="s">
        <v>382</v>
      </c>
      <c r="H55" s="253">
        <v>2016</v>
      </c>
      <c r="I55" s="253"/>
      <c r="J55" s="253">
        <v>2018</v>
      </c>
      <c r="K55" s="253"/>
      <c r="L55" s="339" t="s">
        <v>428</v>
      </c>
      <c r="M55" s="340" t="s">
        <v>429</v>
      </c>
      <c r="N55" s="337">
        <v>4800</v>
      </c>
      <c r="O55" s="337"/>
      <c r="P55" s="337">
        <v>4800</v>
      </c>
      <c r="Q55" s="337">
        <v>3030</v>
      </c>
      <c r="R55" s="337"/>
      <c r="S55" s="337">
        <v>3030</v>
      </c>
      <c r="T55" s="337">
        <v>4170</v>
      </c>
      <c r="U55" s="337">
        <v>1290</v>
      </c>
      <c r="V55" s="245">
        <v>1290</v>
      </c>
      <c r="W55" s="341">
        <v>1290</v>
      </c>
      <c r="X55" s="245">
        <v>100</v>
      </c>
      <c r="Y55" s="341"/>
      <c r="Z55" s="245">
        <f t="shared" si="9"/>
        <v>1290</v>
      </c>
      <c r="AA55" s="244">
        <f t="shared" si="31"/>
        <v>4320</v>
      </c>
      <c r="AB55" s="244">
        <f t="shared" si="32"/>
        <v>1290</v>
      </c>
      <c r="AC55" s="244">
        <f t="shared" si="33"/>
        <v>4320</v>
      </c>
      <c r="AD55" s="244">
        <f t="shared" si="34"/>
        <v>4170</v>
      </c>
      <c r="AE55" s="244">
        <f t="shared" si="35"/>
        <v>0</v>
      </c>
      <c r="AF55" s="341"/>
      <c r="AG55" s="245"/>
      <c r="AH55" s="245"/>
      <c r="AI55" s="245"/>
      <c r="AJ55" s="245"/>
      <c r="AK55" s="245"/>
      <c r="AL55" s="245"/>
      <c r="AM55" s="245"/>
      <c r="AN55" s="342"/>
      <c r="AQ55" s="215"/>
      <c r="AR55" s="215"/>
      <c r="AS55" s="216"/>
      <c r="AY55" s="216"/>
      <c r="AZ55" s="216"/>
      <c r="BA55" s="216"/>
    </row>
    <row r="56" spans="1:53" ht="30" customHeight="1">
      <c r="A56" s="248">
        <v>22</v>
      </c>
      <c r="B56" s="338" t="s">
        <v>430</v>
      </c>
      <c r="C56" s="338"/>
      <c r="D56" s="338"/>
      <c r="E56" s="337" t="s">
        <v>372</v>
      </c>
      <c r="F56" s="251" t="s">
        <v>326</v>
      </c>
      <c r="G56" s="249" t="s">
        <v>395</v>
      </c>
      <c r="H56" s="253">
        <v>2016</v>
      </c>
      <c r="I56" s="253"/>
      <c r="J56" s="253">
        <v>2018</v>
      </c>
      <c r="K56" s="253"/>
      <c r="L56" s="253"/>
      <c r="M56" s="344" t="s">
        <v>431</v>
      </c>
      <c r="N56" s="337">
        <v>3200</v>
      </c>
      <c r="O56" s="337"/>
      <c r="P56" s="337">
        <v>3200</v>
      </c>
      <c r="Q56" s="337">
        <v>2070</v>
      </c>
      <c r="R56" s="337"/>
      <c r="S56" s="337">
        <v>2070</v>
      </c>
      <c r="T56" s="337">
        <v>2730</v>
      </c>
      <c r="U56" s="337">
        <v>810</v>
      </c>
      <c r="V56" s="245">
        <v>810</v>
      </c>
      <c r="W56" s="341">
        <v>810</v>
      </c>
      <c r="X56" s="245">
        <v>100</v>
      </c>
      <c r="Y56" s="341"/>
      <c r="Z56" s="245">
        <f t="shared" si="9"/>
        <v>810</v>
      </c>
      <c r="AA56" s="244">
        <f t="shared" si="31"/>
        <v>2880</v>
      </c>
      <c r="AB56" s="244">
        <f t="shared" si="32"/>
        <v>810</v>
      </c>
      <c r="AC56" s="244">
        <f t="shared" si="33"/>
        <v>2880</v>
      </c>
      <c r="AD56" s="244">
        <f t="shared" si="34"/>
        <v>2730</v>
      </c>
      <c r="AE56" s="244">
        <f t="shared" si="35"/>
        <v>0</v>
      </c>
      <c r="AF56" s="341"/>
      <c r="AG56" s="245"/>
      <c r="AH56" s="245"/>
      <c r="AI56" s="245"/>
      <c r="AJ56" s="245"/>
      <c r="AK56" s="245"/>
      <c r="AL56" s="245"/>
      <c r="AM56" s="245"/>
      <c r="AN56" s="342"/>
      <c r="AQ56" s="215"/>
      <c r="AR56" s="215"/>
      <c r="AS56" s="216"/>
      <c r="AY56" s="216"/>
      <c r="AZ56" s="216"/>
      <c r="BA56" s="216"/>
    </row>
    <row r="57" spans="1:53" ht="30" customHeight="1">
      <c r="A57" s="248">
        <v>23</v>
      </c>
      <c r="B57" s="336" t="s">
        <v>432</v>
      </c>
      <c r="C57" s="336"/>
      <c r="D57" s="336"/>
      <c r="E57" s="337" t="s">
        <v>372</v>
      </c>
      <c r="F57" s="251" t="s">
        <v>326</v>
      </c>
      <c r="G57" s="343" t="s">
        <v>333</v>
      </c>
      <c r="H57" s="253">
        <v>2016</v>
      </c>
      <c r="I57" s="253"/>
      <c r="J57" s="253">
        <v>2018</v>
      </c>
      <c r="K57" s="253"/>
      <c r="L57" s="253"/>
      <c r="M57" s="340" t="s">
        <v>433</v>
      </c>
      <c r="N57" s="337">
        <v>2794</v>
      </c>
      <c r="O57" s="337"/>
      <c r="P57" s="337">
        <v>2794</v>
      </c>
      <c r="Q57" s="337">
        <v>2050</v>
      </c>
      <c r="R57" s="337"/>
      <c r="S57" s="337">
        <v>2050</v>
      </c>
      <c r="T57" s="337">
        <v>2365</v>
      </c>
      <c r="U57" s="337">
        <v>465</v>
      </c>
      <c r="V57" s="245">
        <v>465</v>
      </c>
      <c r="W57" s="341">
        <v>465</v>
      </c>
      <c r="X57" s="245">
        <v>100</v>
      </c>
      <c r="Y57" s="341"/>
      <c r="Z57" s="245">
        <f t="shared" si="9"/>
        <v>465</v>
      </c>
      <c r="AA57" s="244">
        <f t="shared" si="31"/>
        <v>2515</v>
      </c>
      <c r="AB57" s="244">
        <f t="shared" si="32"/>
        <v>465</v>
      </c>
      <c r="AC57" s="244">
        <f t="shared" si="33"/>
        <v>2515</v>
      </c>
      <c r="AD57" s="244">
        <f t="shared" si="34"/>
        <v>2365</v>
      </c>
      <c r="AE57" s="244">
        <f t="shared" si="35"/>
        <v>0</v>
      </c>
      <c r="AF57" s="341"/>
      <c r="AG57" s="245"/>
      <c r="AH57" s="245"/>
      <c r="AI57" s="245"/>
      <c r="AJ57" s="245"/>
      <c r="AK57" s="245"/>
      <c r="AL57" s="245"/>
      <c r="AM57" s="245"/>
      <c r="AN57" s="342"/>
      <c r="AQ57" s="215"/>
      <c r="AR57" s="215"/>
      <c r="AS57" s="216"/>
      <c r="AY57" s="216"/>
      <c r="AZ57" s="216"/>
      <c r="BA57" s="216"/>
    </row>
    <row r="58" spans="1:53" ht="30" customHeight="1">
      <c r="A58" s="248">
        <v>24</v>
      </c>
      <c r="B58" s="338" t="s">
        <v>434</v>
      </c>
      <c r="C58" s="338"/>
      <c r="D58" s="338"/>
      <c r="E58" s="337" t="s">
        <v>372</v>
      </c>
      <c r="F58" s="251" t="s">
        <v>326</v>
      </c>
      <c r="G58" s="351" t="s">
        <v>435</v>
      </c>
      <c r="H58" s="253">
        <v>2016</v>
      </c>
      <c r="I58" s="253"/>
      <c r="J58" s="253">
        <v>2018</v>
      </c>
      <c r="K58" s="253"/>
      <c r="L58" s="339" t="s">
        <v>436</v>
      </c>
      <c r="M58" s="344" t="s">
        <v>437</v>
      </c>
      <c r="N58" s="337">
        <v>3230</v>
      </c>
      <c r="O58" s="337"/>
      <c r="P58" s="337">
        <v>3230</v>
      </c>
      <c r="Q58" s="337">
        <v>2125</v>
      </c>
      <c r="R58" s="337"/>
      <c r="S58" s="337">
        <v>2125</v>
      </c>
      <c r="T58" s="337">
        <v>2757</v>
      </c>
      <c r="U58" s="337">
        <v>782</v>
      </c>
      <c r="V58" s="245">
        <v>782</v>
      </c>
      <c r="W58" s="341">
        <v>782</v>
      </c>
      <c r="X58" s="245">
        <v>100</v>
      </c>
      <c r="Y58" s="341"/>
      <c r="Z58" s="245">
        <f t="shared" si="9"/>
        <v>782</v>
      </c>
      <c r="AA58" s="244">
        <f t="shared" si="31"/>
        <v>2907</v>
      </c>
      <c r="AB58" s="244">
        <f t="shared" si="32"/>
        <v>782</v>
      </c>
      <c r="AC58" s="244">
        <f t="shared" si="33"/>
        <v>2907</v>
      </c>
      <c r="AD58" s="244">
        <f t="shared" si="34"/>
        <v>2757</v>
      </c>
      <c r="AE58" s="244">
        <f t="shared" si="35"/>
        <v>0</v>
      </c>
      <c r="AF58" s="341"/>
      <c r="AG58" s="245"/>
      <c r="AH58" s="245"/>
      <c r="AI58" s="245"/>
      <c r="AJ58" s="245"/>
      <c r="AK58" s="245"/>
      <c r="AL58" s="245"/>
      <c r="AM58" s="245"/>
      <c r="AN58" s="342"/>
      <c r="AQ58" s="215"/>
      <c r="AR58" s="215"/>
      <c r="AS58" s="216"/>
      <c r="AY58" s="216"/>
      <c r="AZ58" s="216"/>
      <c r="BA58" s="216"/>
    </row>
    <row r="59" spans="1:53" ht="30" customHeight="1">
      <c r="A59" s="248">
        <v>25</v>
      </c>
      <c r="B59" s="336" t="s">
        <v>438</v>
      </c>
      <c r="C59" s="336"/>
      <c r="D59" s="336"/>
      <c r="E59" s="337" t="s">
        <v>372</v>
      </c>
      <c r="F59" s="251" t="s">
        <v>326</v>
      </c>
      <c r="G59" s="343" t="s">
        <v>378</v>
      </c>
      <c r="H59" s="253">
        <v>2016</v>
      </c>
      <c r="I59" s="253"/>
      <c r="J59" s="253">
        <v>2018</v>
      </c>
      <c r="K59" s="253"/>
      <c r="L59" s="253"/>
      <c r="M59" s="340" t="s">
        <v>439</v>
      </c>
      <c r="N59" s="337">
        <v>3200</v>
      </c>
      <c r="O59" s="337"/>
      <c r="P59" s="337">
        <v>3200</v>
      </c>
      <c r="Q59" s="337">
        <v>2080</v>
      </c>
      <c r="R59" s="337"/>
      <c r="S59" s="337">
        <v>2080</v>
      </c>
      <c r="T59" s="337">
        <v>2730</v>
      </c>
      <c r="U59" s="337">
        <v>800</v>
      </c>
      <c r="V59" s="245">
        <v>800</v>
      </c>
      <c r="W59" s="341">
        <v>800</v>
      </c>
      <c r="X59" s="245">
        <v>100</v>
      </c>
      <c r="Y59" s="341"/>
      <c r="Z59" s="245">
        <f t="shared" si="9"/>
        <v>800</v>
      </c>
      <c r="AA59" s="244">
        <f t="shared" si="31"/>
        <v>2880</v>
      </c>
      <c r="AB59" s="244">
        <f t="shared" si="32"/>
        <v>800</v>
      </c>
      <c r="AC59" s="244">
        <f t="shared" si="33"/>
        <v>2880</v>
      </c>
      <c r="AD59" s="244">
        <f t="shared" si="34"/>
        <v>2730</v>
      </c>
      <c r="AE59" s="244">
        <f t="shared" si="35"/>
        <v>0</v>
      </c>
      <c r="AF59" s="341"/>
      <c r="AG59" s="245"/>
      <c r="AH59" s="245"/>
      <c r="AI59" s="245"/>
      <c r="AJ59" s="245"/>
      <c r="AK59" s="245"/>
      <c r="AL59" s="245"/>
      <c r="AM59" s="245"/>
      <c r="AN59" s="342"/>
      <c r="AQ59" s="215"/>
      <c r="AR59" s="215"/>
      <c r="AS59" s="216"/>
      <c r="AY59" s="216"/>
      <c r="AZ59" s="216"/>
      <c r="BA59" s="216"/>
    </row>
    <row r="60" spans="1:53" ht="30" customHeight="1">
      <c r="A60" s="248">
        <v>26</v>
      </c>
      <c r="B60" s="338" t="s">
        <v>440</v>
      </c>
      <c r="C60" s="338"/>
      <c r="D60" s="338"/>
      <c r="E60" s="337" t="s">
        <v>372</v>
      </c>
      <c r="F60" s="251" t="s">
        <v>326</v>
      </c>
      <c r="G60" s="249" t="s">
        <v>395</v>
      </c>
      <c r="H60" s="253">
        <v>2016</v>
      </c>
      <c r="I60" s="253"/>
      <c r="J60" s="253">
        <v>2018</v>
      </c>
      <c r="K60" s="253"/>
      <c r="L60" s="253"/>
      <c r="M60" s="344" t="s">
        <v>441</v>
      </c>
      <c r="N60" s="337">
        <v>3200</v>
      </c>
      <c r="O60" s="337"/>
      <c r="P60" s="337">
        <v>3200</v>
      </c>
      <c r="Q60" s="337">
        <v>2080</v>
      </c>
      <c r="R60" s="337"/>
      <c r="S60" s="337">
        <v>2080</v>
      </c>
      <c r="T60" s="337">
        <v>2730</v>
      </c>
      <c r="U60" s="337">
        <v>800</v>
      </c>
      <c r="V60" s="245">
        <v>800</v>
      </c>
      <c r="W60" s="341">
        <v>800</v>
      </c>
      <c r="X60" s="245">
        <v>100</v>
      </c>
      <c r="Y60" s="341"/>
      <c r="Z60" s="245">
        <f t="shared" si="9"/>
        <v>800</v>
      </c>
      <c r="AA60" s="244">
        <f t="shared" si="31"/>
        <v>2880</v>
      </c>
      <c r="AB60" s="244">
        <f t="shared" si="32"/>
        <v>800</v>
      </c>
      <c r="AC60" s="244">
        <f t="shared" si="33"/>
        <v>2880</v>
      </c>
      <c r="AD60" s="244">
        <f t="shared" si="34"/>
        <v>2730</v>
      </c>
      <c r="AE60" s="244">
        <f t="shared" si="35"/>
        <v>0</v>
      </c>
      <c r="AF60" s="341"/>
      <c r="AG60" s="245"/>
      <c r="AH60" s="245"/>
      <c r="AI60" s="245"/>
      <c r="AJ60" s="245"/>
      <c r="AK60" s="245"/>
      <c r="AL60" s="245"/>
      <c r="AM60" s="245"/>
      <c r="AN60" s="342"/>
      <c r="AQ60" s="215"/>
      <c r="AR60" s="215"/>
      <c r="AS60" s="216"/>
      <c r="AY60" s="216"/>
      <c r="AZ60" s="216"/>
      <c r="BA60" s="216"/>
    </row>
    <row r="61" spans="1:53" ht="30" customHeight="1">
      <c r="A61" s="248">
        <v>27</v>
      </c>
      <c r="B61" s="338" t="s">
        <v>442</v>
      </c>
      <c r="C61" s="338"/>
      <c r="D61" s="338"/>
      <c r="E61" s="337" t="s">
        <v>372</v>
      </c>
      <c r="F61" s="251" t="s">
        <v>326</v>
      </c>
      <c r="G61" s="249" t="s">
        <v>395</v>
      </c>
      <c r="H61" s="253">
        <v>2016</v>
      </c>
      <c r="I61" s="253"/>
      <c r="J61" s="253">
        <v>2018</v>
      </c>
      <c r="K61" s="253"/>
      <c r="L61" s="253"/>
      <c r="M61" s="344" t="s">
        <v>443</v>
      </c>
      <c r="N61" s="337">
        <v>4800</v>
      </c>
      <c r="O61" s="337"/>
      <c r="P61" s="337">
        <v>4800</v>
      </c>
      <c r="Q61" s="337">
        <v>3080</v>
      </c>
      <c r="R61" s="337"/>
      <c r="S61" s="337">
        <v>3080</v>
      </c>
      <c r="T61" s="337">
        <v>4210</v>
      </c>
      <c r="U61" s="337">
        <v>1240</v>
      </c>
      <c r="V61" s="245">
        <v>1240</v>
      </c>
      <c r="W61" s="341">
        <v>1240</v>
      </c>
      <c r="X61" s="245">
        <v>100</v>
      </c>
      <c r="Y61" s="341"/>
      <c r="Z61" s="245">
        <f t="shared" si="9"/>
        <v>1240</v>
      </c>
      <c r="AA61" s="244">
        <f t="shared" si="31"/>
        <v>4320</v>
      </c>
      <c r="AB61" s="244">
        <f t="shared" si="32"/>
        <v>1240</v>
      </c>
      <c r="AC61" s="244">
        <f t="shared" si="33"/>
        <v>4320</v>
      </c>
      <c r="AD61" s="244">
        <f t="shared" si="34"/>
        <v>4210</v>
      </c>
      <c r="AE61" s="244">
        <f t="shared" si="35"/>
        <v>0</v>
      </c>
      <c r="AF61" s="341"/>
      <c r="AG61" s="245"/>
      <c r="AH61" s="245"/>
      <c r="AI61" s="245"/>
      <c r="AJ61" s="245"/>
      <c r="AK61" s="245"/>
      <c r="AL61" s="245"/>
      <c r="AM61" s="245"/>
      <c r="AN61" s="342"/>
      <c r="AQ61" s="215"/>
      <c r="AR61" s="215"/>
      <c r="AS61" s="216"/>
      <c r="AY61" s="216"/>
      <c r="AZ61" s="216"/>
      <c r="BA61" s="216"/>
    </row>
    <row r="62" spans="1:53" ht="30" customHeight="1">
      <c r="A62" s="248">
        <v>28</v>
      </c>
      <c r="B62" s="338" t="s">
        <v>444</v>
      </c>
      <c r="C62" s="338"/>
      <c r="D62" s="338"/>
      <c r="E62" s="337" t="s">
        <v>372</v>
      </c>
      <c r="F62" s="251" t="s">
        <v>326</v>
      </c>
      <c r="G62" s="338" t="s">
        <v>341</v>
      </c>
      <c r="H62" s="253">
        <v>2016</v>
      </c>
      <c r="I62" s="253"/>
      <c r="J62" s="253">
        <v>2018</v>
      </c>
      <c r="K62" s="253"/>
      <c r="L62" s="253"/>
      <c r="M62" s="344" t="s">
        <v>445</v>
      </c>
      <c r="N62" s="337">
        <v>4800</v>
      </c>
      <c r="O62" s="337"/>
      <c r="P62" s="337">
        <v>4800</v>
      </c>
      <c r="Q62" s="337">
        <v>2950</v>
      </c>
      <c r="R62" s="337"/>
      <c r="S62" s="337">
        <v>2950</v>
      </c>
      <c r="T62" s="337">
        <v>4320</v>
      </c>
      <c r="U62" s="337">
        <v>1370</v>
      </c>
      <c r="V62" s="245">
        <v>1370</v>
      </c>
      <c r="W62" s="341">
        <v>1370</v>
      </c>
      <c r="X62" s="245">
        <v>100</v>
      </c>
      <c r="Y62" s="341"/>
      <c r="Z62" s="245">
        <f t="shared" si="9"/>
        <v>1370</v>
      </c>
      <c r="AA62" s="244">
        <f t="shared" si="31"/>
        <v>4320</v>
      </c>
      <c r="AB62" s="244">
        <f t="shared" si="32"/>
        <v>1370</v>
      </c>
      <c r="AC62" s="244">
        <f t="shared" si="33"/>
        <v>4320</v>
      </c>
      <c r="AD62" s="244">
        <f t="shared" si="34"/>
        <v>4320</v>
      </c>
      <c r="AE62" s="244">
        <f t="shared" si="35"/>
        <v>0</v>
      </c>
      <c r="AF62" s="341"/>
      <c r="AG62" s="245"/>
      <c r="AH62" s="245"/>
      <c r="AI62" s="245"/>
      <c r="AJ62" s="245"/>
      <c r="AK62" s="245"/>
      <c r="AL62" s="245"/>
      <c r="AM62" s="245"/>
      <c r="AN62" s="342"/>
      <c r="AQ62" s="215"/>
      <c r="AR62" s="215"/>
      <c r="AS62" s="216"/>
      <c r="AY62" s="216"/>
      <c r="AZ62" s="216"/>
      <c r="BA62" s="216"/>
    </row>
    <row r="63" spans="1:53" ht="30" customHeight="1">
      <c r="A63" s="248">
        <v>29</v>
      </c>
      <c r="B63" s="338" t="s">
        <v>446</v>
      </c>
      <c r="C63" s="338"/>
      <c r="D63" s="338"/>
      <c r="E63" s="337" t="s">
        <v>372</v>
      </c>
      <c r="F63" s="251" t="s">
        <v>326</v>
      </c>
      <c r="G63" s="338" t="s">
        <v>341</v>
      </c>
      <c r="H63" s="253">
        <v>2016</v>
      </c>
      <c r="I63" s="253"/>
      <c r="J63" s="253">
        <v>2018</v>
      </c>
      <c r="K63" s="253"/>
      <c r="L63" s="253"/>
      <c r="M63" s="344" t="s">
        <v>447</v>
      </c>
      <c r="N63" s="337">
        <v>2500</v>
      </c>
      <c r="O63" s="337"/>
      <c r="P63" s="337">
        <v>2500</v>
      </c>
      <c r="Q63" s="337">
        <v>1650</v>
      </c>
      <c r="R63" s="337"/>
      <c r="S63" s="337">
        <v>1650</v>
      </c>
      <c r="T63" s="337">
        <v>2150</v>
      </c>
      <c r="U63" s="337">
        <v>600</v>
      </c>
      <c r="V63" s="245">
        <v>600</v>
      </c>
      <c r="W63" s="341">
        <v>600</v>
      </c>
      <c r="X63" s="245">
        <v>100</v>
      </c>
      <c r="Y63" s="341"/>
      <c r="Z63" s="245">
        <f t="shared" si="9"/>
        <v>600</v>
      </c>
      <c r="AA63" s="244">
        <f t="shared" si="31"/>
        <v>2250</v>
      </c>
      <c r="AB63" s="244">
        <f t="shared" si="32"/>
        <v>600</v>
      </c>
      <c r="AC63" s="244">
        <f t="shared" si="33"/>
        <v>2250</v>
      </c>
      <c r="AD63" s="244">
        <f t="shared" si="34"/>
        <v>2150</v>
      </c>
      <c r="AE63" s="244">
        <f t="shared" si="35"/>
        <v>0</v>
      </c>
      <c r="AF63" s="341"/>
      <c r="AG63" s="245"/>
      <c r="AH63" s="245"/>
      <c r="AI63" s="245"/>
      <c r="AJ63" s="245"/>
      <c r="AK63" s="245"/>
      <c r="AL63" s="245"/>
      <c r="AM63" s="245"/>
      <c r="AN63" s="342"/>
      <c r="AQ63" s="215"/>
      <c r="AR63" s="215"/>
      <c r="AS63" s="216"/>
      <c r="AY63" s="216"/>
      <c r="AZ63" s="216"/>
      <c r="BA63" s="216"/>
    </row>
    <row r="64" spans="1:53" ht="30" customHeight="1">
      <c r="A64" s="248">
        <v>30</v>
      </c>
      <c r="B64" s="338" t="s">
        <v>448</v>
      </c>
      <c r="C64" s="338"/>
      <c r="D64" s="338"/>
      <c r="E64" s="337" t="s">
        <v>372</v>
      </c>
      <c r="F64" s="251" t="s">
        <v>326</v>
      </c>
      <c r="G64" s="249" t="s">
        <v>395</v>
      </c>
      <c r="H64" s="253">
        <v>2016</v>
      </c>
      <c r="I64" s="253"/>
      <c r="J64" s="253">
        <v>2018</v>
      </c>
      <c r="K64" s="253"/>
      <c r="L64" s="253"/>
      <c r="M64" s="344" t="s">
        <v>449</v>
      </c>
      <c r="N64" s="337">
        <v>4800</v>
      </c>
      <c r="O64" s="337"/>
      <c r="P64" s="337">
        <v>1800</v>
      </c>
      <c r="Q64" s="352">
        <v>3510</v>
      </c>
      <c r="R64" s="337"/>
      <c r="S64" s="337">
        <v>510</v>
      </c>
      <c r="T64" s="337">
        <v>1620</v>
      </c>
      <c r="U64" s="337">
        <v>1110</v>
      </c>
      <c r="V64" s="245">
        <v>1110</v>
      </c>
      <c r="W64" s="341">
        <v>1110</v>
      </c>
      <c r="X64" s="245">
        <v>100</v>
      </c>
      <c r="Y64" s="353"/>
      <c r="Z64" s="245">
        <f t="shared" si="9"/>
        <v>1110</v>
      </c>
      <c r="AA64" s="244">
        <f t="shared" si="31"/>
        <v>4620</v>
      </c>
      <c r="AB64" s="244">
        <f t="shared" si="32"/>
        <v>1110</v>
      </c>
      <c r="AC64" s="244">
        <f t="shared" si="33"/>
        <v>1620</v>
      </c>
      <c r="AD64" s="244">
        <f t="shared" si="34"/>
        <v>1620</v>
      </c>
      <c r="AE64" s="244">
        <f t="shared" si="35"/>
        <v>0</v>
      </c>
      <c r="AF64" s="353"/>
      <c r="AG64" s="245"/>
      <c r="AH64" s="245"/>
      <c r="AI64" s="245"/>
      <c r="AJ64" s="245"/>
      <c r="AK64" s="245"/>
      <c r="AL64" s="245"/>
      <c r="AM64" s="245"/>
      <c r="AN64" s="342" t="s">
        <v>450</v>
      </c>
      <c r="AQ64" s="215"/>
      <c r="AR64" s="215"/>
      <c r="AS64" s="216"/>
      <c r="AY64" s="216"/>
      <c r="AZ64" s="216"/>
      <c r="BA64" s="216"/>
    </row>
    <row r="65" spans="1:53" ht="30" customHeight="1">
      <c r="A65" s="248">
        <v>31</v>
      </c>
      <c r="B65" s="338" t="s">
        <v>451</v>
      </c>
      <c r="C65" s="338"/>
      <c r="D65" s="338"/>
      <c r="E65" s="337" t="s">
        <v>372</v>
      </c>
      <c r="F65" s="251" t="s">
        <v>326</v>
      </c>
      <c r="G65" s="351" t="s">
        <v>435</v>
      </c>
      <c r="H65" s="253">
        <v>2016</v>
      </c>
      <c r="I65" s="253"/>
      <c r="J65" s="253">
        <v>2018</v>
      </c>
      <c r="K65" s="253"/>
      <c r="L65" s="253"/>
      <c r="M65" s="344" t="s">
        <v>452</v>
      </c>
      <c r="N65" s="337">
        <v>3000</v>
      </c>
      <c r="O65" s="337"/>
      <c r="P65" s="337">
        <v>3000</v>
      </c>
      <c r="Q65" s="337">
        <v>1900</v>
      </c>
      <c r="R65" s="337"/>
      <c r="S65" s="337">
        <v>1900</v>
      </c>
      <c r="T65" s="337">
        <v>2700</v>
      </c>
      <c r="U65" s="337">
        <v>800</v>
      </c>
      <c r="V65" s="245">
        <v>800</v>
      </c>
      <c r="W65" s="341">
        <v>800</v>
      </c>
      <c r="X65" s="245">
        <v>100</v>
      </c>
      <c r="Y65" s="341"/>
      <c r="Z65" s="245">
        <f t="shared" si="9"/>
        <v>800</v>
      </c>
      <c r="AA65" s="244">
        <f t="shared" si="31"/>
        <v>2700</v>
      </c>
      <c r="AB65" s="244">
        <f t="shared" si="32"/>
        <v>800</v>
      </c>
      <c r="AC65" s="244">
        <f t="shared" si="33"/>
        <v>2700</v>
      </c>
      <c r="AD65" s="244">
        <f t="shared" si="34"/>
        <v>2700</v>
      </c>
      <c r="AE65" s="244">
        <f t="shared" si="35"/>
        <v>0</v>
      </c>
      <c r="AF65" s="341"/>
      <c r="AG65" s="245"/>
      <c r="AH65" s="245"/>
      <c r="AI65" s="245"/>
      <c r="AJ65" s="245"/>
      <c r="AK65" s="245"/>
      <c r="AL65" s="245"/>
      <c r="AM65" s="245"/>
      <c r="AN65" s="342"/>
      <c r="AQ65" s="215"/>
      <c r="AR65" s="215"/>
      <c r="AS65" s="216"/>
      <c r="AY65" s="216"/>
      <c r="AZ65" s="216"/>
      <c r="BA65" s="216"/>
    </row>
    <row r="66" spans="1:53" ht="30" customHeight="1">
      <c r="A66" s="248">
        <v>32</v>
      </c>
      <c r="B66" s="345" t="s">
        <v>453</v>
      </c>
      <c r="C66" s="345"/>
      <c r="D66" s="345"/>
      <c r="E66" s="337" t="s">
        <v>372</v>
      </c>
      <c r="F66" s="251" t="s">
        <v>326</v>
      </c>
      <c r="G66" s="249" t="s">
        <v>395</v>
      </c>
      <c r="H66" s="253">
        <v>2016</v>
      </c>
      <c r="I66" s="253"/>
      <c r="J66" s="253">
        <v>2018</v>
      </c>
      <c r="K66" s="253"/>
      <c r="L66" s="253"/>
      <c r="M66" s="340" t="s">
        <v>454</v>
      </c>
      <c r="N66" s="337">
        <v>1888</v>
      </c>
      <c r="O66" s="337"/>
      <c r="P66" s="337">
        <v>1888</v>
      </c>
      <c r="Q66" s="337">
        <v>750</v>
      </c>
      <c r="R66" s="337"/>
      <c r="S66" s="337">
        <v>750</v>
      </c>
      <c r="T66" s="337">
        <v>1549</v>
      </c>
      <c r="U66" s="337">
        <v>949</v>
      </c>
      <c r="V66" s="245">
        <v>949</v>
      </c>
      <c r="W66" s="341">
        <v>949</v>
      </c>
      <c r="X66" s="245">
        <v>100</v>
      </c>
      <c r="Y66" s="341"/>
      <c r="Z66" s="245">
        <f t="shared" si="9"/>
        <v>949</v>
      </c>
      <c r="AA66" s="244">
        <f t="shared" si="31"/>
        <v>1699</v>
      </c>
      <c r="AB66" s="244">
        <f t="shared" si="32"/>
        <v>949</v>
      </c>
      <c r="AC66" s="244">
        <f t="shared" si="33"/>
        <v>1699</v>
      </c>
      <c r="AD66" s="244">
        <f t="shared" si="34"/>
        <v>1549</v>
      </c>
      <c r="AE66" s="244">
        <f t="shared" si="35"/>
        <v>0</v>
      </c>
      <c r="AF66" s="341"/>
      <c r="AG66" s="245"/>
      <c r="AH66" s="245"/>
      <c r="AI66" s="245"/>
      <c r="AJ66" s="245"/>
      <c r="AK66" s="245"/>
      <c r="AL66" s="245"/>
      <c r="AM66" s="245"/>
      <c r="AN66" s="342"/>
      <c r="AQ66" s="215"/>
      <c r="AR66" s="215"/>
      <c r="AS66" s="216"/>
      <c r="AY66" s="216"/>
      <c r="AZ66" s="216"/>
      <c r="BA66" s="216"/>
    </row>
    <row r="67" spans="1:53" ht="30" customHeight="1">
      <c r="A67" s="248">
        <v>33</v>
      </c>
      <c r="B67" s="336" t="s">
        <v>455</v>
      </c>
      <c r="C67" s="336"/>
      <c r="D67" s="336"/>
      <c r="E67" s="337" t="s">
        <v>372</v>
      </c>
      <c r="F67" s="251" t="s">
        <v>326</v>
      </c>
      <c r="G67" s="338" t="s">
        <v>401</v>
      </c>
      <c r="H67" s="253">
        <v>2016</v>
      </c>
      <c r="I67" s="253"/>
      <c r="J67" s="253">
        <v>2018</v>
      </c>
      <c r="K67" s="253"/>
      <c r="L67" s="339" t="s">
        <v>456</v>
      </c>
      <c r="M67" s="340" t="s">
        <v>457</v>
      </c>
      <c r="N67" s="337">
        <v>3000</v>
      </c>
      <c r="O67" s="337"/>
      <c r="P67" s="337">
        <v>3000</v>
      </c>
      <c r="Q67" s="337">
        <v>1953</v>
      </c>
      <c r="R67" s="337"/>
      <c r="S67" s="337">
        <v>1953</v>
      </c>
      <c r="T67" s="337">
        <v>2500</v>
      </c>
      <c r="U67" s="337">
        <v>747</v>
      </c>
      <c r="V67" s="245">
        <v>747</v>
      </c>
      <c r="W67" s="341">
        <v>747</v>
      </c>
      <c r="X67" s="245">
        <v>100</v>
      </c>
      <c r="Y67" s="341"/>
      <c r="Z67" s="245">
        <f t="shared" si="9"/>
        <v>747</v>
      </c>
      <c r="AA67" s="244">
        <f t="shared" si="31"/>
        <v>2700</v>
      </c>
      <c r="AB67" s="244">
        <f t="shared" si="32"/>
        <v>747</v>
      </c>
      <c r="AC67" s="244">
        <f t="shared" si="33"/>
        <v>2700</v>
      </c>
      <c r="AD67" s="244">
        <f t="shared" si="34"/>
        <v>2500</v>
      </c>
      <c r="AE67" s="244">
        <f t="shared" si="35"/>
        <v>0</v>
      </c>
      <c r="AF67" s="341"/>
      <c r="AG67" s="245"/>
      <c r="AH67" s="245"/>
      <c r="AI67" s="245"/>
      <c r="AJ67" s="245"/>
      <c r="AK67" s="245"/>
      <c r="AL67" s="245"/>
      <c r="AM67" s="245"/>
      <c r="AN67" s="342"/>
      <c r="AQ67" s="215"/>
      <c r="AR67" s="215"/>
      <c r="AS67" s="216"/>
      <c r="AY67" s="216"/>
      <c r="AZ67" s="216"/>
      <c r="BA67" s="216"/>
    </row>
    <row r="68" spans="1:53" ht="30" customHeight="1">
      <c r="A68" s="248">
        <v>34</v>
      </c>
      <c r="B68" s="336" t="s">
        <v>458</v>
      </c>
      <c r="C68" s="336"/>
      <c r="D68" s="336"/>
      <c r="E68" s="337" t="s">
        <v>372</v>
      </c>
      <c r="F68" s="251" t="s">
        <v>326</v>
      </c>
      <c r="G68" s="338" t="s">
        <v>373</v>
      </c>
      <c r="H68" s="253">
        <v>2016</v>
      </c>
      <c r="I68" s="253"/>
      <c r="J68" s="253">
        <v>2018</v>
      </c>
      <c r="K68" s="253"/>
      <c r="L68" s="339" t="s">
        <v>459</v>
      </c>
      <c r="M68" s="340" t="s">
        <v>460</v>
      </c>
      <c r="N68" s="337">
        <v>2578</v>
      </c>
      <c r="O68" s="337"/>
      <c r="P68" s="337">
        <v>2578</v>
      </c>
      <c r="Q68" s="337">
        <v>1815</v>
      </c>
      <c r="R68" s="337"/>
      <c r="S68" s="337">
        <v>1815</v>
      </c>
      <c r="T68" s="337">
        <v>2070</v>
      </c>
      <c r="U68" s="337">
        <v>505</v>
      </c>
      <c r="V68" s="245">
        <v>505</v>
      </c>
      <c r="W68" s="341">
        <v>505</v>
      </c>
      <c r="X68" s="245">
        <v>100</v>
      </c>
      <c r="Y68" s="341"/>
      <c r="Z68" s="245">
        <f t="shared" si="9"/>
        <v>505</v>
      </c>
      <c r="AA68" s="244">
        <f t="shared" si="31"/>
        <v>2320</v>
      </c>
      <c r="AB68" s="244">
        <f t="shared" si="32"/>
        <v>505</v>
      </c>
      <c r="AC68" s="244">
        <f t="shared" si="33"/>
        <v>2320</v>
      </c>
      <c r="AD68" s="244">
        <f t="shared" si="34"/>
        <v>2070</v>
      </c>
      <c r="AE68" s="244">
        <f t="shared" si="35"/>
        <v>0</v>
      </c>
      <c r="AF68" s="341"/>
      <c r="AG68" s="245"/>
      <c r="AH68" s="245"/>
      <c r="AI68" s="245"/>
      <c r="AJ68" s="245"/>
      <c r="AK68" s="245"/>
      <c r="AL68" s="245"/>
      <c r="AM68" s="245"/>
      <c r="AN68" s="342"/>
      <c r="AQ68" s="215"/>
      <c r="AR68" s="215"/>
      <c r="AS68" s="216"/>
      <c r="AY68" s="216"/>
      <c r="AZ68" s="216"/>
      <c r="BA68" s="216"/>
    </row>
    <row r="69" spans="1:53" ht="30" customHeight="1">
      <c r="A69" s="248">
        <v>35</v>
      </c>
      <c r="B69" s="336" t="s">
        <v>461</v>
      </c>
      <c r="C69" s="336"/>
      <c r="D69" s="336"/>
      <c r="E69" s="337" t="s">
        <v>372</v>
      </c>
      <c r="F69" s="251" t="s">
        <v>326</v>
      </c>
      <c r="G69" s="338" t="s">
        <v>401</v>
      </c>
      <c r="H69" s="253">
        <v>2016</v>
      </c>
      <c r="I69" s="253"/>
      <c r="J69" s="253">
        <v>2018</v>
      </c>
      <c r="K69" s="253"/>
      <c r="L69" s="339" t="s">
        <v>462</v>
      </c>
      <c r="M69" s="340" t="s">
        <v>463</v>
      </c>
      <c r="N69" s="337">
        <v>2998</v>
      </c>
      <c r="O69" s="337"/>
      <c r="P69" s="337">
        <v>2998</v>
      </c>
      <c r="Q69" s="337">
        <v>1963</v>
      </c>
      <c r="R69" s="337"/>
      <c r="S69" s="337">
        <v>1963</v>
      </c>
      <c r="T69" s="337">
        <v>2498</v>
      </c>
      <c r="U69" s="337">
        <v>735</v>
      </c>
      <c r="V69" s="245">
        <v>735</v>
      </c>
      <c r="W69" s="341">
        <v>735</v>
      </c>
      <c r="X69" s="245">
        <v>100</v>
      </c>
      <c r="Y69" s="341"/>
      <c r="Z69" s="245">
        <f t="shared" si="9"/>
        <v>735</v>
      </c>
      <c r="AA69" s="244">
        <f t="shared" si="31"/>
        <v>2698</v>
      </c>
      <c r="AB69" s="244">
        <f t="shared" si="32"/>
        <v>735</v>
      </c>
      <c r="AC69" s="244">
        <f t="shared" si="33"/>
        <v>2698</v>
      </c>
      <c r="AD69" s="244">
        <f t="shared" si="34"/>
        <v>2498</v>
      </c>
      <c r="AE69" s="244">
        <f t="shared" si="35"/>
        <v>0</v>
      </c>
      <c r="AF69" s="341"/>
      <c r="AG69" s="245"/>
      <c r="AH69" s="245"/>
      <c r="AI69" s="245"/>
      <c r="AJ69" s="245"/>
      <c r="AK69" s="245"/>
      <c r="AL69" s="245"/>
      <c r="AM69" s="245"/>
      <c r="AN69" s="342"/>
      <c r="AQ69" s="215"/>
      <c r="AR69" s="215"/>
      <c r="AS69" s="216"/>
      <c r="AY69" s="216"/>
      <c r="AZ69" s="216"/>
      <c r="BA69" s="216"/>
    </row>
    <row r="70" spans="1:53" ht="30" customHeight="1">
      <c r="A70" s="248">
        <v>36</v>
      </c>
      <c r="B70" s="338" t="s">
        <v>464</v>
      </c>
      <c r="C70" s="338"/>
      <c r="D70" s="338"/>
      <c r="E70" s="337" t="s">
        <v>372</v>
      </c>
      <c r="F70" s="251" t="s">
        <v>326</v>
      </c>
      <c r="G70" s="338" t="s">
        <v>341</v>
      </c>
      <c r="H70" s="253">
        <v>2016</v>
      </c>
      <c r="I70" s="253"/>
      <c r="J70" s="253">
        <v>2018</v>
      </c>
      <c r="K70" s="253"/>
      <c r="L70" s="253"/>
      <c r="M70" s="344" t="s">
        <v>465</v>
      </c>
      <c r="N70" s="337">
        <v>2994</v>
      </c>
      <c r="O70" s="337"/>
      <c r="P70" s="337">
        <v>2394</v>
      </c>
      <c r="Q70" s="352">
        <v>939</v>
      </c>
      <c r="R70" s="337"/>
      <c r="S70" s="337">
        <v>339</v>
      </c>
      <c r="T70" s="337">
        <v>2394</v>
      </c>
      <c r="U70" s="337">
        <v>2055</v>
      </c>
      <c r="V70" s="245">
        <v>2055</v>
      </c>
      <c r="W70" s="341">
        <v>2055</v>
      </c>
      <c r="X70" s="245">
        <v>100</v>
      </c>
      <c r="Y70" s="341"/>
      <c r="Z70" s="245">
        <f t="shared" si="9"/>
        <v>2055</v>
      </c>
      <c r="AA70" s="244">
        <f t="shared" si="31"/>
        <v>2994</v>
      </c>
      <c r="AB70" s="244">
        <f t="shared" si="32"/>
        <v>2055</v>
      </c>
      <c r="AC70" s="244">
        <f t="shared" si="33"/>
        <v>2394</v>
      </c>
      <c r="AD70" s="244">
        <f t="shared" si="34"/>
        <v>2394</v>
      </c>
      <c r="AE70" s="244">
        <f t="shared" si="35"/>
        <v>0</v>
      </c>
      <c r="AF70" s="341"/>
      <c r="AG70" s="245"/>
      <c r="AH70" s="245"/>
      <c r="AI70" s="245"/>
      <c r="AJ70" s="245"/>
      <c r="AK70" s="245"/>
      <c r="AL70" s="245"/>
      <c r="AM70" s="245"/>
      <c r="AN70" s="342" t="s">
        <v>450</v>
      </c>
      <c r="AQ70" s="215"/>
      <c r="AR70" s="215"/>
      <c r="AS70" s="216"/>
      <c r="AY70" s="216"/>
      <c r="AZ70" s="216"/>
      <c r="BA70" s="216"/>
    </row>
    <row r="71" spans="1:53" ht="30" customHeight="1">
      <c r="A71" s="326" t="s">
        <v>49</v>
      </c>
      <c r="B71" s="354" t="s">
        <v>466</v>
      </c>
      <c r="C71" s="354"/>
      <c r="D71" s="354"/>
      <c r="E71" s="330"/>
      <c r="F71" s="355"/>
      <c r="G71" s="354"/>
      <c r="H71" s="332"/>
      <c r="I71" s="332"/>
      <c r="J71" s="332"/>
      <c r="K71" s="332"/>
      <c r="L71" s="332"/>
      <c r="M71" s="356"/>
      <c r="N71" s="213">
        <f>SUBTOTAL(109,N72:N118)</f>
        <v>186777.3</v>
      </c>
      <c r="O71" s="213">
        <f t="shared" ref="O71:V71" si="36">SUBTOTAL(109,O72:O118)</f>
        <v>0</v>
      </c>
      <c r="P71" s="213">
        <f t="shared" si="36"/>
        <v>183548.3</v>
      </c>
      <c r="Q71" s="213">
        <f t="shared" si="36"/>
        <v>50250</v>
      </c>
      <c r="R71" s="213">
        <f t="shared" si="36"/>
        <v>805</v>
      </c>
      <c r="S71" s="213">
        <f t="shared" si="36"/>
        <v>50250</v>
      </c>
      <c r="T71" s="213">
        <f t="shared" si="36"/>
        <v>163385</v>
      </c>
      <c r="U71" s="213">
        <f t="shared" si="36"/>
        <v>114650</v>
      </c>
      <c r="V71" s="213">
        <f t="shared" si="36"/>
        <v>60108</v>
      </c>
      <c r="W71" s="214">
        <v>59791.5</v>
      </c>
      <c r="X71" s="245"/>
      <c r="Y71" s="214"/>
      <c r="Z71" s="245">
        <f t="shared" si="9"/>
        <v>60108</v>
      </c>
      <c r="AA71" s="213">
        <f t="shared" ref="AA71:AE71" si="37">SUBTOTAL(109,AA72:AA118)</f>
        <v>110358</v>
      </c>
      <c r="AB71" s="213">
        <f t="shared" si="37"/>
        <v>60913</v>
      </c>
      <c r="AC71" s="213">
        <f t="shared" si="37"/>
        <v>110358</v>
      </c>
      <c r="AD71" s="213">
        <f t="shared" si="37"/>
        <v>163385</v>
      </c>
      <c r="AE71" s="213">
        <f t="shared" si="37"/>
        <v>54542</v>
      </c>
      <c r="AF71" s="214"/>
      <c r="AG71" s="245"/>
      <c r="AH71" s="245"/>
      <c r="AI71" s="245"/>
      <c r="AJ71" s="245"/>
      <c r="AK71" s="245"/>
      <c r="AL71" s="245"/>
      <c r="AM71" s="245"/>
      <c r="AN71" s="330"/>
      <c r="AQ71" s="215"/>
      <c r="AR71" s="215"/>
      <c r="AS71" s="216"/>
      <c r="AY71" s="216"/>
      <c r="AZ71" s="216"/>
      <c r="BA71" s="216"/>
    </row>
    <row r="72" spans="1:53" ht="30" customHeight="1">
      <c r="A72" s="248">
        <v>37</v>
      </c>
      <c r="B72" s="338" t="s">
        <v>467</v>
      </c>
      <c r="C72" s="338"/>
      <c r="D72" s="338"/>
      <c r="E72" s="337" t="s">
        <v>372</v>
      </c>
      <c r="F72" s="251" t="s">
        <v>326</v>
      </c>
      <c r="G72" s="249" t="s">
        <v>395</v>
      </c>
      <c r="H72" s="253">
        <v>2017</v>
      </c>
      <c r="I72" s="253"/>
      <c r="J72" s="253">
        <v>2019</v>
      </c>
      <c r="K72" s="253"/>
      <c r="L72" s="253"/>
      <c r="M72" s="344" t="s">
        <v>468</v>
      </c>
      <c r="N72" s="337">
        <v>2600</v>
      </c>
      <c r="O72" s="337"/>
      <c r="P72" s="337">
        <v>2600</v>
      </c>
      <c r="Q72" s="352">
        <v>725</v>
      </c>
      <c r="R72" s="352"/>
      <c r="S72" s="352">
        <v>725</v>
      </c>
      <c r="T72" s="337">
        <v>2265</v>
      </c>
      <c r="U72" s="337">
        <v>1615</v>
      </c>
      <c r="V72" s="245">
        <v>1615</v>
      </c>
      <c r="W72" s="245">
        <v>1615</v>
      </c>
      <c r="X72" s="245">
        <v>100</v>
      </c>
      <c r="Y72" s="341"/>
      <c r="Z72" s="245">
        <f t="shared" si="9"/>
        <v>1615</v>
      </c>
      <c r="AA72" s="244">
        <f t="shared" ref="AA72:AA118" si="38">Q72+$Z72</f>
        <v>2340</v>
      </c>
      <c r="AB72" s="244">
        <f t="shared" ref="AB72:AB118" si="39">R72+$Z72</f>
        <v>1615</v>
      </c>
      <c r="AC72" s="244">
        <f t="shared" ref="AC72:AC118" si="40">S72+$Z72</f>
        <v>2340</v>
      </c>
      <c r="AD72" s="244">
        <f t="shared" ref="AD72:AD118" si="41">T72</f>
        <v>2265</v>
      </c>
      <c r="AE72" s="244">
        <f t="shared" ref="AE72:AE118" si="42">U72-Z72</f>
        <v>0</v>
      </c>
      <c r="AF72" s="341"/>
      <c r="AG72" s="245"/>
      <c r="AH72" s="245"/>
      <c r="AI72" s="245"/>
      <c r="AJ72" s="245"/>
      <c r="AK72" s="245"/>
      <c r="AL72" s="245"/>
      <c r="AM72" s="245"/>
      <c r="AN72" s="342" t="s">
        <v>450</v>
      </c>
      <c r="AQ72" s="215"/>
      <c r="AR72" s="215"/>
      <c r="AS72" s="216"/>
      <c r="AY72" s="216"/>
      <c r="AZ72" s="216"/>
      <c r="BA72" s="216"/>
    </row>
    <row r="73" spans="1:53" ht="30" customHeight="1">
      <c r="A73" s="248">
        <v>38</v>
      </c>
      <c r="B73" s="336" t="s">
        <v>469</v>
      </c>
      <c r="C73" s="357"/>
      <c r="D73" s="336"/>
      <c r="E73" s="337" t="s">
        <v>372</v>
      </c>
      <c r="F73" s="251" t="s">
        <v>326</v>
      </c>
      <c r="G73" s="249" t="s">
        <v>395</v>
      </c>
      <c r="H73" s="253">
        <v>2017</v>
      </c>
      <c r="I73" s="253"/>
      <c r="J73" s="253">
        <v>2019</v>
      </c>
      <c r="K73" s="253"/>
      <c r="L73" s="339" t="s">
        <v>470</v>
      </c>
      <c r="M73" s="344" t="s">
        <v>471</v>
      </c>
      <c r="N73" s="337">
        <v>4556</v>
      </c>
      <c r="O73" s="337"/>
      <c r="P73" s="337">
        <v>4556</v>
      </c>
      <c r="Q73" s="337">
        <v>1120</v>
      </c>
      <c r="R73" s="337"/>
      <c r="S73" s="337">
        <v>1120</v>
      </c>
      <c r="T73" s="337">
        <v>4025</v>
      </c>
      <c r="U73" s="337">
        <v>2905</v>
      </c>
      <c r="V73" s="245">
        <v>1452</v>
      </c>
      <c r="W73" s="245">
        <v>1452.5</v>
      </c>
      <c r="X73" s="245">
        <v>50</v>
      </c>
      <c r="Y73" s="341"/>
      <c r="Z73" s="245">
        <f t="shared" si="9"/>
        <v>1452</v>
      </c>
      <c r="AA73" s="244">
        <f t="shared" si="38"/>
        <v>2572</v>
      </c>
      <c r="AB73" s="244">
        <f t="shared" si="39"/>
        <v>1452</v>
      </c>
      <c r="AC73" s="244">
        <f t="shared" si="40"/>
        <v>2572</v>
      </c>
      <c r="AD73" s="244">
        <f t="shared" si="41"/>
        <v>4025</v>
      </c>
      <c r="AE73" s="244">
        <f t="shared" si="42"/>
        <v>1453</v>
      </c>
      <c r="AF73" s="245">
        <v>1453</v>
      </c>
      <c r="AG73" s="245">
        <f>AF73/AE73*100</f>
        <v>100</v>
      </c>
      <c r="AH73" s="245"/>
      <c r="AI73" s="245">
        <f t="shared" ref="AI73:AI136" si="43">AF73+AH73</f>
        <v>1453</v>
      </c>
      <c r="AJ73" s="245">
        <f t="shared" ref="AJ73:AJ74" si="44">AA73+AI73</f>
        <v>4025</v>
      </c>
      <c r="AK73" s="245">
        <f t="shared" ref="AK73:AK74" si="45">AC73+AI73</f>
        <v>4025</v>
      </c>
      <c r="AL73" s="245">
        <f>T73</f>
        <v>4025</v>
      </c>
      <c r="AM73" s="245">
        <f t="shared" ref="AM73:AM136" si="46">AE73-AI73</f>
        <v>0</v>
      </c>
      <c r="AN73" s="342"/>
      <c r="AQ73" s="215" t="s">
        <v>472</v>
      </c>
      <c r="AR73" s="215"/>
      <c r="AS73" s="216"/>
      <c r="AT73" s="207" t="s">
        <v>307</v>
      </c>
      <c r="AU73" s="247" t="s">
        <v>473</v>
      </c>
      <c r="AY73" s="216"/>
      <c r="AZ73" s="216"/>
      <c r="BA73" s="216"/>
    </row>
    <row r="74" spans="1:53" ht="30" customHeight="1">
      <c r="A74" s="248">
        <v>39</v>
      </c>
      <c r="B74" s="338" t="s">
        <v>474</v>
      </c>
      <c r="C74" s="358"/>
      <c r="D74" s="338"/>
      <c r="E74" s="337" t="s">
        <v>372</v>
      </c>
      <c r="F74" s="251" t="s">
        <v>326</v>
      </c>
      <c r="G74" s="343" t="s">
        <v>378</v>
      </c>
      <c r="H74" s="253">
        <v>2017</v>
      </c>
      <c r="I74" s="253"/>
      <c r="J74" s="253">
        <v>2019</v>
      </c>
      <c r="K74" s="253"/>
      <c r="L74" s="339" t="s">
        <v>475</v>
      </c>
      <c r="M74" s="344" t="s">
        <v>476</v>
      </c>
      <c r="N74" s="337">
        <v>6229</v>
      </c>
      <c r="O74" s="337"/>
      <c r="P74" s="337">
        <v>3000</v>
      </c>
      <c r="Q74" s="352">
        <v>1025</v>
      </c>
      <c r="R74" s="352"/>
      <c r="S74" s="352">
        <v>1025</v>
      </c>
      <c r="T74" s="337">
        <v>2625</v>
      </c>
      <c r="U74" s="337">
        <v>1675</v>
      </c>
      <c r="V74" s="245">
        <v>838</v>
      </c>
      <c r="W74" s="245">
        <v>837.5</v>
      </c>
      <c r="X74" s="245">
        <v>50</v>
      </c>
      <c r="Y74" s="341"/>
      <c r="Z74" s="245">
        <f t="shared" si="9"/>
        <v>838</v>
      </c>
      <c r="AA74" s="244">
        <f t="shared" si="38"/>
        <v>1863</v>
      </c>
      <c r="AB74" s="244">
        <f t="shared" si="39"/>
        <v>838</v>
      </c>
      <c r="AC74" s="244">
        <f t="shared" si="40"/>
        <v>1863</v>
      </c>
      <c r="AD74" s="244">
        <f t="shared" si="41"/>
        <v>2625</v>
      </c>
      <c r="AE74" s="244">
        <f t="shared" si="42"/>
        <v>837</v>
      </c>
      <c r="AF74" s="245">
        <v>837</v>
      </c>
      <c r="AG74" s="245">
        <f>AF74/AE74*100</f>
        <v>100</v>
      </c>
      <c r="AH74" s="245"/>
      <c r="AI74" s="245">
        <f t="shared" si="43"/>
        <v>837</v>
      </c>
      <c r="AJ74" s="245">
        <f t="shared" si="44"/>
        <v>2700</v>
      </c>
      <c r="AK74" s="245">
        <f t="shared" si="45"/>
        <v>2700</v>
      </c>
      <c r="AL74" s="245">
        <f>T74</f>
        <v>2625</v>
      </c>
      <c r="AM74" s="245">
        <f t="shared" si="46"/>
        <v>0</v>
      </c>
      <c r="AN74" s="342" t="s">
        <v>450</v>
      </c>
      <c r="AQ74" s="215" t="s">
        <v>477</v>
      </c>
      <c r="AR74" s="215"/>
      <c r="AS74" s="216"/>
      <c r="AT74" s="207" t="s">
        <v>307</v>
      </c>
      <c r="AU74" s="247" t="s">
        <v>478</v>
      </c>
      <c r="AY74" s="216"/>
      <c r="AZ74" s="216"/>
      <c r="BA74" s="216"/>
    </row>
    <row r="75" spans="1:53" ht="30" customHeight="1">
      <c r="A75" s="248">
        <v>40</v>
      </c>
      <c r="B75" s="336" t="s">
        <v>479</v>
      </c>
      <c r="C75" s="336"/>
      <c r="D75" s="336"/>
      <c r="E75" s="337" t="s">
        <v>372</v>
      </c>
      <c r="F75" s="251" t="s">
        <v>326</v>
      </c>
      <c r="G75" s="249" t="s">
        <v>395</v>
      </c>
      <c r="H75" s="253">
        <v>2017</v>
      </c>
      <c r="I75" s="253"/>
      <c r="J75" s="253">
        <v>2019</v>
      </c>
      <c r="K75" s="253"/>
      <c r="L75" s="339" t="s">
        <v>480</v>
      </c>
      <c r="M75" s="344" t="s">
        <v>481</v>
      </c>
      <c r="N75" s="337">
        <v>2488</v>
      </c>
      <c r="O75" s="337"/>
      <c r="P75" s="337">
        <v>2488</v>
      </c>
      <c r="Q75" s="352">
        <v>725</v>
      </c>
      <c r="R75" s="352"/>
      <c r="S75" s="352">
        <v>725</v>
      </c>
      <c r="T75" s="337">
        <v>2164</v>
      </c>
      <c r="U75" s="337">
        <v>1514</v>
      </c>
      <c r="V75" s="245">
        <v>1514</v>
      </c>
      <c r="W75" s="245">
        <v>1514</v>
      </c>
      <c r="X75" s="245">
        <v>100</v>
      </c>
      <c r="Y75" s="341"/>
      <c r="Z75" s="245">
        <f t="shared" si="9"/>
        <v>1514</v>
      </c>
      <c r="AA75" s="244">
        <f t="shared" si="38"/>
        <v>2239</v>
      </c>
      <c r="AB75" s="244">
        <f t="shared" si="39"/>
        <v>1514</v>
      </c>
      <c r="AC75" s="244">
        <f t="shared" si="40"/>
        <v>2239</v>
      </c>
      <c r="AD75" s="244">
        <f t="shared" si="41"/>
        <v>2164</v>
      </c>
      <c r="AE75" s="244">
        <f t="shared" si="42"/>
        <v>0</v>
      </c>
      <c r="AF75" s="341"/>
      <c r="AG75" s="245"/>
      <c r="AH75" s="245"/>
      <c r="AI75" s="245"/>
      <c r="AJ75" s="245"/>
      <c r="AK75" s="245"/>
      <c r="AL75" s="245"/>
      <c r="AM75" s="245"/>
      <c r="AN75" s="342" t="s">
        <v>450</v>
      </c>
      <c r="AQ75" s="215"/>
      <c r="AR75" s="215"/>
      <c r="AS75" s="216"/>
      <c r="AY75" s="216"/>
      <c r="AZ75" s="216"/>
      <c r="BA75" s="216"/>
    </row>
    <row r="76" spans="1:53" ht="30" customHeight="1">
      <c r="A76" s="248">
        <v>41</v>
      </c>
      <c r="B76" s="338" t="s">
        <v>482</v>
      </c>
      <c r="C76" s="338"/>
      <c r="D76" s="338"/>
      <c r="E76" s="337" t="s">
        <v>372</v>
      </c>
      <c r="F76" s="251" t="s">
        <v>326</v>
      </c>
      <c r="G76" s="345" t="s">
        <v>373</v>
      </c>
      <c r="H76" s="253">
        <v>2017</v>
      </c>
      <c r="I76" s="253"/>
      <c r="J76" s="253">
        <v>2019</v>
      </c>
      <c r="K76" s="253"/>
      <c r="L76" s="339" t="s">
        <v>483</v>
      </c>
      <c r="M76" s="344" t="s">
        <v>484</v>
      </c>
      <c r="N76" s="337">
        <v>3777</v>
      </c>
      <c r="O76" s="337"/>
      <c r="P76" s="337">
        <v>3777</v>
      </c>
      <c r="Q76" s="352">
        <v>1200</v>
      </c>
      <c r="R76" s="352"/>
      <c r="S76" s="352">
        <v>1200</v>
      </c>
      <c r="T76" s="337">
        <v>3299</v>
      </c>
      <c r="U76" s="337">
        <v>2199</v>
      </c>
      <c r="V76" s="245">
        <v>1100</v>
      </c>
      <c r="W76" s="245">
        <v>1099.5</v>
      </c>
      <c r="X76" s="245">
        <v>50</v>
      </c>
      <c r="Y76" s="341"/>
      <c r="Z76" s="245">
        <f t="shared" si="9"/>
        <v>1100</v>
      </c>
      <c r="AA76" s="244">
        <f t="shared" si="38"/>
        <v>2300</v>
      </c>
      <c r="AB76" s="244">
        <f t="shared" si="39"/>
        <v>1100</v>
      </c>
      <c r="AC76" s="244">
        <f t="shared" si="40"/>
        <v>2300</v>
      </c>
      <c r="AD76" s="244">
        <f t="shared" si="41"/>
        <v>3299</v>
      </c>
      <c r="AE76" s="244">
        <f t="shared" si="42"/>
        <v>1099</v>
      </c>
      <c r="AF76" s="245">
        <v>1099</v>
      </c>
      <c r="AG76" s="245">
        <f t="shared" ref="AG76:AG77" si="47">AF76/AE76*100</f>
        <v>100</v>
      </c>
      <c r="AH76" s="245"/>
      <c r="AI76" s="245">
        <f t="shared" si="43"/>
        <v>1099</v>
      </c>
      <c r="AJ76" s="245">
        <f t="shared" ref="AJ76:AJ77" si="48">AA76+AI76</f>
        <v>3399</v>
      </c>
      <c r="AK76" s="245">
        <f t="shared" ref="AK76:AK77" si="49">AC76+AI76</f>
        <v>3399</v>
      </c>
      <c r="AL76" s="245">
        <f>T76</f>
        <v>3299</v>
      </c>
      <c r="AM76" s="245">
        <f t="shared" si="46"/>
        <v>0</v>
      </c>
      <c r="AN76" s="342" t="s">
        <v>450</v>
      </c>
      <c r="AQ76" s="215" t="s">
        <v>485</v>
      </c>
      <c r="AR76" s="215"/>
      <c r="AS76" s="216"/>
      <c r="AT76" s="207" t="s">
        <v>307</v>
      </c>
      <c r="AU76" s="247" t="s">
        <v>486</v>
      </c>
      <c r="AY76" s="216"/>
      <c r="AZ76" s="216"/>
      <c r="BA76" s="216"/>
    </row>
    <row r="77" spans="1:53" ht="30" customHeight="1">
      <c r="A77" s="248">
        <v>42</v>
      </c>
      <c r="B77" s="338" t="s">
        <v>487</v>
      </c>
      <c r="C77" s="338"/>
      <c r="D77" s="338"/>
      <c r="E77" s="337" t="s">
        <v>372</v>
      </c>
      <c r="F77" s="251" t="s">
        <v>326</v>
      </c>
      <c r="G77" s="345" t="s">
        <v>373</v>
      </c>
      <c r="H77" s="253">
        <v>2017</v>
      </c>
      <c r="I77" s="253"/>
      <c r="J77" s="253">
        <v>2019</v>
      </c>
      <c r="K77" s="253"/>
      <c r="L77" s="339" t="s">
        <v>488</v>
      </c>
      <c r="M77" s="344" t="s">
        <v>489</v>
      </c>
      <c r="N77" s="337">
        <v>2890</v>
      </c>
      <c r="O77" s="337"/>
      <c r="P77" s="337">
        <v>2890</v>
      </c>
      <c r="Q77" s="352">
        <v>805</v>
      </c>
      <c r="R77" s="352">
        <v>805</v>
      </c>
      <c r="S77" s="352">
        <f>Q77</f>
        <v>805</v>
      </c>
      <c r="T77" s="337">
        <v>2526</v>
      </c>
      <c r="U77" s="337">
        <v>1796</v>
      </c>
      <c r="V77" s="245">
        <v>898</v>
      </c>
      <c r="W77" s="245">
        <v>898</v>
      </c>
      <c r="X77" s="245">
        <v>50</v>
      </c>
      <c r="Y77" s="341"/>
      <c r="Z77" s="245">
        <f t="shared" si="9"/>
        <v>898</v>
      </c>
      <c r="AA77" s="244">
        <f t="shared" si="38"/>
        <v>1703</v>
      </c>
      <c r="AB77" s="244">
        <f t="shared" si="39"/>
        <v>1703</v>
      </c>
      <c r="AC77" s="244">
        <f t="shared" si="40"/>
        <v>1703</v>
      </c>
      <c r="AD77" s="244">
        <f t="shared" si="41"/>
        <v>2526</v>
      </c>
      <c r="AE77" s="244">
        <f t="shared" si="42"/>
        <v>898</v>
      </c>
      <c r="AF77" s="245">
        <v>898</v>
      </c>
      <c r="AG77" s="245">
        <f t="shared" si="47"/>
        <v>100</v>
      </c>
      <c r="AH77" s="245"/>
      <c r="AI77" s="245">
        <f t="shared" si="43"/>
        <v>898</v>
      </c>
      <c r="AJ77" s="245">
        <f t="shared" si="48"/>
        <v>2601</v>
      </c>
      <c r="AK77" s="245">
        <f t="shared" si="49"/>
        <v>2601</v>
      </c>
      <c r="AL77" s="245">
        <f>T77</f>
        <v>2526</v>
      </c>
      <c r="AM77" s="245">
        <f t="shared" si="46"/>
        <v>0</v>
      </c>
      <c r="AN77" s="342" t="s">
        <v>450</v>
      </c>
      <c r="AQ77" s="215" t="s">
        <v>490</v>
      </c>
      <c r="AR77" s="215"/>
      <c r="AS77" s="216"/>
      <c r="AT77" s="207" t="s">
        <v>307</v>
      </c>
      <c r="AU77" s="247" t="s">
        <v>491</v>
      </c>
      <c r="AY77" s="216"/>
      <c r="AZ77" s="216"/>
      <c r="BA77" s="216"/>
    </row>
    <row r="78" spans="1:53" ht="30" customHeight="1">
      <c r="A78" s="248">
        <v>43</v>
      </c>
      <c r="B78" s="338" t="s">
        <v>492</v>
      </c>
      <c r="C78" s="338"/>
      <c r="D78" s="338"/>
      <c r="E78" s="337" t="s">
        <v>372</v>
      </c>
      <c r="F78" s="251" t="s">
        <v>326</v>
      </c>
      <c r="G78" s="351" t="s">
        <v>435</v>
      </c>
      <c r="H78" s="253">
        <v>2017</v>
      </c>
      <c r="I78" s="253"/>
      <c r="J78" s="253">
        <v>2019</v>
      </c>
      <c r="K78" s="253"/>
      <c r="L78" s="339" t="s">
        <v>493</v>
      </c>
      <c r="M78" s="344" t="s">
        <v>494</v>
      </c>
      <c r="N78" s="337">
        <v>2743</v>
      </c>
      <c r="O78" s="337"/>
      <c r="P78" s="337">
        <v>2743</v>
      </c>
      <c r="Q78" s="352">
        <v>815</v>
      </c>
      <c r="R78" s="352"/>
      <c r="S78" s="352">
        <v>815</v>
      </c>
      <c r="T78" s="337">
        <v>2394</v>
      </c>
      <c r="U78" s="337">
        <v>1654</v>
      </c>
      <c r="V78" s="245">
        <v>1654</v>
      </c>
      <c r="W78" s="245">
        <v>1654</v>
      </c>
      <c r="X78" s="245">
        <v>100</v>
      </c>
      <c r="Y78" s="341"/>
      <c r="Z78" s="245">
        <f t="shared" si="9"/>
        <v>1654</v>
      </c>
      <c r="AA78" s="244">
        <f t="shared" si="38"/>
        <v>2469</v>
      </c>
      <c r="AB78" s="244">
        <f t="shared" si="39"/>
        <v>1654</v>
      </c>
      <c r="AC78" s="244">
        <f t="shared" si="40"/>
        <v>2469</v>
      </c>
      <c r="AD78" s="244">
        <f t="shared" si="41"/>
        <v>2394</v>
      </c>
      <c r="AE78" s="244">
        <f t="shared" si="42"/>
        <v>0</v>
      </c>
      <c r="AF78" s="341"/>
      <c r="AG78" s="245"/>
      <c r="AH78" s="245"/>
      <c r="AI78" s="245"/>
      <c r="AJ78" s="245"/>
      <c r="AK78" s="245"/>
      <c r="AL78" s="245"/>
      <c r="AM78" s="245"/>
      <c r="AN78" s="342" t="s">
        <v>450</v>
      </c>
      <c r="AQ78" s="215" t="s">
        <v>495</v>
      </c>
      <c r="AR78" s="215"/>
      <c r="AS78" s="216" t="s">
        <v>496</v>
      </c>
      <c r="AT78" s="207" t="s">
        <v>307</v>
      </c>
      <c r="AU78" s="247"/>
      <c r="AY78" s="216"/>
      <c r="AZ78" s="216"/>
      <c r="BA78" s="216"/>
    </row>
    <row r="79" spans="1:53" ht="30" customHeight="1">
      <c r="A79" s="248">
        <v>44</v>
      </c>
      <c r="B79" s="336" t="s">
        <v>497</v>
      </c>
      <c r="C79" s="336"/>
      <c r="D79" s="336"/>
      <c r="E79" s="337" t="s">
        <v>372</v>
      </c>
      <c r="F79" s="251" t="s">
        <v>326</v>
      </c>
      <c r="G79" s="249" t="s">
        <v>395</v>
      </c>
      <c r="H79" s="253">
        <v>2017</v>
      </c>
      <c r="I79" s="253"/>
      <c r="J79" s="253">
        <v>2019</v>
      </c>
      <c r="K79" s="253"/>
      <c r="L79" s="339"/>
      <c r="M79" s="344" t="s">
        <v>498</v>
      </c>
      <c r="N79" s="337">
        <v>5000</v>
      </c>
      <c r="O79" s="337"/>
      <c r="P79" s="337">
        <v>5000</v>
      </c>
      <c r="Q79" s="352">
        <v>1370</v>
      </c>
      <c r="R79" s="352"/>
      <c r="S79" s="352">
        <v>1370</v>
      </c>
      <c r="T79" s="337">
        <v>4330</v>
      </c>
      <c r="U79" s="337">
        <v>3130</v>
      </c>
      <c r="V79" s="245">
        <v>1565</v>
      </c>
      <c r="W79" s="245">
        <v>1565</v>
      </c>
      <c r="X79" s="245">
        <v>50</v>
      </c>
      <c r="Y79" s="341"/>
      <c r="Z79" s="245">
        <f t="shared" si="9"/>
        <v>1565</v>
      </c>
      <c r="AA79" s="244">
        <f t="shared" si="38"/>
        <v>2935</v>
      </c>
      <c r="AB79" s="244">
        <f t="shared" si="39"/>
        <v>1565</v>
      </c>
      <c r="AC79" s="244">
        <f t="shared" si="40"/>
        <v>2935</v>
      </c>
      <c r="AD79" s="244">
        <f t="shared" si="41"/>
        <v>4330</v>
      </c>
      <c r="AE79" s="244">
        <f t="shared" si="42"/>
        <v>1565</v>
      </c>
      <c r="AF79" s="245">
        <v>1565</v>
      </c>
      <c r="AG79" s="245">
        <f t="shared" ref="AG79:AG142" si="50">AF79/AE79*100</f>
        <v>100</v>
      </c>
      <c r="AH79" s="245"/>
      <c r="AI79" s="245">
        <f t="shared" si="43"/>
        <v>1565</v>
      </c>
      <c r="AJ79" s="245">
        <f t="shared" ref="AJ79:AJ95" si="51">AA79+AI79</f>
        <v>4500</v>
      </c>
      <c r="AK79" s="245">
        <f t="shared" ref="AK79:AK95" si="52">AC79+AI79</f>
        <v>4500</v>
      </c>
      <c r="AL79" s="245">
        <f t="shared" ref="AL79:AL95" si="53">T79</f>
        <v>4330</v>
      </c>
      <c r="AM79" s="245">
        <f t="shared" si="46"/>
        <v>0</v>
      </c>
      <c r="AN79" s="342" t="s">
        <v>450</v>
      </c>
      <c r="AQ79" s="215" t="s">
        <v>499</v>
      </c>
      <c r="AR79" s="215"/>
      <c r="AS79" s="216"/>
      <c r="AT79" s="207" t="s">
        <v>307</v>
      </c>
      <c r="AU79" s="247" t="s">
        <v>500</v>
      </c>
      <c r="AY79" s="216"/>
      <c r="AZ79" s="216"/>
      <c r="BA79" s="216"/>
    </row>
    <row r="80" spans="1:53" ht="30" customHeight="1">
      <c r="A80" s="248">
        <v>45</v>
      </c>
      <c r="B80" s="336" t="s">
        <v>501</v>
      </c>
      <c r="C80" s="336"/>
      <c r="D80" s="336"/>
      <c r="E80" s="337" t="s">
        <v>372</v>
      </c>
      <c r="F80" s="251" t="s">
        <v>326</v>
      </c>
      <c r="G80" s="249" t="s">
        <v>395</v>
      </c>
      <c r="H80" s="253">
        <v>2017</v>
      </c>
      <c r="I80" s="253"/>
      <c r="J80" s="253">
        <v>2019</v>
      </c>
      <c r="K80" s="253"/>
      <c r="L80" s="339"/>
      <c r="M80" s="344" t="s">
        <v>502</v>
      </c>
      <c r="N80" s="337">
        <v>2992</v>
      </c>
      <c r="O80" s="337"/>
      <c r="P80" s="337">
        <v>2992</v>
      </c>
      <c r="Q80" s="352">
        <v>825</v>
      </c>
      <c r="R80" s="352"/>
      <c r="S80" s="352">
        <v>825</v>
      </c>
      <c r="T80" s="337">
        <v>2618</v>
      </c>
      <c r="U80" s="337">
        <v>1868</v>
      </c>
      <c r="V80" s="245">
        <v>934</v>
      </c>
      <c r="W80" s="245">
        <v>934</v>
      </c>
      <c r="X80" s="245">
        <v>50</v>
      </c>
      <c r="Y80" s="341"/>
      <c r="Z80" s="245">
        <f t="shared" si="9"/>
        <v>934</v>
      </c>
      <c r="AA80" s="244">
        <f t="shared" si="38"/>
        <v>1759</v>
      </c>
      <c r="AB80" s="244">
        <f t="shared" si="39"/>
        <v>934</v>
      </c>
      <c r="AC80" s="244">
        <f t="shared" si="40"/>
        <v>1759</v>
      </c>
      <c r="AD80" s="244">
        <f t="shared" si="41"/>
        <v>2618</v>
      </c>
      <c r="AE80" s="244">
        <f t="shared" si="42"/>
        <v>934</v>
      </c>
      <c r="AF80" s="245">
        <v>934</v>
      </c>
      <c r="AG80" s="245">
        <f t="shared" si="50"/>
        <v>100</v>
      </c>
      <c r="AH80" s="245"/>
      <c r="AI80" s="245">
        <f t="shared" si="43"/>
        <v>934</v>
      </c>
      <c r="AJ80" s="245">
        <f t="shared" si="51"/>
        <v>2693</v>
      </c>
      <c r="AK80" s="245">
        <f t="shared" si="52"/>
        <v>2693</v>
      </c>
      <c r="AL80" s="245">
        <f t="shared" si="53"/>
        <v>2618</v>
      </c>
      <c r="AM80" s="245">
        <f t="shared" si="46"/>
        <v>0</v>
      </c>
      <c r="AN80" s="342" t="s">
        <v>450</v>
      </c>
      <c r="AQ80" s="215" t="s">
        <v>503</v>
      </c>
      <c r="AR80" s="215"/>
      <c r="AS80" s="216"/>
      <c r="AT80" s="207" t="s">
        <v>307</v>
      </c>
      <c r="AU80" s="359" t="s">
        <v>504</v>
      </c>
      <c r="AY80" s="216"/>
      <c r="AZ80" s="216"/>
      <c r="BA80" s="216"/>
    </row>
    <row r="81" spans="1:53" ht="30" customHeight="1">
      <c r="A81" s="248">
        <v>46</v>
      </c>
      <c r="B81" s="338" t="s">
        <v>505</v>
      </c>
      <c r="C81" s="338"/>
      <c r="D81" s="338"/>
      <c r="E81" s="337" t="s">
        <v>372</v>
      </c>
      <c r="F81" s="251" t="s">
        <v>326</v>
      </c>
      <c r="G81" s="249" t="s">
        <v>395</v>
      </c>
      <c r="H81" s="253">
        <v>2017</v>
      </c>
      <c r="I81" s="253"/>
      <c r="J81" s="253">
        <v>2019</v>
      </c>
      <c r="K81" s="253"/>
      <c r="L81" s="339" t="s">
        <v>506</v>
      </c>
      <c r="M81" s="344" t="s">
        <v>507</v>
      </c>
      <c r="N81" s="337">
        <v>2952</v>
      </c>
      <c r="O81" s="337"/>
      <c r="P81" s="337">
        <v>2952</v>
      </c>
      <c r="Q81" s="352">
        <v>825</v>
      </c>
      <c r="R81" s="352"/>
      <c r="S81" s="352">
        <v>825</v>
      </c>
      <c r="T81" s="337">
        <v>2582</v>
      </c>
      <c r="U81" s="337">
        <v>1832</v>
      </c>
      <c r="V81" s="245">
        <v>916</v>
      </c>
      <c r="W81" s="245">
        <v>916</v>
      </c>
      <c r="X81" s="245">
        <v>50</v>
      </c>
      <c r="Y81" s="341"/>
      <c r="Z81" s="245">
        <f t="shared" si="9"/>
        <v>916</v>
      </c>
      <c r="AA81" s="244">
        <f t="shared" si="38"/>
        <v>1741</v>
      </c>
      <c r="AB81" s="244">
        <f t="shared" si="39"/>
        <v>916</v>
      </c>
      <c r="AC81" s="244">
        <f t="shared" si="40"/>
        <v>1741</v>
      </c>
      <c r="AD81" s="244">
        <f t="shared" si="41"/>
        <v>2582</v>
      </c>
      <c r="AE81" s="244">
        <f t="shared" si="42"/>
        <v>916</v>
      </c>
      <c r="AF81" s="245">
        <v>916</v>
      </c>
      <c r="AG81" s="245">
        <f t="shared" si="50"/>
        <v>100</v>
      </c>
      <c r="AH81" s="245"/>
      <c r="AI81" s="245">
        <f t="shared" si="43"/>
        <v>916</v>
      </c>
      <c r="AJ81" s="245">
        <f t="shared" si="51"/>
        <v>2657</v>
      </c>
      <c r="AK81" s="245">
        <f t="shared" si="52"/>
        <v>2657</v>
      </c>
      <c r="AL81" s="245">
        <f t="shared" si="53"/>
        <v>2582</v>
      </c>
      <c r="AM81" s="245">
        <f t="shared" si="46"/>
        <v>0</v>
      </c>
      <c r="AN81" s="342" t="s">
        <v>450</v>
      </c>
      <c r="AQ81" s="215" t="s">
        <v>508</v>
      </c>
      <c r="AR81" s="215"/>
      <c r="AS81" s="216"/>
      <c r="AT81" s="207" t="s">
        <v>307</v>
      </c>
      <c r="AU81" s="359" t="s">
        <v>509</v>
      </c>
      <c r="AY81" s="216"/>
      <c r="AZ81" s="216"/>
      <c r="BA81" s="216"/>
    </row>
    <row r="82" spans="1:53" ht="30" customHeight="1">
      <c r="A82" s="248">
        <v>47</v>
      </c>
      <c r="B82" s="336" t="s">
        <v>510</v>
      </c>
      <c r="C82" s="336"/>
      <c r="D82" s="336"/>
      <c r="E82" s="337" t="s">
        <v>372</v>
      </c>
      <c r="F82" s="251" t="s">
        <v>326</v>
      </c>
      <c r="G82" s="249" t="s">
        <v>373</v>
      </c>
      <c r="H82" s="253">
        <v>2017</v>
      </c>
      <c r="I82" s="253"/>
      <c r="J82" s="253">
        <v>2019</v>
      </c>
      <c r="K82" s="253"/>
      <c r="L82" s="253"/>
      <c r="M82" s="340" t="s">
        <v>511</v>
      </c>
      <c r="N82" s="337">
        <v>2916</v>
      </c>
      <c r="O82" s="337"/>
      <c r="P82" s="337">
        <v>2916</v>
      </c>
      <c r="Q82" s="352">
        <v>805</v>
      </c>
      <c r="R82" s="352"/>
      <c r="S82" s="352">
        <v>805</v>
      </c>
      <c r="T82" s="337">
        <v>2549</v>
      </c>
      <c r="U82" s="337">
        <v>1819</v>
      </c>
      <c r="V82" s="245">
        <v>910</v>
      </c>
      <c r="W82" s="245">
        <v>909.5</v>
      </c>
      <c r="X82" s="245">
        <v>50</v>
      </c>
      <c r="Y82" s="341"/>
      <c r="Z82" s="245">
        <f t="shared" si="9"/>
        <v>910</v>
      </c>
      <c r="AA82" s="244">
        <f t="shared" si="38"/>
        <v>1715</v>
      </c>
      <c r="AB82" s="244">
        <f t="shared" si="39"/>
        <v>910</v>
      </c>
      <c r="AC82" s="244">
        <f t="shared" si="40"/>
        <v>1715</v>
      </c>
      <c r="AD82" s="244">
        <f t="shared" si="41"/>
        <v>2549</v>
      </c>
      <c r="AE82" s="244">
        <f t="shared" si="42"/>
        <v>909</v>
      </c>
      <c r="AF82" s="245">
        <v>909</v>
      </c>
      <c r="AG82" s="245">
        <f t="shared" si="50"/>
        <v>100</v>
      </c>
      <c r="AH82" s="245"/>
      <c r="AI82" s="245">
        <f t="shared" si="43"/>
        <v>909</v>
      </c>
      <c r="AJ82" s="245">
        <f t="shared" si="51"/>
        <v>2624</v>
      </c>
      <c r="AK82" s="245">
        <f t="shared" si="52"/>
        <v>2624</v>
      </c>
      <c r="AL82" s="245">
        <f t="shared" si="53"/>
        <v>2549</v>
      </c>
      <c r="AM82" s="245">
        <f t="shared" si="46"/>
        <v>0</v>
      </c>
      <c r="AN82" s="342" t="s">
        <v>450</v>
      </c>
      <c r="AQ82" s="215" t="s">
        <v>485</v>
      </c>
      <c r="AR82" s="215"/>
      <c r="AS82" s="216"/>
      <c r="AT82" s="207" t="s">
        <v>307</v>
      </c>
      <c r="AU82" s="359" t="s">
        <v>512</v>
      </c>
      <c r="AY82" s="216"/>
      <c r="AZ82" s="216"/>
      <c r="BA82" s="216"/>
    </row>
    <row r="83" spans="1:53" ht="30" customHeight="1">
      <c r="A83" s="248">
        <v>48</v>
      </c>
      <c r="B83" s="338" t="s">
        <v>513</v>
      </c>
      <c r="C83" s="338"/>
      <c r="D83" s="338"/>
      <c r="E83" s="337" t="s">
        <v>372</v>
      </c>
      <c r="F83" s="251" t="s">
        <v>326</v>
      </c>
      <c r="G83" s="338" t="s">
        <v>341</v>
      </c>
      <c r="H83" s="253">
        <v>2017</v>
      </c>
      <c r="I83" s="253"/>
      <c r="J83" s="253">
        <v>2019</v>
      </c>
      <c r="K83" s="253"/>
      <c r="L83" s="253"/>
      <c r="M83" s="340" t="s">
        <v>514</v>
      </c>
      <c r="N83" s="337">
        <v>3891</v>
      </c>
      <c r="O83" s="337"/>
      <c r="P83" s="337">
        <v>3891</v>
      </c>
      <c r="Q83" s="352">
        <v>1050</v>
      </c>
      <c r="R83" s="352"/>
      <c r="S83" s="352">
        <v>1050</v>
      </c>
      <c r="T83" s="337">
        <v>3402</v>
      </c>
      <c r="U83" s="337">
        <v>2452</v>
      </c>
      <c r="V83" s="245">
        <v>1226</v>
      </c>
      <c r="W83" s="245">
        <v>1226</v>
      </c>
      <c r="X83" s="245">
        <v>50</v>
      </c>
      <c r="Y83" s="341"/>
      <c r="Z83" s="245">
        <f t="shared" si="9"/>
        <v>1226</v>
      </c>
      <c r="AA83" s="244">
        <f t="shared" si="38"/>
        <v>2276</v>
      </c>
      <c r="AB83" s="244">
        <f t="shared" si="39"/>
        <v>1226</v>
      </c>
      <c r="AC83" s="244">
        <f t="shared" si="40"/>
        <v>2276</v>
      </c>
      <c r="AD83" s="244">
        <f t="shared" si="41"/>
        <v>3402</v>
      </c>
      <c r="AE83" s="244">
        <f t="shared" si="42"/>
        <v>1226</v>
      </c>
      <c r="AF83" s="245">
        <v>1226</v>
      </c>
      <c r="AG83" s="245">
        <f t="shared" si="50"/>
        <v>100</v>
      </c>
      <c r="AH83" s="245"/>
      <c r="AI83" s="245">
        <f t="shared" si="43"/>
        <v>1226</v>
      </c>
      <c r="AJ83" s="245">
        <f t="shared" si="51"/>
        <v>3502</v>
      </c>
      <c r="AK83" s="245">
        <f t="shared" si="52"/>
        <v>3502</v>
      </c>
      <c r="AL83" s="245">
        <f t="shared" si="53"/>
        <v>3402</v>
      </c>
      <c r="AM83" s="245">
        <f t="shared" si="46"/>
        <v>0</v>
      </c>
      <c r="AN83" s="342" t="s">
        <v>450</v>
      </c>
      <c r="AQ83" s="215" t="s">
        <v>515</v>
      </c>
      <c r="AR83" s="215"/>
      <c r="AS83" s="216"/>
      <c r="AT83" s="207" t="s">
        <v>307</v>
      </c>
      <c r="AU83" s="359" t="s">
        <v>516</v>
      </c>
      <c r="AY83" s="216"/>
      <c r="AZ83" s="216"/>
      <c r="BA83" s="216"/>
    </row>
    <row r="84" spans="1:53" ht="30" customHeight="1">
      <c r="A84" s="248">
        <v>50</v>
      </c>
      <c r="B84" s="338" t="s">
        <v>517</v>
      </c>
      <c r="C84" s="338"/>
      <c r="D84" s="338"/>
      <c r="E84" s="337" t="s">
        <v>372</v>
      </c>
      <c r="F84" s="251" t="s">
        <v>326</v>
      </c>
      <c r="G84" s="249" t="s">
        <v>395</v>
      </c>
      <c r="H84" s="253">
        <v>2017</v>
      </c>
      <c r="I84" s="253"/>
      <c r="J84" s="253">
        <v>2019</v>
      </c>
      <c r="K84" s="253"/>
      <c r="L84" s="339" t="s">
        <v>518</v>
      </c>
      <c r="M84" s="340" t="s">
        <v>519</v>
      </c>
      <c r="N84" s="337">
        <v>3637</v>
      </c>
      <c r="O84" s="337"/>
      <c r="P84" s="337">
        <v>3637</v>
      </c>
      <c r="Q84" s="352">
        <v>995</v>
      </c>
      <c r="R84" s="352"/>
      <c r="S84" s="352">
        <v>995</v>
      </c>
      <c r="T84" s="337">
        <v>3198</v>
      </c>
      <c r="U84" s="337">
        <v>2278</v>
      </c>
      <c r="V84" s="245">
        <v>1139</v>
      </c>
      <c r="W84" s="245">
        <v>1139</v>
      </c>
      <c r="X84" s="245">
        <v>50</v>
      </c>
      <c r="Y84" s="341"/>
      <c r="Z84" s="245">
        <f t="shared" si="9"/>
        <v>1139</v>
      </c>
      <c r="AA84" s="244">
        <f t="shared" si="38"/>
        <v>2134</v>
      </c>
      <c r="AB84" s="244">
        <f t="shared" si="39"/>
        <v>1139</v>
      </c>
      <c r="AC84" s="244">
        <f t="shared" si="40"/>
        <v>2134</v>
      </c>
      <c r="AD84" s="244">
        <f t="shared" si="41"/>
        <v>3198</v>
      </c>
      <c r="AE84" s="244">
        <f t="shared" si="42"/>
        <v>1139</v>
      </c>
      <c r="AF84" s="245">
        <v>1139</v>
      </c>
      <c r="AG84" s="245">
        <f t="shared" si="50"/>
        <v>100</v>
      </c>
      <c r="AH84" s="245"/>
      <c r="AI84" s="245">
        <f t="shared" si="43"/>
        <v>1139</v>
      </c>
      <c r="AJ84" s="245">
        <f t="shared" si="51"/>
        <v>3273</v>
      </c>
      <c r="AK84" s="245">
        <f t="shared" si="52"/>
        <v>3273</v>
      </c>
      <c r="AL84" s="245">
        <f t="shared" si="53"/>
        <v>3198</v>
      </c>
      <c r="AM84" s="245">
        <f t="shared" si="46"/>
        <v>0</v>
      </c>
      <c r="AN84" s="342" t="s">
        <v>450</v>
      </c>
      <c r="AQ84" s="215" t="s">
        <v>520</v>
      </c>
      <c r="AR84" s="215"/>
      <c r="AS84" s="216"/>
      <c r="AT84" s="207" t="s">
        <v>307</v>
      </c>
      <c r="AU84" s="359" t="s">
        <v>521</v>
      </c>
      <c r="AY84" s="216"/>
      <c r="AZ84" s="216"/>
      <c r="BA84" s="216"/>
    </row>
    <row r="85" spans="1:53" ht="30" customHeight="1">
      <c r="A85" s="248">
        <v>51</v>
      </c>
      <c r="B85" s="338" t="s">
        <v>522</v>
      </c>
      <c r="C85" s="338"/>
      <c r="D85" s="338"/>
      <c r="E85" s="337" t="s">
        <v>372</v>
      </c>
      <c r="F85" s="251" t="s">
        <v>326</v>
      </c>
      <c r="G85" s="343" t="s">
        <v>333</v>
      </c>
      <c r="H85" s="253">
        <v>2017</v>
      </c>
      <c r="I85" s="253"/>
      <c r="J85" s="253">
        <v>2019</v>
      </c>
      <c r="K85" s="253"/>
      <c r="L85" s="339"/>
      <c r="M85" s="340" t="s">
        <v>523</v>
      </c>
      <c r="N85" s="337">
        <v>3523</v>
      </c>
      <c r="O85" s="337"/>
      <c r="P85" s="337">
        <v>3523</v>
      </c>
      <c r="Q85" s="352">
        <v>1000</v>
      </c>
      <c r="R85" s="352"/>
      <c r="S85" s="352">
        <v>1000</v>
      </c>
      <c r="T85" s="337">
        <v>3071</v>
      </c>
      <c r="U85" s="337">
        <v>2171</v>
      </c>
      <c r="V85" s="245">
        <v>1086</v>
      </c>
      <c r="W85" s="245">
        <v>1085.5</v>
      </c>
      <c r="X85" s="245">
        <v>50</v>
      </c>
      <c r="Y85" s="341"/>
      <c r="Z85" s="245">
        <f t="shared" ref="Z85:Z98" si="54">V85+Y85</f>
        <v>1086</v>
      </c>
      <c r="AA85" s="244">
        <f t="shared" si="38"/>
        <v>2086</v>
      </c>
      <c r="AB85" s="244">
        <f t="shared" si="39"/>
        <v>1086</v>
      </c>
      <c r="AC85" s="244">
        <f t="shared" si="40"/>
        <v>2086</v>
      </c>
      <c r="AD85" s="244">
        <f t="shared" si="41"/>
        <v>3071</v>
      </c>
      <c r="AE85" s="244">
        <f t="shared" si="42"/>
        <v>1085</v>
      </c>
      <c r="AF85" s="245">
        <v>1085</v>
      </c>
      <c r="AG85" s="245">
        <f t="shared" si="50"/>
        <v>100</v>
      </c>
      <c r="AH85" s="245"/>
      <c r="AI85" s="245">
        <f t="shared" si="43"/>
        <v>1085</v>
      </c>
      <c r="AJ85" s="245">
        <f t="shared" si="51"/>
        <v>3171</v>
      </c>
      <c r="AK85" s="245">
        <f t="shared" si="52"/>
        <v>3171</v>
      </c>
      <c r="AL85" s="245">
        <f t="shared" si="53"/>
        <v>3071</v>
      </c>
      <c r="AM85" s="245">
        <f t="shared" si="46"/>
        <v>0</v>
      </c>
      <c r="AN85" s="342" t="s">
        <v>450</v>
      </c>
      <c r="AQ85" s="215" t="s">
        <v>524</v>
      </c>
      <c r="AR85" s="215"/>
      <c r="AS85" s="216"/>
      <c r="AU85" s="359" t="s">
        <v>525</v>
      </c>
      <c r="AY85" s="216"/>
      <c r="AZ85" s="216"/>
      <c r="BA85" s="216"/>
    </row>
    <row r="86" spans="1:53" ht="30" customHeight="1">
      <c r="A86" s="248">
        <v>52</v>
      </c>
      <c r="B86" s="338" t="s">
        <v>526</v>
      </c>
      <c r="C86" s="338"/>
      <c r="D86" s="338"/>
      <c r="E86" s="337" t="s">
        <v>372</v>
      </c>
      <c r="F86" s="251" t="s">
        <v>326</v>
      </c>
      <c r="G86" s="338" t="s">
        <v>382</v>
      </c>
      <c r="H86" s="253">
        <v>2017</v>
      </c>
      <c r="I86" s="253"/>
      <c r="J86" s="253">
        <v>2019</v>
      </c>
      <c r="K86" s="253"/>
      <c r="L86" s="339" t="s">
        <v>527</v>
      </c>
      <c r="M86" s="344" t="s">
        <v>528</v>
      </c>
      <c r="N86" s="337">
        <v>3200</v>
      </c>
      <c r="O86" s="337"/>
      <c r="P86" s="337">
        <v>3200</v>
      </c>
      <c r="Q86" s="352">
        <v>885</v>
      </c>
      <c r="R86" s="352"/>
      <c r="S86" s="352">
        <v>885</v>
      </c>
      <c r="T86" s="337">
        <v>2805</v>
      </c>
      <c r="U86" s="337">
        <v>1995</v>
      </c>
      <c r="V86" s="245">
        <v>998</v>
      </c>
      <c r="W86" s="245">
        <v>997.5</v>
      </c>
      <c r="X86" s="245">
        <v>50</v>
      </c>
      <c r="Y86" s="341"/>
      <c r="Z86" s="245">
        <f t="shared" si="54"/>
        <v>998</v>
      </c>
      <c r="AA86" s="244">
        <f t="shared" si="38"/>
        <v>1883</v>
      </c>
      <c r="AB86" s="244">
        <f t="shared" si="39"/>
        <v>998</v>
      </c>
      <c r="AC86" s="244">
        <f t="shared" si="40"/>
        <v>1883</v>
      </c>
      <c r="AD86" s="244">
        <f t="shared" si="41"/>
        <v>2805</v>
      </c>
      <c r="AE86" s="244">
        <f t="shared" si="42"/>
        <v>997</v>
      </c>
      <c r="AF86" s="245">
        <v>997</v>
      </c>
      <c r="AG86" s="245">
        <f t="shared" si="50"/>
        <v>100</v>
      </c>
      <c r="AH86" s="245"/>
      <c r="AI86" s="245">
        <f t="shared" si="43"/>
        <v>997</v>
      </c>
      <c r="AJ86" s="245">
        <f t="shared" si="51"/>
        <v>2880</v>
      </c>
      <c r="AK86" s="245">
        <f t="shared" si="52"/>
        <v>2880</v>
      </c>
      <c r="AL86" s="245">
        <f t="shared" si="53"/>
        <v>2805</v>
      </c>
      <c r="AM86" s="245">
        <f t="shared" si="46"/>
        <v>0</v>
      </c>
      <c r="AN86" s="342" t="s">
        <v>450</v>
      </c>
      <c r="AQ86" s="215" t="s">
        <v>529</v>
      </c>
      <c r="AR86" s="215"/>
      <c r="AS86" s="216"/>
      <c r="AT86" s="207" t="s">
        <v>307</v>
      </c>
      <c r="AU86" s="359" t="s">
        <v>530</v>
      </c>
      <c r="AY86" s="216"/>
      <c r="AZ86" s="216"/>
      <c r="BA86" s="216"/>
    </row>
    <row r="87" spans="1:53" ht="30" customHeight="1">
      <c r="A87" s="248">
        <v>53</v>
      </c>
      <c r="B87" s="338" t="s">
        <v>531</v>
      </c>
      <c r="C87" s="338"/>
      <c r="D87" s="338"/>
      <c r="E87" s="337" t="s">
        <v>372</v>
      </c>
      <c r="F87" s="251" t="s">
        <v>326</v>
      </c>
      <c r="G87" s="338" t="s">
        <v>341</v>
      </c>
      <c r="H87" s="253">
        <v>2017</v>
      </c>
      <c r="I87" s="253"/>
      <c r="J87" s="253">
        <v>2019</v>
      </c>
      <c r="K87" s="253"/>
      <c r="L87" s="253"/>
      <c r="M87" s="344" t="s">
        <v>532</v>
      </c>
      <c r="N87" s="337">
        <v>3710</v>
      </c>
      <c r="O87" s="337"/>
      <c r="P87" s="337">
        <v>3710</v>
      </c>
      <c r="Q87" s="352">
        <v>1050</v>
      </c>
      <c r="R87" s="352"/>
      <c r="S87" s="352">
        <v>1050</v>
      </c>
      <c r="T87" s="337">
        <v>3239</v>
      </c>
      <c r="U87" s="337">
        <v>2289</v>
      </c>
      <c r="V87" s="245">
        <v>1144</v>
      </c>
      <c r="W87" s="245">
        <v>1144.5</v>
      </c>
      <c r="X87" s="245">
        <v>50</v>
      </c>
      <c r="Y87" s="341"/>
      <c r="Z87" s="245">
        <f t="shared" si="54"/>
        <v>1144</v>
      </c>
      <c r="AA87" s="244">
        <f t="shared" si="38"/>
        <v>2194</v>
      </c>
      <c r="AB87" s="244">
        <f t="shared" si="39"/>
        <v>1144</v>
      </c>
      <c r="AC87" s="244">
        <f t="shared" si="40"/>
        <v>2194</v>
      </c>
      <c r="AD87" s="244">
        <f t="shared" si="41"/>
        <v>3239</v>
      </c>
      <c r="AE87" s="244">
        <f t="shared" si="42"/>
        <v>1145</v>
      </c>
      <c r="AF87" s="245">
        <v>1145</v>
      </c>
      <c r="AG87" s="245">
        <f t="shared" si="50"/>
        <v>100</v>
      </c>
      <c r="AH87" s="245"/>
      <c r="AI87" s="245">
        <f t="shared" si="43"/>
        <v>1145</v>
      </c>
      <c r="AJ87" s="245">
        <f t="shared" si="51"/>
        <v>3339</v>
      </c>
      <c r="AK87" s="245">
        <f t="shared" si="52"/>
        <v>3339</v>
      </c>
      <c r="AL87" s="245">
        <f t="shared" si="53"/>
        <v>3239</v>
      </c>
      <c r="AM87" s="245">
        <f t="shared" si="46"/>
        <v>0</v>
      </c>
      <c r="AN87" s="342" t="s">
        <v>450</v>
      </c>
      <c r="AQ87" s="215" t="s">
        <v>533</v>
      </c>
      <c r="AR87" s="215"/>
      <c r="AS87" s="216"/>
      <c r="AU87" s="247" t="s">
        <v>534</v>
      </c>
      <c r="AY87" s="216"/>
      <c r="AZ87" s="216"/>
      <c r="BA87" s="216"/>
    </row>
    <row r="88" spans="1:53" ht="30" customHeight="1">
      <c r="A88" s="248">
        <v>54</v>
      </c>
      <c r="B88" s="338" t="s">
        <v>535</v>
      </c>
      <c r="C88" s="338"/>
      <c r="D88" s="338"/>
      <c r="E88" s="337" t="s">
        <v>372</v>
      </c>
      <c r="F88" s="251" t="s">
        <v>326</v>
      </c>
      <c r="G88" s="343" t="s">
        <v>378</v>
      </c>
      <c r="H88" s="253">
        <v>2017</v>
      </c>
      <c r="I88" s="253"/>
      <c r="J88" s="253">
        <v>2019</v>
      </c>
      <c r="K88" s="253"/>
      <c r="L88" s="253"/>
      <c r="M88" s="344" t="s">
        <v>536</v>
      </c>
      <c r="N88" s="337">
        <v>3351</v>
      </c>
      <c r="O88" s="337"/>
      <c r="P88" s="337">
        <v>3351</v>
      </c>
      <c r="Q88" s="352">
        <v>835</v>
      </c>
      <c r="R88" s="352"/>
      <c r="S88" s="352">
        <v>835</v>
      </c>
      <c r="T88" s="337">
        <v>2941</v>
      </c>
      <c r="U88" s="337">
        <v>2181</v>
      </c>
      <c r="V88" s="245">
        <v>1091</v>
      </c>
      <c r="W88" s="245">
        <v>1091</v>
      </c>
      <c r="X88" s="245">
        <v>50</v>
      </c>
      <c r="Y88" s="341"/>
      <c r="Z88" s="245">
        <f t="shared" si="54"/>
        <v>1091</v>
      </c>
      <c r="AA88" s="244">
        <f t="shared" si="38"/>
        <v>1926</v>
      </c>
      <c r="AB88" s="244">
        <f t="shared" si="39"/>
        <v>1091</v>
      </c>
      <c r="AC88" s="244">
        <f t="shared" si="40"/>
        <v>1926</v>
      </c>
      <c r="AD88" s="244">
        <f t="shared" si="41"/>
        <v>2941</v>
      </c>
      <c r="AE88" s="244">
        <f t="shared" si="42"/>
        <v>1090</v>
      </c>
      <c r="AF88" s="245">
        <v>1090</v>
      </c>
      <c r="AG88" s="245">
        <f t="shared" si="50"/>
        <v>100</v>
      </c>
      <c r="AH88" s="245"/>
      <c r="AI88" s="245">
        <f t="shared" si="43"/>
        <v>1090</v>
      </c>
      <c r="AJ88" s="245">
        <f t="shared" si="51"/>
        <v>3016</v>
      </c>
      <c r="AK88" s="245">
        <f t="shared" si="52"/>
        <v>3016</v>
      </c>
      <c r="AL88" s="245">
        <f t="shared" si="53"/>
        <v>2941</v>
      </c>
      <c r="AM88" s="245">
        <f t="shared" si="46"/>
        <v>0</v>
      </c>
      <c r="AN88" s="342" t="s">
        <v>450</v>
      </c>
      <c r="AO88" s="207" t="s">
        <v>537</v>
      </c>
      <c r="AQ88" s="215" t="s">
        <v>538</v>
      </c>
      <c r="AR88" s="215"/>
      <c r="AS88" s="216"/>
      <c r="AT88" s="207" t="s">
        <v>307</v>
      </c>
      <c r="AU88" s="247" t="s">
        <v>539</v>
      </c>
      <c r="AY88" s="216"/>
      <c r="AZ88" s="216"/>
      <c r="BA88" s="216"/>
    </row>
    <row r="89" spans="1:53" ht="30" customHeight="1">
      <c r="A89" s="248">
        <v>55</v>
      </c>
      <c r="B89" s="338" t="s">
        <v>540</v>
      </c>
      <c r="C89" s="338"/>
      <c r="D89" s="338"/>
      <c r="E89" s="337" t="s">
        <v>372</v>
      </c>
      <c r="F89" s="251" t="s">
        <v>326</v>
      </c>
      <c r="G89" s="249" t="s">
        <v>395</v>
      </c>
      <c r="H89" s="253">
        <v>2017</v>
      </c>
      <c r="I89" s="253"/>
      <c r="J89" s="253">
        <v>2019</v>
      </c>
      <c r="K89" s="253"/>
      <c r="L89" s="253"/>
      <c r="M89" s="344" t="s">
        <v>541</v>
      </c>
      <c r="N89" s="337">
        <v>3989</v>
      </c>
      <c r="O89" s="337"/>
      <c r="P89" s="337">
        <v>3989</v>
      </c>
      <c r="Q89" s="337">
        <v>1000</v>
      </c>
      <c r="R89" s="337"/>
      <c r="S89" s="337">
        <v>1000</v>
      </c>
      <c r="T89" s="337">
        <v>3490</v>
      </c>
      <c r="U89" s="337">
        <v>2490</v>
      </c>
      <c r="V89" s="245">
        <v>1245</v>
      </c>
      <c r="W89" s="245">
        <v>1245</v>
      </c>
      <c r="X89" s="245">
        <v>50</v>
      </c>
      <c r="Y89" s="341"/>
      <c r="Z89" s="245">
        <f t="shared" si="54"/>
        <v>1245</v>
      </c>
      <c r="AA89" s="244">
        <f t="shared" si="38"/>
        <v>2245</v>
      </c>
      <c r="AB89" s="244">
        <f t="shared" si="39"/>
        <v>1245</v>
      </c>
      <c r="AC89" s="244">
        <f t="shared" si="40"/>
        <v>2245</v>
      </c>
      <c r="AD89" s="244">
        <f t="shared" si="41"/>
        <v>3490</v>
      </c>
      <c r="AE89" s="244">
        <f t="shared" si="42"/>
        <v>1245</v>
      </c>
      <c r="AF89" s="245">
        <v>1245</v>
      </c>
      <c r="AG89" s="245">
        <f t="shared" si="50"/>
        <v>100</v>
      </c>
      <c r="AH89" s="245"/>
      <c r="AI89" s="245">
        <f t="shared" si="43"/>
        <v>1245</v>
      </c>
      <c r="AJ89" s="245">
        <f t="shared" si="51"/>
        <v>3490</v>
      </c>
      <c r="AK89" s="245">
        <f t="shared" si="52"/>
        <v>3490</v>
      </c>
      <c r="AL89" s="245">
        <f t="shared" si="53"/>
        <v>3490</v>
      </c>
      <c r="AM89" s="245">
        <f t="shared" si="46"/>
        <v>0</v>
      </c>
      <c r="AN89" s="342"/>
      <c r="AQ89" s="215" t="s">
        <v>542</v>
      </c>
      <c r="AR89" s="215"/>
      <c r="AS89" s="216"/>
      <c r="AT89" s="207" t="s">
        <v>307</v>
      </c>
      <c r="AU89" s="359" t="s">
        <v>543</v>
      </c>
      <c r="AY89" s="216"/>
      <c r="AZ89" s="216"/>
      <c r="BA89" s="216"/>
    </row>
    <row r="90" spans="1:53" ht="30" customHeight="1">
      <c r="A90" s="248">
        <v>56</v>
      </c>
      <c r="B90" s="338" t="s">
        <v>544</v>
      </c>
      <c r="C90" s="338"/>
      <c r="D90" s="338"/>
      <c r="E90" s="337" t="s">
        <v>372</v>
      </c>
      <c r="F90" s="251" t="s">
        <v>326</v>
      </c>
      <c r="G90" s="336" t="s">
        <v>401</v>
      </c>
      <c r="H90" s="253">
        <v>2017</v>
      </c>
      <c r="I90" s="253"/>
      <c r="J90" s="253">
        <v>2019</v>
      </c>
      <c r="K90" s="253"/>
      <c r="L90" s="253"/>
      <c r="M90" s="271" t="s">
        <v>545</v>
      </c>
      <c r="N90" s="337">
        <v>3990</v>
      </c>
      <c r="O90" s="337"/>
      <c r="P90" s="337">
        <v>3990</v>
      </c>
      <c r="Q90" s="337">
        <v>1025</v>
      </c>
      <c r="R90" s="337"/>
      <c r="S90" s="337">
        <v>1025</v>
      </c>
      <c r="T90" s="337">
        <v>3591</v>
      </c>
      <c r="U90" s="337">
        <v>2566</v>
      </c>
      <c r="V90" s="245">
        <v>1283</v>
      </c>
      <c r="W90" s="245">
        <v>1283</v>
      </c>
      <c r="X90" s="245">
        <v>50</v>
      </c>
      <c r="Y90" s="341"/>
      <c r="Z90" s="245">
        <f t="shared" si="54"/>
        <v>1283</v>
      </c>
      <c r="AA90" s="244">
        <f t="shared" si="38"/>
        <v>2308</v>
      </c>
      <c r="AB90" s="244">
        <f t="shared" si="39"/>
        <v>1283</v>
      </c>
      <c r="AC90" s="244">
        <f t="shared" si="40"/>
        <v>2308</v>
      </c>
      <c r="AD90" s="244">
        <f t="shared" si="41"/>
        <v>3591</v>
      </c>
      <c r="AE90" s="244">
        <f t="shared" si="42"/>
        <v>1283</v>
      </c>
      <c r="AF90" s="245">
        <v>1283</v>
      </c>
      <c r="AG90" s="245">
        <f t="shared" si="50"/>
        <v>100</v>
      </c>
      <c r="AH90" s="245"/>
      <c r="AI90" s="245">
        <f t="shared" si="43"/>
        <v>1283</v>
      </c>
      <c r="AJ90" s="245">
        <f t="shared" si="51"/>
        <v>3591</v>
      </c>
      <c r="AK90" s="245">
        <f t="shared" si="52"/>
        <v>3591</v>
      </c>
      <c r="AL90" s="245">
        <f t="shared" si="53"/>
        <v>3591</v>
      </c>
      <c r="AM90" s="245">
        <f t="shared" si="46"/>
        <v>0</v>
      </c>
      <c r="AN90" s="342"/>
      <c r="AQ90" s="215" t="s">
        <v>546</v>
      </c>
      <c r="AR90" s="215"/>
      <c r="AS90" s="216"/>
      <c r="AU90" s="247" t="s">
        <v>547</v>
      </c>
      <c r="AY90" s="216"/>
      <c r="AZ90" s="216"/>
      <c r="BA90" s="216"/>
    </row>
    <row r="91" spans="1:53" ht="30" customHeight="1">
      <c r="A91" s="248">
        <v>57</v>
      </c>
      <c r="B91" s="338" t="s">
        <v>548</v>
      </c>
      <c r="C91" s="338"/>
      <c r="D91" s="338"/>
      <c r="E91" s="337" t="s">
        <v>372</v>
      </c>
      <c r="F91" s="251" t="s">
        <v>326</v>
      </c>
      <c r="G91" s="343" t="s">
        <v>378</v>
      </c>
      <c r="H91" s="253">
        <v>2017</v>
      </c>
      <c r="I91" s="253"/>
      <c r="J91" s="253">
        <v>2019</v>
      </c>
      <c r="K91" s="253"/>
      <c r="L91" s="253"/>
      <c r="M91" s="271" t="s">
        <v>549</v>
      </c>
      <c r="N91" s="337">
        <v>2894.7</v>
      </c>
      <c r="O91" s="337"/>
      <c r="P91" s="337">
        <v>2894.7</v>
      </c>
      <c r="Q91" s="337">
        <v>900</v>
      </c>
      <c r="R91" s="337"/>
      <c r="S91" s="337">
        <v>900</v>
      </c>
      <c r="T91" s="337">
        <v>2605</v>
      </c>
      <c r="U91" s="337">
        <v>1705</v>
      </c>
      <c r="V91" s="245">
        <v>853</v>
      </c>
      <c r="W91" s="245">
        <v>852.5</v>
      </c>
      <c r="X91" s="245">
        <v>50</v>
      </c>
      <c r="Y91" s="341"/>
      <c r="Z91" s="245">
        <f t="shared" si="54"/>
        <v>853</v>
      </c>
      <c r="AA91" s="244">
        <f t="shared" si="38"/>
        <v>1753</v>
      </c>
      <c r="AB91" s="244">
        <f t="shared" si="39"/>
        <v>853</v>
      </c>
      <c r="AC91" s="244">
        <f t="shared" si="40"/>
        <v>1753</v>
      </c>
      <c r="AD91" s="244">
        <f t="shared" si="41"/>
        <v>2605</v>
      </c>
      <c r="AE91" s="244">
        <f t="shared" si="42"/>
        <v>852</v>
      </c>
      <c r="AF91" s="245">
        <v>852</v>
      </c>
      <c r="AG91" s="245">
        <f t="shared" si="50"/>
        <v>100</v>
      </c>
      <c r="AH91" s="245"/>
      <c r="AI91" s="245">
        <f t="shared" si="43"/>
        <v>852</v>
      </c>
      <c r="AJ91" s="245">
        <f t="shared" si="51"/>
        <v>2605</v>
      </c>
      <c r="AK91" s="245">
        <f t="shared" si="52"/>
        <v>2605</v>
      </c>
      <c r="AL91" s="245">
        <f t="shared" si="53"/>
        <v>2605</v>
      </c>
      <c r="AM91" s="245">
        <f t="shared" si="46"/>
        <v>0</v>
      </c>
      <c r="AN91" s="342"/>
      <c r="AQ91" s="215" t="s">
        <v>550</v>
      </c>
      <c r="AR91" s="215"/>
      <c r="AS91" s="216"/>
      <c r="AT91" s="207" t="s">
        <v>307</v>
      </c>
      <c r="AU91" s="359" t="s">
        <v>551</v>
      </c>
      <c r="AY91" s="216"/>
      <c r="AZ91" s="216"/>
      <c r="BA91" s="216"/>
    </row>
    <row r="92" spans="1:53" ht="30" customHeight="1">
      <c r="A92" s="248">
        <v>58</v>
      </c>
      <c r="B92" s="338" t="s">
        <v>552</v>
      </c>
      <c r="C92" s="338"/>
      <c r="D92" s="338"/>
      <c r="E92" s="337" t="s">
        <v>372</v>
      </c>
      <c r="F92" s="251" t="s">
        <v>326</v>
      </c>
      <c r="G92" s="336" t="s">
        <v>373</v>
      </c>
      <c r="H92" s="253">
        <v>2017</v>
      </c>
      <c r="I92" s="253"/>
      <c r="J92" s="253">
        <v>2019</v>
      </c>
      <c r="K92" s="253"/>
      <c r="L92" s="253"/>
      <c r="M92" s="271" t="s">
        <v>553</v>
      </c>
      <c r="N92" s="337">
        <v>4588</v>
      </c>
      <c r="O92" s="337"/>
      <c r="P92" s="337">
        <v>4588</v>
      </c>
      <c r="Q92" s="337">
        <v>1200</v>
      </c>
      <c r="R92" s="337"/>
      <c r="S92" s="337">
        <v>1200</v>
      </c>
      <c r="T92" s="337">
        <v>4129</v>
      </c>
      <c r="U92" s="337">
        <v>2929</v>
      </c>
      <c r="V92" s="245">
        <v>1464</v>
      </c>
      <c r="W92" s="245">
        <v>1464.5</v>
      </c>
      <c r="X92" s="245">
        <v>50</v>
      </c>
      <c r="Y92" s="341"/>
      <c r="Z92" s="245">
        <f t="shared" si="54"/>
        <v>1464</v>
      </c>
      <c r="AA92" s="244">
        <f t="shared" si="38"/>
        <v>2664</v>
      </c>
      <c r="AB92" s="244">
        <f t="shared" si="39"/>
        <v>1464</v>
      </c>
      <c r="AC92" s="244">
        <f t="shared" si="40"/>
        <v>2664</v>
      </c>
      <c r="AD92" s="244">
        <f t="shared" si="41"/>
        <v>4129</v>
      </c>
      <c r="AE92" s="244">
        <f t="shared" si="42"/>
        <v>1465</v>
      </c>
      <c r="AF92" s="245">
        <v>1465</v>
      </c>
      <c r="AG92" s="245">
        <f t="shared" si="50"/>
        <v>100</v>
      </c>
      <c r="AH92" s="245"/>
      <c r="AI92" s="245">
        <f t="shared" si="43"/>
        <v>1465</v>
      </c>
      <c r="AJ92" s="245">
        <f t="shared" si="51"/>
        <v>4129</v>
      </c>
      <c r="AK92" s="245">
        <f t="shared" si="52"/>
        <v>4129</v>
      </c>
      <c r="AL92" s="245">
        <f t="shared" si="53"/>
        <v>4129</v>
      </c>
      <c r="AM92" s="245">
        <f t="shared" si="46"/>
        <v>0</v>
      </c>
      <c r="AN92" s="342"/>
      <c r="AQ92" s="215" t="s">
        <v>554</v>
      </c>
      <c r="AR92" s="215"/>
      <c r="AS92" s="216" t="s">
        <v>496</v>
      </c>
      <c r="AT92" s="207" t="s">
        <v>307</v>
      </c>
      <c r="AU92" s="359" t="s">
        <v>555</v>
      </c>
      <c r="AY92" s="216"/>
      <c r="AZ92" s="216"/>
      <c r="BA92" s="216"/>
    </row>
    <row r="93" spans="1:53" ht="30" customHeight="1">
      <c r="A93" s="248">
        <v>59</v>
      </c>
      <c r="B93" s="338" t="s">
        <v>556</v>
      </c>
      <c r="C93" s="360"/>
      <c r="D93" s="338"/>
      <c r="E93" s="337" t="s">
        <v>372</v>
      </c>
      <c r="F93" s="251" t="s">
        <v>326</v>
      </c>
      <c r="G93" s="249" t="s">
        <v>382</v>
      </c>
      <c r="H93" s="253">
        <v>2017</v>
      </c>
      <c r="I93" s="253"/>
      <c r="J93" s="253">
        <v>2019</v>
      </c>
      <c r="K93" s="253"/>
      <c r="L93" s="361" t="s">
        <v>557</v>
      </c>
      <c r="M93" s="344" t="s">
        <v>558</v>
      </c>
      <c r="N93" s="337">
        <v>5289</v>
      </c>
      <c r="O93" s="337"/>
      <c r="P93" s="337">
        <v>5289</v>
      </c>
      <c r="Q93" s="337">
        <v>1470</v>
      </c>
      <c r="R93" s="337"/>
      <c r="S93" s="337">
        <v>1470</v>
      </c>
      <c r="T93" s="337">
        <v>4640</v>
      </c>
      <c r="U93" s="337">
        <v>3290</v>
      </c>
      <c r="V93" s="245">
        <v>1645</v>
      </c>
      <c r="W93" s="245">
        <v>1645</v>
      </c>
      <c r="X93" s="245">
        <v>50</v>
      </c>
      <c r="Y93" s="341"/>
      <c r="Z93" s="245">
        <f t="shared" si="54"/>
        <v>1645</v>
      </c>
      <c r="AA93" s="244">
        <f t="shared" si="38"/>
        <v>3115</v>
      </c>
      <c r="AB93" s="244">
        <f t="shared" si="39"/>
        <v>1645</v>
      </c>
      <c r="AC93" s="244">
        <f t="shared" si="40"/>
        <v>3115</v>
      </c>
      <c r="AD93" s="244">
        <f t="shared" si="41"/>
        <v>4640</v>
      </c>
      <c r="AE93" s="244">
        <f t="shared" si="42"/>
        <v>1645</v>
      </c>
      <c r="AF93" s="245">
        <v>1645</v>
      </c>
      <c r="AG93" s="245">
        <f t="shared" si="50"/>
        <v>100</v>
      </c>
      <c r="AH93" s="245"/>
      <c r="AI93" s="245">
        <f t="shared" si="43"/>
        <v>1645</v>
      </c>
      <c r="AJ93" s="245">
        <f t="shared" si="51"/>
        <v>4760</v>
      </c>
      <c r="AK93" s="245">
        <f t="shared" si="52"/>
        <v>4760</v>
      </c>
      <c r="AL93" s="245">
        <f t="shared" si="53"/>
        <v>4640</v>
      </c>
      <c r="AM93" s="245">
        <f t="shared" si="46"/>
        <v>0</v>
      </c>
      <c r="AN93" s="342"/>
      <c r="AQ93" s="215" t="s">
        <v>382</v>
      </c>
      <c r="AR93" s="215"/>
      <c r="AS93" s="216"/>
      <c r="AU93" s="247" t="s">
        <v>559</v>
      </c>
      <c r="AY93" s="216"/>
      <c r="AZ93" s="216"/>
      <c r="BA93" s="216"/>
    </row>
    <row r="94" spans="1:53" ht="30" customHeight="1">
      <c r="A94" s="248">
        <v>60</v>
      </c>
      <c r="B94" s="338" t="s">
        <v>560</v>
      </c>
      <c r="C94" s="360"/>
      <c r="D94" s="338"/>
      <c r="E94" s="337" t="s">
        <v>372</v>
      </c>
      <c r="F94" s="251" t="s">
        <v>326</v>
      </c>
      <c r="G94" s="249" t="s">
        <v>401</v>
      </c>
      <c r="H94" s="253">
        <v>2017</v>
      </c>
      <c r="I94" s="253"/>
      <c r="J94" s="253">
        <v>2019</v>
      </c>
      <c r="K94" s="253"/>
      <c r="L94" s="361" t="s">
        <v>561</v>
      </c>
      <c r="M94" s="344" t="s">
        <v>562</v>
      </c>
      <c r="N94" s="337">
        <v>5291</v>
      </c>
      <c r="O94" s="337"/>
      <c r="P94" s="337">
        <v>5291</v>
      </c>
      <c r="Q94" s="337">
        <v>1350</v>
      </c>
      <c r="R94" s="337"/>
      <c r="S94" s="337">
        <v>1350</v>
      </c>
      <c r="T94" s="337">
        <v>4642</v>
      </c>
      <c r="U94" s="337">
        <v>3292</v>
      </c>
      <c r="V94" s="245">
        <v>1646</v>
      </c>
      <c r="W94" s="245">
        <v>1646</v>
      </c>
      <c r="X94" s="245">
        <v>50</v>
      </c>
      <c r="Y94" s="341"/>
      <c r="Z94" s="245">
        <f t="shared" si="54"/>
        <v>1646</v>
      </c>
      <c r="AA94" s="244">
        <f t="shared" si="38"/>
        <v>2996</v>
      </c>
      <c r="AB94" s="244">
        <f t="shared" si="39"/>
        <v>1646</v>
      </c>
      <c r="AC94" s="244">
        <f t="shared" si="40"/>
        <v>2996</v>
      </c>
      <c r="AD94" s="244">
        <f t="shared" si="41"/>
        <v>4642</v>
      </c>
      <c r="AE94" s="244">
        <f t="shared" si="42"/>
        <v>1646</v>
      </c>
      <c r="AF94" s="245">
        <v>1646</v>
      </c>
      <c r="AG94" s="245">
        <f t="shared" si="50"/>
        <v>100</v>
      </c>
      <c r="AH94" s="245"/>
      <c r="AI94" s="245">
        <f t="shared" si="43"/>
        <v>1646</v>
      </c>
      <c r="AJ94" s="245">
        <f t="shared" si="51"/>
        <v>4642</v>
      </c>
      <c r="AK94" s="245">
        <f t="shared" si="52"/>
        <v>4642</v>
      </c>
      <c r="AL94" s="245">
        <f t="shared" si="53"/>
        <v>4642</v>
      </c>
      <c r="AM94" s="245">
        <f t="shared" si="46"/>
        <v>0</v>
      </c>
      <c r="AN94" s="342"/>
      <c r="AQ94" s="215" t="s">
        <v>563</v>
      </c>
      <c r="AR94" s="215"/>
      <c r="AS94" s="216" t="s">
        <v>496</v>
      </c>
      <c r="AT94" s="207" t="s">
        <v>307</v>
      </c>
      <c r="AU94" s="247" t="s">
        <v>564</v>
      </c>
      <c r="AY94" s="216"/>
      <c r="AZ94" s="216"/>
      <c r="BA94" s="216"/>
    </row>
    <row r="95" spans="1:53" ht="30" customHeight="1">
      <c r="A95" s="248">
        <v>61</v>
      </c>
      <c r="B95" s="338" t="s">
        <v>565</v>
      </c>
      <c r="C95" s="360"/>
      <c r="D95" s="338"/>
      <c r="E95" s="337" t="s">
        <v>372</v>
      </c>
      <c r="F95" s="251" t="s">
        <v>326</v>
      </c>
      <c r="G95" s="336" t="s">
        <v>382</v>
      </c>
      <c r="H95" s="253">
        <v>2017</v>
      </c>
      <c r="I95" s="253"/>
      <c r="J95" s="253">
        <v>2019</v>
      </c>
      <c r="K95" s="253"/>
      <c r="L95" s="361" t="s">
        <v>566</v>
      </c>
      <c r="M95" s="271" t="s">
        <v>567</v>
      </c>
      <c r="N95" s="337">
        <v>4954</v>
      </c>
      <c r="O95" s="337"/>
      <c r="P95" s="337">
        <v>4954</v>
      </c>
      <c r="Q95" s="337">
        <v>1450</v>
      </c>
      <c r="R95" s="337"/>
      <c r="S95" s="337">
        <v>1450</v>
      </c>
      <c r="T95" s="337">
        <v>4459</v>
      </c>
      <c r="U95" s="337">
        <v>3009</v>
      </c>
      <c r="V95" s="245">
        <v>1504</v>
      </c>
      <c r="W95" s="245">
        <v>1504.5</v>
      </c>
      <c r="X95" s="245">
        <v>50</v>
      </c>
      <c r="Y95" s="341"/>
      <c r="Z95" s="245">
        <f t="shared" si="54"/>
        <v>1504</v>
      </c>
      <c r="AA95" s="244">
        <f t="shared" si="38"/>
        <v>2954</v>
      </c>
      <c r="AB95" s="244">
        <f t="shared" si="39"/>
        <v>1504</v>
      </c>
      <c r="AC95" s="244">
        <f t="shared" si="40"/>
        <v>2954</v>
      </c>
      <c r="AD95" s="244">
        <f t="shared" si="41"/>
        <v>4459</v>
      </c>
      <c r="AE95" s="244">
        <f t="shared" si="42"/>
        <v>1505</v>
      </c>
      <c r="AF95" s="245">
        <v>1505</v>
      </c>
      <c r="AG95" s="245">
        <f t="shared" si="50"/>
        <v>100</v>
      </c>
      <c r="AH95" s="245"/>
      <c r="AI95" s="245">
        <f t="shared" si="43"/>
        <v>1505</v>
      </c>
      <c r="AJ95" s="245">
        <f t="shared" si="51"/>
        <v>4459</v>
      </c>
      <c r="AK95" s="245">
        <f t="shared" si="52"/>
        <v>4459</v>
      </c>
      <c r="AL95" s="245">
        <f t="shared" si="53"/>
        <v>4459</v>
      </c>
      <c r="AM95" s="245">
        <f t="shared" si="46"/>
        <v>0</v>
      </c>
      <c r="AN95" s="342"/>
      <c r="AQ95" s="215" t="s">
        <v>382</v>
      </c>
      <c r="AR95" s="215"/>
      <c r="AS95" s="216"/>
      <c r="AU95" s="247" t="s">
        <v>559</v>
      </c>
      <c r="AY95" s="216"/>
      <c r="AZ95" s="216"/>
      <c r="BA95" s="216"/>
    </row>
    <row r="96" spans="1:53" ht="30" customHeight="1">
      <c r="A96" s="248">
        <v>62</v>
      </c>
      <c r="B96" s="338" t="s">
        <v>568</v>
      </c>
      <c r="C96" s="360"/>
      <c r="D96" s="338"/>
      <c r="E96" s="337" t="s">
        <v>372</v>
      </c>
      <c r="F96" s="251" t="s">
        <v>326</v>
      </c>
      <c r="G96" s="249" t="s">
        <v>395</v>
      </c>
      <c r="H96" s="253">
        <v>2017</v>
      </c>
      <c r="I96" s="253"/>
      <c r="J96" s="253">
        <v>2019</v>
      </c>
      <c r="K96" s="253"/>
      <c r="L96" s="361" t="s">
        <v>569</v>
      </c>
      <c r="M96" s="271" t="s">
        <v>570</v>
      </c>
      <c r="N96" s="337">
        <v>1982</v>
      </c>
      <c r="O96" s="337"/>
      <c r="P96" s="337">
        <v>1982</v>
      </c>
      <c r="Q96" s="337">
        <v>1000</v>
      </c>
      <c r="R96" s="337"/>
      <c r="S96" s="337">
        <v>1000</v>
      </c>
      <c r="T96" s="337">
        <v>1784</v>
      </c>
      <c r="U96" s="337">
        <v>784</v>
      </c>
      <c r="V96" s="245">
        <v>784</v>
      </c>
      <c r="W96" s="245">
        <v>784</v>
      </c>
      <c r="X96" s="245">
        <v>100</v>
      </c>
      <c r="Y96" s="341"/>
      <c r="Z96" s="245">
        <f t="shared" si="54"/>
        <v>784</v>
      </c>
      <c r="AA96" s="244">
        <f t="shared" si="38"/>
        <v>1784</v>
      </c>
      <c r="AB96" s="244">
        <f t="shared" si="39"/>
        <v>784</v>
      </c>
      <c r="AC96" s="244">
        <f t="shared" si="40"/>
        <v>1784</v>
      </c>
      <c r="AD96" s="244">
        <f t="shared" si="41"/>
        <v>1784</v>
      </c>
      <c r="AE96" s="244">
        <f t="shared" si="42"/>
        <v>0</v>
      </c>
      <c r="AF96" s="341"/>
      <c r="AG96" s="245"/>
      <c r="AH96" s="245"/>
      <c r="AI96" s="245"/>
      <c r="AJ96" s="245"/>
      <c r="AK96" s="245"/>
      <c r="AL96" s="245"/>
      <c r="AM96" s="245"/>
      <c r="AN96" s="342"/>
      <c r="AQ96" s="215" t="s">
        <v>571</v>
      </c>
      <c r="AR96" s="215"/>
      <c r="AS96" s="216" t="s">
        <v>572</v>
      </c>
      <c r="AT96" s="207" t="s">
        <v>307</v>
      </c>
      <c r="AY96" s="216"/>
      <c r="AZ96" s="216"/>
      <c r="BA96" s="216"/>
    </row>
    <row r="97" spans="1:53" ht="30" customHeight="1">
      <c r="A97" s="248">
        <v>63</v>
      </c>
      <c r="B97" s="338" t="s">
        <v>573</v>
      </c>
      <c r="C97" s="360"/>
      <c r="D97" s="338"/>
      <c r="E97" s="337" t="s">
        <v>372</v>
      </c>
      <c r="F97" s="251" t="s">
        <v>326</v>
      </c>
      <c r="G97" s="343" t="s">
        <v>333</v>
      </c>
      <c r="H97" s="253">
        <v>2017</v>
      </c>
      <c r="I97" s="253"/>
      <c r="J97" s="253">
        <v>2019</v>
      </c>
      <c r="K97" s="253"/>
      <c r="L97" s="361" t="s">
        <v>574</v>
      </c>
      <c r="M97" s="271" t="s">
        <v>575</v>
      </c>
      <c r="N97" s="337">
        <v>4513</v>
      </c>
      <c r="O97" s="337"/>
      <c r="P97" s="337">
        <v>4513</v>
      </c>
      <c r="Q97" s="337">
        <v>1350</v>
      </c>
      <c r="R97" s="337"/>
      <c r="S97" s="337">
        <v>1350</v>
      </c>
      <c r="T97" s="337">
        <v>4062</v>
      </c>
      <c r="U97" s="337">
        <v>2712</v>
      </c>
      <c r="V97" s="245">
        <v>1356</v>
      </c>
      <c r="W97" s="245">
        <v>1356</v>
      </c>
      <c r="X97" s="245">
        <v>50</v>
      </c>
      <c r="Y97" s="341"/>
      <c r="Z97" s="245">
        <f t="shared" si="54"/>
        <v>1356</v>
      </c>
      <c r="AA97" s="244">
        <f t="shared" si="38"/>
        <v>2706</v>
      </c>
      <c r="AB97" s="244">
        <f t="shared" si="39"/>
        <v>1356</v>
      </c>
      <c r="AC97" s="244">
        <f t="shared" si="40"/>
        <v>2706</v>
      </c>
      <c r="AD97" s="244">
        <f t="shared" si="41"/>
        <v>4062</v>
      </c>
      <c r="AE97" s="244">
        <f t="shared" si="42"/>
        <v>1356</v>
      </c>
      <c r="AF97" s="245">
        <v>1356</v>
      </c>
      <c r="AG97" s="245">
        <f t="shared" si="50"/>
        <v>100</v>
      </c>
      <c r="AH97" s="245"/>
      <c r="AI97" s="245">
        <f t="shared" si="43"/>
        <v>1356</v>
      </c>
      <c r="AJ97" s="245">
        <f t="shared" ref="AJ97:AJ118" si="55">AA97+AI97</f>
        <v>4062</v>
      </c>
      <c r="AK97" s="245">
        <f t="shared" ref="AK97:AK118" si="56">AC97+AI97</f>
        <v>4062</v>
      </c>
      <c r="AL97" s="245">
        <f t="shared" ref="AL97:AL118" si="57">T97</f>
        <v>4062</v>
      </c>
      <c r="AM97" s="245">
        <f t="shared" si="46"/>
        <v>0</v>
      </c>
      <c r="AN97" s="342"/>
      <c r="AQ97" s="215" t="s">
        <v>576</v>
      </c>
      <c r="AR97" s="215"/>
      <c r="AS97" s="216"/>
      <c r="AT97" s="207" t="s">
        <v>307</v>
      </c>
      <c r="AU97" s="359" t="s">
        <v>577</v>
      </c>
      <c r="AY97" s="216"/>
      <c r="AZ97" s="216"/>
      <c r="BA97" s="216"/>
    </row>
    <row r="98" spans="1:53" ht="30" customHeight="1">
      <c r="A98" s="248">
        <v>64</v>
      </c>
      <c r="B98" s="338" t="s">
        <v>578</v>
      </c>
      <c r="C98" s="360"/>
      <c r="D98" s="338"/>
      <c r="E98" s="337" t="s">
        <v>372</v>
      </c>
      <c r="F98" s="251" t="s">
        <v>326</v>
      </c>
      <c r="G98" s="338" t="s">
        <v>341</v>
      </c>
      <c r="H98" s="253">
        <v>2017</v>
      </c>
      <c r="I98" s="253"/>
      <c r="J98" s="253">
        <v>2019</v>
      </c>
      <c r="K98" s="253"/>
      <c r="L98" s="362" t="s">
        <v>579</v>
      </c>
      <c r="M98" s="271" t="s">
        <v>580</v>
      </c>
      <c r="N98" s="337">
        <v>3859</v>
      </c>
      <c r="O98" s="337"/>
      <c r="P98" s="337">
        <v>3859</v>
      </c>
      <c r="Q98" s="337">
        <v>1050</v>
      </c>
      <c r="R98" s="337"/>
      <c r="S98" s="337">
        <v>1050</v>
      </c>
      <c r="T98" s="337">
        <v>3473</v>
      </c>
      <c r="U98" s="337">
        <v>2423</v>
      </c>
      <c r="V98" s="245">
        <v>1211</v>
      </c>
      <c r="W98" s="245">
        <v>1211.5</v>
      </c>
      <c r="X98" s="245">
        <v>50</v>
      </c>
      <c r="Y98" s="341"/>
      <c r="Z98" s="245">
        <f t="shared" si="54"/>
        <v>1211</v>
      </c>
      <c r="AA98" s="244">
        <f t="shared" si="38"/>
        <v>2261</v>
      </c>
      <c r="AB98" s="244">
        <f t="shared" si="39"/>
        <v>1211</v>
      </c>
      <c r="AC98" s="244">
        <f t="shared" si="40"/>
        <v>2261</v>
      </c>
      <c r="AD98" s="244">
        <f t="shared" si="41"/>
        <v>3473</v>
      </c>
      <c r="AE98" s="244">
        <f t="shared" si="42"/>
        <v>1212</v>
      </c>
      <c r="AF98" s="245">
        <v>1212</v>
      </c>
      <c r="AG98" s="245">
        <f t="shared" si="50"/>
        <v>100</v>
      </c>
      <c r="AH98" s="245"/>
      <c r="AI98" s="245">
        <f t="shared" si="43"/>
        <v>1212</v>
      </c>
      <c r="AJ98" s="245">
        <f t="shared" si="55"/>
        <v>3473</v>
      </c>
      <c r="AK98" s="245">
        <f t="shared" si="56"/>
        <v>3473</v>
      </c>
      <c r="AL98" s="245">
        <f t="shared" si="57"/>
        <v>3473</v>
      </c>
      <c r="AM98" s="245">
        <f t="shared" si="46"/>
        <v>0</v>
      </c>
      <c r="AN98" s="342"/>
      <c r="AQ98" s="215" t="s">
        <v>515</v>
      </c>
      <c r="AR98" s="215"/>
      <c r="AS98" s="216"/>
      <c r="AT98" s="207" t="s">
        <v>307</v>
      </c>
      <c r="AU98" s="359" t="s">
        <v>581</v>
      </c>
      <c r="AY98" s="216"/>
      <c r="AZ98" s="216"/>
      <c r="BA98" s="216"/>
    </row>
    <row r="99" spans="1:53" ht="30" customHeight="1">
      <c r="A99" s="248">
        <v>65</v>
      </c>
      <c r="B99" s="338" t="s">
        <v>582</v>
      </c>
      <c r="C99" s="360"/>
      <c r="D99" s="338"/>
      <c r="E99" s="337" t="s">
        <v>372</v>
      </c>
      <c r="F99" s="251" t="s">
        <v>326</v>
      </c>
      <c r="G99" s="336" t="s">
        <v>382</v>
      </c>
      <c r="H99" s="253">
        <v>2017</v>
      </c>
      <c r="I99" s="253"/>
      <c r="J99" s="253">
        <v>2019</v>
      </c>
      <c r="K99" s="253"/>
      <c r="L99" s="361" t="s">
        <v>583</v>
      </c>
      <c r="M99" s="271" t="s">
        <v>584</v>
      </c>
      <c r="N99" s="337">
        <v>3500</v>
      </c>
      <c r="O99" s="337"/>
      <c r="P99" s="337">
        <v>3500</v>
      </c>
      <c r="Q99" s="337">
        <v>1000</v>
      </c>
      <c r="R99" s="337"/>
      <c r="S99" s="337">
        <v>1000</v>
      </c>
      <c r="T99" s="337">
        <v>3150</v>
      </c>
      <c r="U99" s="337">
        <v>2150</v>
      </c>
      <c r="V99" s="245">
        <v>1075</v>
      </c>
      <c r="W99" s="245">
        <v>1075</v>
      </c>
      <c r="X99" s="245">
        <v>50</v>
      </c>
      <c r="Y99" s="341"/>
      <c r="Z99" s="245">
        <f>V99+Y99</f>
        <v>1075</v>
      </c>
      <c r="AA99" s="244">
        <f t="shared" si="38"/>
        <v>2075</v>
      </c>
      <c r="AB99" s="244">
        <f t="shared" si="39"/>
        <v>1075</v>
      </c>
      <c r="AC99" s="244">
        <f t="shared" si="40"/>
        <v>2075</v>
      </c>
      <c r="AD99" s="244">
        <f t="shared" si="41"/>
        <v>3150</v>
      </c>
      <c r="AE99" s="244">
        <f t="shared" si="42"/>
        <v>1075</v>
      </c>
      <c r="AF99" s="245">
        <v>1075</v>
      </c>
      <c r="AG99" s="245">
        <f t="shared" si="50"/>
        <v>100</v>
      </c>
      <c r="AH99" s="245"/>
      <c r="AI99" s="245">
        <f t="shared" si="43"/>
        <v>1075</v>
      </c>
      <c r="AJ99" s="245">
        <f t="shared" si="55"/>
        <v>3150</v>
      </c>
      <c r="AK99" s="245">
        <f t="shared" si="56"/>
        <v>3150</v>
      </c>
      <c r="AL99" s="245">
        <f t="shared" si="57"/>
        <v>3150</v>
      </c>
      <c r="AM99" s="245">
        <f t="shared" si="46"/>
        <v>0</v>
      </c>
      <c r="AN99" s="342"/>
      <c r="AQ99" s="215" t="s">
        <v>585</v>
      </c>
      <c r="AR99" s="215"/>
      <c r="AS99" s="216" t="s">
        <v>572</v>
      </c>
      <c r="AT99" s="207" t="s">
        <v>307</v>
      </c>
      <c r="AU99" s="359" t="s">
        <v>586</v>
      </c>
      <c r="AY99" s="216"/>
      <c r="AZ99" s="216"/>
      <c r="BA99" s="216"/>
    </row>
    <row r="100" spans="1:53" ht="30" customHeight="1">
      <c r="A100" s="248">
        <v>66</v>
      </c>
      <c r="B100" s="338" t="s">
        <v>587</v>
      </c>
      <c r="C100" s="360"/>
      <c r="D100" s="338"/>
      <c r="E100" s="337" t="s">
        <v>372</v>
      </c>
      <c r="F100" s="251" t="s">
        <v>326</v>
      </c>
      <c r="G100" s="336" t="s">
        <v>382</v>
      </c>
      <c r="H100" s="253">
        <v>2017</v>
      </c>
      <c r="I100" s="253"/>
      <c r="J100" s="253">
        <v>2019</v>
      </c>
      <c r="K100" s="253"/>
      <c r="L100" s="361" t="s">
        <v>588</v>
      </c>
      <c r="M100" s="271" t="s">
        <v>589</v>
      </c>
      <c r="N100" s="337">
        <v>4130.6000000000004</v>
      </c>
      <c r="O100" s="337"/>
      <c r="P100" s="337">
        <v>4130.6000000000004</v>
      </c>
      <c r="Q100" s="337">
        <v>1100</v>
      </c>
      <c r="R100" s="337"/>
      <c r="S100" s="337">
        <v>1100</v>
      </c>
      <c r="T100" s="337">
        <v>3718</v>
      </c>
      <c r="U100" s="337">
        <v>2618</v>
      </c>
      <c r="V100" s="245">
        <v>1309</v>
      </c>
      <c r="W100" s="245">
        <v>1309</v>
      </c>
      <c r="X100" s="245">
        <v>50</v>
      </c>
      <c r="Y100" s="341"/>
      <c r="Z100" s="245">
        <f t="shared" ref="Z100:Z163" si="58">V100+Y100</f>
        <v>1309</v>
      </c>
      <c r="AA100" s="244">
        <f t="shared" si="38"/>
        <v>2409</v>
      </c>
      <c r="AB100" s="244">
        <f t="shared" si="39"/>
        <v>1309</v>
      </c>
      <c r="AC100" s="244">
        <f t="shared" si="40"/>
        <v>2409</v>
      </c>
      <c r="AD100" s="244">
        <f t="shared" si="41"/>
        <v>3718</v>
      </c>
      <c r="AE100" s="244">
        <f t="shared" si="42"/>
        <v>1309</v>
      </c>
      <c r="AF100" s="245">
        <v>1309</v>
      </c>
      <c r="AG100" s="245">
        <f t="shared" si="50"/>
        <v>100</v>
      </c>
      <c r="AH100" s="245"/>
      <c r="AI100" s="245">
        <f t="shared" si="43"/>
        <v>1309</v>
      </c>
      <c r="AJ100" s="245">
        <f t="shared" si="55"/>
        <v>3718</v>
      </c>
      <c r="AK100" s="245">
        <f t="shared" si="56"/>
        <v>3718</v>
      </c>
      <c r="AL100" s="245">
        <f t="shared" si="57"/>
        <v>3718</v>
      </c>
      <c r="AM100" s="245">
        <f t="shared" si="46"/>
        <v>0</v>
      </c>
      <c r="AN100" s="342"/>
      <c r="AQ100" s="215" t="s">
        <v>590</v>
      </c>
      <c r="AR100" s="215"/>
      <c r="AS100" s="216"/>
      <c r="AU100" s="247" t="s">
        <v>591</v>
      </c>
      <c r="AY100" s="216"/>
      <c r="AZ100" s="216"/>
      <c r="BA100" s="216"/>
    </row>
    <row r="101" spans="1:53" ht="30" customHeight="1">
      <c r="A101" s="248">
        <v>67</v>
      </c>
      <c r="B101" s="338" t="s">
        <v>592</v>
      </c>
      <c r="C101" s="360"/>
      <c r="D101" s="338"/>
      <c r="E101" s="337" t="s">
        <v>372</v>
      </c>
      <c r="F101" s="251" t="s">
        <v>326</v>
      </c>
      <c r="G101" s="336" t="s">
        <v>382</v>
      </c>
      <c r="H101" s="253">
        <v>2017</v>
      </c>
      <c r="I101" s="253"/>
      <c r="J101" s="253">
        <v>2019</v>
      </c>
      <c r="K101" s="253"/>
      <c r="L101" s="361" t="s">
        <v>593</v>
      </c>
      <c r="M101" s="271" t="s">
        <v>594</v>
      </c>
      <c r="N101" s="337">
        <v>3439</v>
      </c>
      <c r="O101" s="337"/>
      <c r="P101" s="337">
        <v>3439</v>
      </c>
      <c r="Q101" s="337">
        <v>1000</v>
      </c>
      <c r="R101" s="337"/>
      <c r="S101" s="337">
        <v>1000</v>
      </c>
      <c r="T101" s="337">
        <v>3095</v>
      </c>
      <c r="U101" s="337">
        <v>2095</v>
      </c>
      <c r="V101" s="245">
        <v>1048</v>
      </c>
      <c r="W101" s="245">
        <v>1047.5</v>
      </c>
      <c r="X101" s="245">
        <v>50</v>
      </c>
      <c r="Y101" s="341"/>
      <c r="Z101" s="245">
        <f t="shared" si="58"/>
        <v>1048</v>
      </c>
      <c r="AA101" s="244">
        <f t="shared" si="38"/>
        <v>2048</v>
      </c>
      <c r="AB101" s="244">
        <f t="shared" si="39"/>
        <v>1048</v>
      </c>
      <c r="AC101" s="244">
        <f t="shared" si="40"/>
        <v>2048</v>
      </c>
      <c r="AD101" s="244">
        <f t="shared" si="41"/>
        <v>3095</v>
      </c>
      <c r="AE101" s="244">
        <f t="shared" si="42"/>
        <v>1047</v>
      </c>
      <c r="AF101" s="245">
        <v>1047</v>
      </c>
      <c r="AG101" s="245">
        <f t="shared" si="50"/>
        <v>100</v>
      </c>
      <c r="AH101" s="245"/>
      <c r="AI101" s="245">
        <f t="shared" si="43"/>
        <v>1047</v>
      </c>
      <c r="AJ101" s="245">
        <f t="shared" si="55"/>
        <v>3095</v>
      </c>
      <c r="AK101" s="245">
        <f t="shared" si="56"/>
        <v>3095</v>
      </c>
      <c r="AL101" s="245">
        <f t="shared" si="57"/>
        <v>3095</v>
      </c>
      <c r="AM101" s="245">
        <f t="shared" si="46"/>
        <v>0</v>
      </c>
      <c r="AN101" s="342"/>
      <c r="AQ101" s="215" t="s">
        <v>595</v>
      </c>
      <c r="AR101" s="215"/>
      <c r="AS101" s="216"/>
      <c r="AU101" s="247" t="s">
        <v>596</v>
      </c>
      <c r="AY101" s="216"/>
      <c r="AZ101" s="216"/>
      <c r="BA101" s="216"/>
    </row>
    <row r="102" spans="1:53" ht="30" customHeight="1">
      <c r="A102" s="248">
        <v>68</v>
      </c>
      <c r="B102" s="338" t="s">
        <v>597</v>
      </c>
      <c r="C102" s="360"/>
      <c r="D102" s="338"/>
      <c r="E102" s="337" t="s">
        <v>372</v>
      </c>
      <c r="F102" s="251" t="s">
        <v>326</v>
      </c>
      <c r="G102" s="351" t="s">
        <v>435</v>
      </c>
      <c r="H102" s="253">
        <v>2017</v>
      </c>
      <c r="I102" s="253"/>
      <c r="J102" s="253">
        <v>2019</v>
      </c>
      <c r="K102" s="253"/>
      <c r="L102" s="361" t="s">
        <v>598</v>
      </c>
      <c r="M102" s="344" t="s">
        <v>599</v>
      </c>
      <c r="N102" s="337">
        <v>2924</v>
      </c>
      <c r="O102" s="337"/>
      <c r="P102" s="337">
        <v>2924</v>
      </c>
      <c r="Q102" s="337">
        <v>900</v>
      </c>
      <c r="R102" s="337"/>
      <c r="S102" s="337">
        <v>900</v>
      </c>
      <c r="T102" s="337">
        <v>2632</v>
      </c>
      <c r="U102" s="337">
        <v>1732</v>
      </c>
      <c r="V102" s="245">
        <v>866</v>
      </c>
      <c r="W102" s="245">
        <v>866</v>
      </c>
      <c r="X102" s="245">
        <v>50</v>
      </c>
      <c r="Y102" s="341"/>
      <c r="Z102" s="245">
        <f t="shared" si="58"/>
        <v>866</v>
      </c>
      <c r="AA102" s="244">
        <f t="shared" si="38"/>
        <v>1766</v>
      </c>
      <c r="AB102" s="244">
        <f t="shared" si="39"/>
        <v>866</v>
      </c>
      <c r="AC102" s="244">
        <f t="shared" si="40"/>
        <v>1766</v>
      </c>
      <c r="AD102" s="244">
        <f t="shared" si="41"/>
        <v>2632</v>
      </c>
      <c r="AE102" s="244">
        <f t="shared" si="42"/>
        <v>866</v>
      </c>
      <c r="AF102" s="245">
        <v>866</v>
      </c>
      <c r="AG102" s="245">
        <f t="shared" si="50"/>
        <v>100</v>
      </c>
      <c r="AH102" s="245"/>
      <c r="AI102" s="245">
        <f t="shared" si="43"/>
        <v>866</v>
      </c>
      <c r="AJ102" s="245">
        <f t="shared" si="55"/>
        <v>2632</v>
      </c>
      <c r="AK102" s="245">
        <f t="shared" si="56"/>
        <v>2632</v>
      </c>
      <c r="AL102" s="245">
        <f t="shared" si="57"/>
        <v>2632</v>
      </c>
      <c r="AM102" s="245">
        <f t="shared" si="46"/>
        <v>0</v>
      </c>
      <c r="AN102" s="342"/>
      <c r="AQ102" s="215" t="s">
        <v>600</v>
      </c>
      <c r="AR102" s="215"/>
      <c r="AS102" s="216"/>
      <c r="AT102" s="207" t="s">
        <v>307</v>
      </c>
      <c r="AU102" s="359" t="s">
        <v>601</v>
      </c>
      <c r="AY102" s="216"/>
      <c r="AZ102" s="216"/>
      <c r="BA102" s="216"/>
    </row>
    <row r="103" spans="1:53" ht="30" customHeight="1">
      <c r="A103" s="248">
        <v>69</v>
      </c>
      <c r="B103" s="338" t="s">
        <v>602</v>
      </c>
      <c r="C103" s="338"/>
      <c r="D103" s="338"/>
      <c r="E103" s="337" t="s">
        <v>372</v>
      </c>
      <c r="F103" s="251" t="s">
        <v>326</v>
      </c>
      <c r="G103" s="336" t="s">
        <v>373</v>
      </c>
      <c r="H103" s="253">
        <v>2017</v>
      </c>
      <c r="I103" s="253"/>
      <c r="J103" s="253">
        <v>2019</v>
      </c>
      <c r="K103" s="253"/>
      <c r="L103" s="253"/>
      <c r="M103" s="344" t="s">
        <v>603</v>
      </c>
      <c r="N103" s="337">
        <v>3843</v>
      </c>
      <c r="O103" s="337"/>
      <c r="P103" s="337">
        <v>3843</v>
      </c>
      <c r="Q103" s="337">
        <v>1000</v>
      </c>
      <c r="R103" s="337"/>
      <c r="S103" s="337">
        <v>1000</v>
      </c>
      <c r="T103" s="337">
        <v>3459</v>
      </c>
      <c r="U103" s="337">
        <v>2459</v>
      </c>
      <c r="V103" s="245">
        <v>1229</v>
      </c>
      <c r="W103" s="245">
        <v>1229.5</v>
      </c>
      <c r="X103" s="245">
        <v>50</v>
      </c>
      <c r="Y103" s="341"/>
      <c r="Z103" s="245">
        <f t="shared" si="58"/>
        <v>1229</v>
      </c>
      <c r="AA103" s="244">
        <f t="shared" si="38"/>
        <v>2229</v>
      </c>
      <c r="AB103" s="244">
        <f t="shared" si="39"/>
        <v>1229</v>
      </c>
      <c r="AC103" s="244">
        <f t="shared" si="40"/>
        <v>2229</v>
      </c>
      <c r="AD103" s="244">
        <f t="shared" si="41"/>
        <v>3459</v>
      </c>
      <c r="AE103" s="244">
        <f t="shared" si="42"/>
        <v>1230</v>
      </c>
      <c r="AF103" s="245">
        <v>1230</v>
      </c>
      <c r="AG103" s="245">
        <f t="shared" si="50"/>
        <v>100</v>
      </c>
      <c r="AH103" s="245"/>
      <c r="AI103" s="245">
        <f t="shared" si="43"/>
        <v>1230</v>
      </c>
      <c r="AJ103" s="245">
        <f t="shared" si="55"/>
        <v>3459</v>
      </c>
      <c r="AK103" s="245">
        <f t="shared" si="56"/>
        <v>3459</v>
      </c>
      <c r="AL103" s="245">
        <f t="shared" si="57"/>
        <v>3459</v>
      </c>
      <c r="AM103" s="245">
        <f t="shared" si="46"/>
        <v>0</v>
      </c>
      <c r="AN103" s="342"/>
      <c r="AQ103" s="215" t="s">
        <v>604</v>
      </c>
      <c r="AR103" s="215"/>
      <c r="AS103" s="216"/>
      <c r="AT103" s="207" t="s">
        <v>307</v>
      </c>
      <c r="AU103" s="359" t="s">
        <v>605</v>
      </c>
      <c r="AY103" s="216"/>
      <c r="AZ103" s="216"/>
      <c r="BA103" s="216"/>
    </row>
    <row r="104" spans="1:53" ht="30" customHeight="1">
      <c r="A104" s="248">
        <v>70</v>
      </c>
      <c r="B104" s="338" t="s">
        <v>606</v>
      </c>
      <c r="C104" s="338"/>
      <c r="D104" s="338"/>
      <c r="E104" s="337" t="s">
        <v>372</v>
      </c>
      <c r="F104" s="251" t="s">
        <v>326</v>
      </c>
      <c r="G104" s="351" t="s">
        <v>435</v>
      </c>
      <c r="H104" s="253">
        <v>2017</v>
      </c>
      <c r="I104" s="253"/>
      <c r="J104" s="253">
        <v>2019</v>
      </c>
      <c r="K104" s="253"/>
      <c r="L104" s="253"/>
      <c r="M104" s="344" t="s">
        <v>607</v>
      </c>
      <c r="N104" s="337">
        <v>4077</v>
      </c>
      <c r="O104" s="337"/>
      <c r="P104" s="337">
        <v>4077</v>
      </c>
      <c r="Q104" s="337">
        <v>1000</v>
      </c>
      <c r="R104" s="337"/>
      <c r="S104" s="337">
        <v>1000</v>
      </c>
      <c r="T104" s="337">
        <v>3669</v>
      </c>
      <c r="U104" s="337">
        <v>2669</v>
      </c>
      <c r="V104" s="245">
        <v>1334</v>
      </c>
      <c r="W104" s="245">
        <v>1334.5</v>
      </c>
      <c r="X104" s="245">
        <v>50</v>
      </c>
      <c r="Y104" s="341"/>
      <c r="Z104" s="245">
        <f t="shared" si="58"/>
        <v>1334</v>
      </c>
      <c r="AA104" s="244">
        <f t="shared" si="38"/>
        <v>2334</v>
      </c>
      <c r="AB104" s="244">
        <f t="shared" si="39"/>
        <v>1334</v>
      </c>
      <c r="AC104" s="244">
        <f t="shared" si="40"/>
        <v>2334</v>
      </c>
      <c r="AD104" s="244">
        <f t="shared" si="41"/>
        <v>3669</v>
      </c>
      <c r="AE104" s="244">
        <f t="shared" si="42"/>
        <v>1335</v>
      </c>
      <c r="AF104" s="245">
        <v>1335</v>
      </c>
      <c r="AG104" s="245">
        <f t="shared" si="50"/>
        <v>100</v>
      </c>
      <c r="AH104" s="245"/>
      <c r="AI104" s="245">
        <f t="shared" si="43"/>
        <v>1335</v>
      </c>
      <c r="AJ104" s="245">
        <f t="shared" si="55"/>
        <v>3669</v>
      </c>
      <c r="AK104" s="245">
        <f t="shared" si="56"/>
        <v>3669</v>
      </c>
      <c r="AL104" s="245">
        <f t="shared" si="57"/>
        <v>3669</v>
      </c>
      <c r="AM104" s="245">
        <f t="shared" si="46"/>
        <v>0</v>
      </c>
      <c r="AN104" s="342"/>
      <c r="AQ104" s="215" t="s">
        <v>608</v>
      </c>
      <c r="AR104" s="215"/>
      <c r="AS104" s="216"/>
      <c r="AT104" s="207" t="s">
        <v>307</v>
      </c>
      <c r="AU104" s="359" t="s">
        <v>609</v>
      </c>
      <c r="AY104" s="216"/>
      <c r="AZ104" s="216"/>
      <c r="BA104" s="216"/>
    </row>
    <row r="105" spans="1:53" ht="30" customHeight="1">
      <c r="A105" s="248">
        <v>71</v>
      </c>
      <c r="B105" s="338" t="s">
        <v>610</v>
      </c>
      <c r="C105" s="338"/>
      <c r="D105" s="338"/>
      <c r="E105" s="337" t="s">
        <v>372</v>
      </c>
      <c r="F105" s="251" t="s">
        <v>326</v>
      </c>
      <c r="G105" s="351" t="s">
        <v>435</v>
      </c>
      <c r="H105" s="253">
        <v>2017</v>
      </c>
      <c r="I105" s="253"/>
      <c r="J105" s="253">
        <v>2019</v>
      </c>
      <c r="K105" s="253"/>
      <c r="L105" s="361" t="s">
        <v>611</v>
      </c>
      <c r="M105" s="271" t="s">
        <v>612</v>
      </c>
      <c r="N105" s="337">
        <v>4500</v>
      </c>
      <c r="O105" s="337"/>
      <c r="P105" s="337">
        <v>4500</v>
      </c>
      <c r="Q105" s="337">
        <v>1100</v>
      </c>
      <c r="R105" s="337"/>
      <c r="S105" s="337">
        <v>1100</v>
      </c>
      <c r="T105" s="337">
        <v>4050</v>
      </c>
      <c r="U105" s="337">
        <v>2950</v>
      </c>
      <c r="V105" s="245">
        <v>1475</v>
      </c>
      <c r="W105" s="245">
        <v>1475</v>
      </c>
      <c r="X105" s="245">
        <v>50</v>
      </c>
      <c r="Y105" s="341"/>
      <c r="Z105" s="245">
        <f t="shared" si="58"/>
        <v>1475</v>
      </c>
      <c r="AA105" s="244">
        <f t="shared" si="38"/>
        <v>2575</v>
      </c>
      <c r="AB105" s="244">
        <f t="shared" si="39"/>
        <v>1475</v>
      </c>
      <c r="AC105" s="244">
        <f t="shared" si="40"/>
        <v>2575</v>
      </c>
      <c r="AD105" s="244">
        <f t="shared" si="41"/>
        <v>4050</v>
      </c>
      <c r="AE105" s="244">
        <f t="shared" si="42"/>
        <v>1475</v>
      </c>
      <c r="AF105" s="245">
        <v>1475</v>
      </c>
      <c r="AG105" s="245">
        <f t="shared" si="50"/>
        <v>100</v>
      </c>
      <c r="AH105" s="245"/>
      <c r="AI105" s="245">
        <f t="shared" si="43"/>
        <v>1475</v>
      </c>
      <c r="AJ105" s="245">
        <f t="shared" si="55"/>
        <v>4050</v>
      </c>
      <c r="AK105" s="245">
        <f t="shared" si="56"/>
        <v>4050</v>
      </c>
      <c r="AL105" s="245">
        <f t="shared" si="57"/>
        <v>4050</v>
      </c>
      <c r="AM105" s="245">
        <f t="shared" si="46"/>
        <v>0</v>
      </c>
      <c r="AN105" s="342"/>
      <c r="AQ105" s="215" t="s">
        <v>613</v>
      </c>
      <c r="AR105" s="215"/>
      <c r="AS105" s="216"/>
      <c r="AT105" s="207" t="s">
        <v>307</v>
      </c>
      <c r="AU105" s="359" t="s">
        <v>614</v>
      </c>
      <c r="AY105" s="216"/>
      <c r="AZ105" s="216"/>
      <c r="BA105" s="216"/>
    </row>
    <row r="106" spans="1:53" ht="30" customHeight="1">
      <c r="A106" s="248">
        <v>72</v>
      </c>
      <c r="B106" s="338" t="s">
        <v>615</v>
      </c>
      <c r="C106" s="338"/>
      <c r="D106" s="338"/>
      <c r="E106" s="337" t="s">
        <v>372</v>
      </c>
      <c r="F106" s="251" t="s">
        <v>326</v>
      </c>
      <c r="G106" s="351" t="s">
        <v>435</v>
      </c>
      <c r="H106" s="253">
        <v>2017</v>
      </c>
      <c r="I106" s="253"/>
      <c r="J106" s="253">
        <v>2019</v>
      </c>
      <c r="K106" s="253"/>
      <c r="L106" s="361"/>
      <c r="M106" s="271" t="s">
        <v>616</v>
      </c>
      <c r="N106" s="337">
        <v>3861</v>
      </c>
      <c r="O106" s="337"/>
      <c r="P106" s="337">
        <v>3861</v>
      </c>
      <c r="Q106" s="337">
        <v>1000</v>
      </c>
      <c r="R106" s="337"/>
      <c r="S106" s="337">
        <v>1000</v>
      </c>
      <c r="T106" s="337">
        <v>3475</v>
      </c>
      <c r="U106" s="337">
        <v>2475</v>
      </c>
      <c r="V106" s="245">
        <v>1237</v>
      </c>
      <c r="W106" s="245">
        <v>1237.5</v>
      </c>
      <c r="X106" s="245">
        <v>50</v>
      </c>
      <c r="Y106" s="341"/>
      <c r="Z106" s="245">
        <f t="shared" si="58"/>
        <v>1237</v>
      </c>
      <c r="AA106" s="244">
        <f t="shared" si="38"/>
        <v>2237</v>
      </c>
      <c r="AB106" s="244">
        <f t="shared" si="39"/>
        <v>1237</v>
      </c>
      <c r="AC106" s="244">
        <f t="shared" si="40"/>
        <v>2237</v>
      </c>
      <c r="AD106" s="244">
        <f t="shared" si="41"/>
        <v>3475</v>
      </c>
      <c r="AE106" s="244">
        <f t="shared" si="42"/>
        <v>1238</v>
      </c>
      <c r="AF106" s="245">
        <v>1238</v>
      </c>
      <c r="AG106" s="245">
        <f t="shared" si="50"/>
        <v>100</v>
      </c>
      <c r="AH106" s="245"/>
      <c r="AI106" s="245">
        <f t="shared" si="43"/>
        <v>1238</v>
      </c>
      <c r="AJ106" s="245">
        <f t="shared" si="55"/>
        <v>3475</v>
      </c>
      <c r="AK106" s="245">
        <f t="shared" si="56"/>
        <v>3475</v>
      </c>
      <c r="AL106" s="245">
        <f t="shared" si="57"/>
        <v>3475</v>
      </c>
      <c r="AM106" s="245">
        <f t="shared" si="46"/>
        <v>0</v>
      </c>
      <c r="AN106" s="342"/>
      <c r="AQ106" s="215" t="s">
        <v>617</v>
      </c>
      <c r="AR106" s="215"/>
      <c r="AS106" s="216"/>
      <c r="AT106" s="207" t="s">
        <v>307</v>
      </c>
      <c r="AU106" s="359" t="s">
        <v>618</v>
      </c>
      <c r="AY106" s="216"/>
      <c r="AZ106" s="216"/>
      <c r="BA106" s="216"/>
    </row>
    <row r="107" spans="1:53" ht="30" customHeight="1">
      <c r="A107" s="248">
        <v>73</v>
      </c>
      <c r="B107" s="338" t="s">
        <v>619</v>
      </c>
      <c r="C107" s="338"/>
      <c r="D107" s="338"/>
      <c r="E107" s="337" t="s">
        <v>372</v>
      </c>
      <c r="F107" s="251" t="s">
        <v>326</v>
      </c>
      <c r="G107" s="351" t="s">
        <v>435</v>
      </c>
      <c r="H107" s="253">
        <v>2017</v>
      </c>
      <c r="I107" s="253"/>
      <c r="J107" s="253">
        <v>2019</v>
      </c>
      <c r="K107" s="253"/>
      <c r="L107" s="361" t="s">
        <v>620</v>
      </c>
      <c r="M107" s="344" t="s">
        <v>621</v>
      </c>
      <c r="N107" s="337">
        <v>3500</v>
      </c>
      <c r="O107" s="337"/>
      <c r="P107" s="337">
        <v>3500</v>
      </c>
      <c r="Q107" s="337">
        <v>950</v>
      </c>
      <c r="R107" s="337"/>
      <c r="S107" s="337">
        <v>950</v>
      </c>
      <c r="T107" s="337">
        <v>3150</v>
      </c>
      <c r="U107" s="337">
        <v>2200</v>
      </c>
      <c r="V107" s="245">
        <v>1100</v>
      </c>
      <c r="W107" s="245">
        <v>1100</v>
      </c>
      <c r="X107" s="245">
        <v>50</v>
      </c>
      <c r="Y107" s="341"/>
      <c r="Z107" s="245">
        <f t="shared" si="58"/>
        <v>1100</v>
      </c>
      <c r="AA107" s="244">
        <f t="shared" si="38"/>
        <v>2050</v>
      </c>
      <c r="AB107" s="244">
        <f t="shared" si="39"/>
        <v>1100</v>
      </c>
      <c r="AC107" s="244">
        <f t="shared" si="40"/>
        <v>2050</v>
      </c>
      <c r="AD107" s="244">
        <f t="shared" si="41"/>
        <v>3150</v>
      </c>
      <c r="AE107" s="244">
        <f t="shared" si="42"/>
        <v>1100</v>
      </c>
      <c r="AF107" s="245">
        <v>1100</v>
      </c>
      <c r="AG107" s="245">
        <f t="shared" si="50"/>
        <v>100</v>
      </c>
      <c r="AH107" s="245"/>
      <c r="AI107" s="245">
        <f t="shared" si="43"/>
        <v>1100</v>
      </c>
      <c r="AJ107" s="245">
        <f t="shared" si="55"/>
        <v>3150</v>
      </c>
      <c r="AK107" s="245">
        <f t="shared" si="56"/>
        <v>3150</v>
      </c>
      <c r="AL107" s="245">
        <f t="shared" si="57"/>
        <v>3150</v>
      </c>
      <c r="AM107" s="245">
        <f t="shared" si="46"/>
        <v>0</v>
      </c>
      <c r="AN107" s="342"/>
      <c r="AQ107" s="215" t="s">
        <v>622</v>
      </c>
      <c r="AR107" s="215"/>
      <c r="AS107" s="216"/>
      <c r="AT107" s="207" t="s">
        <v>307</v>
      </c>
      <c r="AU107" s="359" t="s">
        <v>623</v>
      </c>
      <c r="AY107" s="216"/>
      <c r="AZ107" s="216"/>
      <c r="BA107" s="216"/>
    </row>
    <row r="108" spans="1:53" ht="30" customHeight="1">
      <c r="A108" s="248">
        <v>74</v>
      </c>
      <c r="B108" s="338" t="s">
        <v>624</v>
      </c>
      <c r="C108" s="338"/>
      <c r="D108" s="338"/>
      <c r="E108" s="337" t="s">
        <v>372</v>
      </c>
      <c r="F108" s="251" t="s">
        <v>326</v>
      </c>
      <c r="G108" s="338" t="s">
        <v>341</v>
      </c>
      <c r="H108" s="253">
        <v>2017</v>
      </c>
      <c r="I108" s="253"/>
      <c r="J108" s="253">
        <v>2019</v>
      </c>
      <c r="K108" s="253"/>
      <c r="L108" s="253"/>
      <c r="M108" s="271" t="s">
        <v>625</v>
      </c>
      <c r="N108" s="337">
        <v>5286</v>
      </c>
      <c r="O108" s="337"/>
      <c r="P108" s="337">
        <v>5286</v>
      </c>
      <c r="Q108" s="337">
        <v>1400</v>
      </c>
      <c r="R108" s="337"/>
      <c r="S108" s="337">
        <v>1400</v>
      </c>
      <c r="T108" s="337">
        <v>4757</v>
      </c>
      <c r="U108" s="337">
        <v>3357</v>
      </c>
      <c r="V108" s="245">
        <v>1678</v>
      </c>
      <c r="W108" s="245">
        <v>1678.5</v>
      </c>
      <c r="X108" s="245">
        <v>50</v>
      </c>
      <c r="Y108" s="341"/>
      <c r="Z108" s="245">
        <f t="shared" si="58"/>
        <v>1678</v>
      </c>
      <c r="AA108" s="244">
        <f t="shared" si="38"/>
        <v>3078</v>
      </c>
      <c r="AB108" s="244">
        <f t="shared" si="39"/>
        <v>1678</v>
      </c>
      <c r="AC108" s="244">
        <f t="shared" si="40"/>
        <v>3078</v>
      </c>
      <c r="AD108" s="244">
        <f t="shared" si="41"/>
        <v>4757</v>
      </c>
      <c r="AE108" s="244">
        <f t="shared" si="42"/>
        <v>1679</v>
      </c>
      <c r="AF108" s="245">
        <v>1679</v>
      </c>
      <c r="AG108" s="245">
        <f t="shared" si="50"/>
        <v>100</v>
      </c>
      <c r="AH108" s="245"/>
      <c r="AI108" s="245">
        <f t="shared" si="43"/>
        <v>1679</v>
      </c>
      <c r="AJ108" s="245">
        <f t="shared" si="55"/>
        <v>4757</v>
      </c>
      <c r="AK108" s="245">
        <f t="shared" si="56"/>
        <v>4757</v>
      </c>
      <c r="AL108" s="245">
        <f t="shared" si="57"/>
        <v>4757</v>
      </c>
      <c r="AM108" s="245">
        <f t="shared" si="46"/>
        <v>0</v>
      </c>
      <c r="AN108" s="342"/>
      <c r="AQ108" s="215" t="s">
        <v>626</v>
      </c>
      <c r="AR108" s="215"/>
      <c r="AS108" s="216"/>
      <c r="AT108" s="207" t="s">
        <v>307</v>
      </c>
      <c r="AU108" s="359" t="s">
        <v>627</v>
      </c>
      <c r="AY108" s="216"/>
      <c r="AZ108" s="216"/>
      <c r="BA108" s="216"/>
    </row>
    <row r="109" spans="1:53" ht="30" customHeight="1">
      <c r="A109" s="248">
        <v>75</v>
      </c>
      <c r="B109" s="338" t="s">
        <v>628</v>
      </c>
      <c r="C109" s="338"/>
      <c r="D109" s="338"/>
      <c r="E109" s="337" t="s">
        <v>372</v>
      </c>
      <c r="F109" s="251" t="s">
        <v>326</v>
      </c>
      <c r="G109" s="338" t="s">
        <v>341</v>
      </c>
      <c r="H109" s="253">
        <v>2017</v>
      </c>
      <c r="I109" s="253"/>
      <c r="J109" s="253">
        <v>2019</v>
      </c>
      <c r="K109" s="253"/>
      <c r="L109" s="253"/>
      <c r="M109" s="344" t="s">
        <v>629</v>
      </c>
      <c r="N109" s="337">
        <v>4000</v>
      </c>
      <c r="O109" s="337"/>
      <c r="P109" s="337">
        <v>4000</v>
      </c>
      <c r="Q109" s="337">
        <v>1000</v>
      </c>
      <c r="R109" s="337"/>
      <c r="S109" s="337">
        <v>1000</v>
      </c>
      <c r="T109" s="337">
        <v>3600</v>
      </c>
      <c r="U109" s="337">
        <v>2600</v>
      </c>
      <c r="V109" s="245">
        <v>1300</v>
      </c>
      <c r="W109" s="245">
        <v>1300</v>
      </c>
      <c r="X109" s="245">
        <v>50</v>
      </c>
      <c r="Y109" s="341"/>
      <c r="Z109" s="245">
        <f t="shared" si="58"/>
        <v>1300</v>
      </c>
      <c r="AA109" s="244">
        <f t="shared" si="38"/>
        <v>2300</v>
      </c>
      <c r="AB109" s="244">
        <f t="shared" si="39"/>
        <v>1300</v>
      </c>
      <c r="AC109" s="244">
        <f t="shared" si="40"/>
        <v>2300</v>
      </c>
      <c r="AD109" s="244">
        <f t="shared" si="41"/>
        <v>3600</v>
      </c>
      <c r="AE109" s="244">
        <f t="shared" si="42"/>
        <v>1300</v>
      </c>
      <c r="AF109" s="245">
        <v>1300</v>
      </c>
      <c r="AG109" s="245">
        <f t="shared" si="50"/>
        <v>100</v>
      </c>
      <c r="AH109" s="245"/>
      <c r="AI109" s="245">
        <f t="shared" si="43"/>
        <v>1300</v>
      </c>
      <c r="AJ109" s="245">
        <f t="shared" si="55"/>
        <v>3600</v>
      </c>
      <c r="AK109" s="245">
        <f t="shared" si="56"/>
        <v>3600</v>
      </c>
      <c r="AL109" s="245">
        <f t="shared" si="57"/>
        <v>3600</v>
      </c>
      <c r="AM109" s="245">
        <f t="shared" si="46"/>
        <v>0</v>
      </c>
      <c r="AN109" s="342"/>
      <c r="AQ109" s="215" t="s">
        <v>630</v>
      </c>
      <c r="AR109" s="215"/>
      <c r="AS109" s="216" t="s">
        <v>572</v>
      </c>
      <c r="AT109" s="207" t="s">
        <v>307</v>
      </c>
      <c r="AU109" s="359" t="s">
        <v>631</v>
      </c>
      <c r="AY109" s="216"/>
      <c r="AZ109" s="216"/>
      <c r="BA109" s="216"/>
    </row>
    <row r="110" spans="1:53" ht="30" customHeight="1">
      <c r="A110" s="248">
        <v>76</v>
      </c>
      <c r="B110" s="338" t="s">
        <v>632</v>
      </c>
      <c r="C110" s="338"/>
      <c r="D110" s="338"/>
      <c r="E110" s="337" t="s">
        <v>372</v>
      </c>
      <c r="F110" s="251" t="s">
        <v>326</v>
      </c>
      <c r="G110" s="338" t="s">
        <v>341</v>
      </c>
      <c r="H110" s="253">
        <v>2017</v>
      </c>
      <c r="I110" s="253"/>
      <c r="J110" s="253">
        <v>2019</v>
      </c>
      <c r="K110" s="253"/>
      <c r="L110" s="253"/>
      <c r="M110" s="344" t="s">
        <v>633</v>
      </c>
      <c r="N110" s="337">
        <v>3500</v>
      </c>
      <c r="O110" s="337"/>
      <c r="P110" s="337">
        <v>3500</v>
      </c>
      <c r="Q110" s="337">
        <v>800</v>
      </c>
      <c r="R110" s="337"/>
      <c r="S110" s="337">
        <v>800</v>
      </c>
      <c r="T110" s="337">
        <v>3150</v>
      </c>
      <c r="U110" s="337">
        <v>2350</v>
      </c>
      <c r="V110" s="245">
        <v>1175</v>
      </c>
      <c r="W110" s="245">
        <v>1175</v>
      </c>
      <c r="X110" s="245">
        <v>50</v>
      </c>
      <c r="Y110" s="341"/>
      <c r="Z110" s="245">
        <f t="shared" si="58"/>
        <v>1175</v>
      </c>
      <c r="AA110" s="244">
        <f t="shared" si="38"/>
        <v>1975</v>
      </c>
      <c r="AB110" s="244">
        <f t="shared" si="39"/>
        <v>1175</v>
      </c>
      <c r="AC110" s="244">
        <f t="shared" si="40"/>
        <v>1975</v>
      </c>
      <c r="AD110" s="244">
        <f t="shared" si="41"/>
        <v>3150</v>
      </c>
      <c r="AE110" s="244">
        <f t="shared" si="42"/>
        <v>1175</v>
      </c>
      <c r="AF110" s="245">
        <v>1175</v>
      </c>
      <c r="AG110" s="245">
        <f t="shared" si="50"/>
        <v>100</v>
      </c>
      <c r="AH110" s="245"/>
      <c r="AI110" s="245">
        <f t="shared" si="43"/>
        <v>1175</v>
      </c>
      <c r="AJ110" s="245">
        <f t="shared" si="55"/>
        <v>3150</v>
      </c>
      <c r="AK110" s="245">
        <f t="shared" si="56"/>
        <v>3150</v>
      </c>
      <c r="AL110" s="245">
        <f t="shared" si="57"/>
        <v>3150</v>
      </c>
      <c r="AM110" s="245">
        <f t="shared" si="46"/>
        <v>0</v>
      </c>
      <c r="AN110" s="342"/>
      <c r="AQ110" s="215" t="s">
        <v>634</v>
      </c>
      <c r="AR110" s="215"/>
      <c r="AS110" s="216" t="s">
        <v>572</v>
      </c>
      <c r="AT110" s="207" t="s">
        <v>307</v>
      </c>
      <c r="AU110" s="359" t="s">
        <v>635</v>
      </c>
      <c r="AY110" s="216"/>
      <c r="AZ110" s="216"/>
      <c r="BA110" s="216"/>
    </row>
    <row r="111" spans="1:53" ht="30" customHeight="1">
      <c r="A111" s="248">
        <v>77</v>
      </c>
      <c r="B111" s="338" t="s">
        <v>636</v>
      </c>
      <c r="C111" s="338"/>
      <c r="D111" s="338"/>
      <c r="E111" s="337" t="s">
        <v>372</v>
      </c>
      <c r="F111" s="251" t="s">
        <v>326</v>
      </c>
      <c r="G111" s="338" t="s">
        <v>341</v>
      </c>
      <c r="H111" s="253">
        <v>2017</v>
      </c>
      <c r="I111" s="253"/>
      <c r="J111" s="253">
        <v>2019</v>
      </c>
      <c r="K111" s="253"/>
      <c r="L111" s="253"/>
      <c r="M111" s="344" t="s">
        <v>637</v>
      </c>
      <c r="N111" s="337">
        <v>3900</v>
      </c>
      <c r="O111" s="337"/>
      <c r="P111" s="337">
        <v>3900</v>
      </c>
      <c r="Q111" s="337">
        <v>1050</v>
      </c>
      <c r="R111" s="337"/>
      <c r="S111" s="337">
        <v>1050</v>
      </c>
      <c r="T111" s="337">
        <v>3510</v>
      </c>
      <c r="U111" s="337">
        <v>2460</v>
      </c>
      <c r="V111" s="245">
        <v>1230</v>
      </c>
      <c r="W111" s="245">
        <v>1230</v>
      </c>
      <c r="X111" s="245">
        <v>50</v>
      </c>
      <c r="Y111" s="341"/>
      <c r="Z111" s="245">
        <f t="shared" si="58"/>
        <v>1230</v>
      </c>
      <c r="AA111" s="244">
        <f t="shared" si="38"/>
        <v>2280</v>
      </c>
      <c r="AB111" s="244">
        <f t="shared" si="39"/>
        <v>1230</v>
      </c>
      <c r="AC111" s="244">
        <f t="shared" si="40"/>
        <v>2280</v>
      </c>
      <c r="AD111" s="244">
        <f t="shared" si="41"/>
        <v>3510</v>
      </c>
      <c r="AE111" s="244">
        <f t="shared" si="42"/>
        <v>1230</v>
      </c>
      <c r="AF111" s="245">
        <v>1230</v>
      </c>
      <c r="AG111" s="245">
        <f t="shared" si="50"/>
        <v>100</v>
      </c>
      <c r="AH111" s="245"/>
      <c r="AI111" s="245">
        <f t="shared" si="43"/>
        <v>1230</v>
      </c>
      <c r="AJ111" s="245">
        <f t="shared" si="55"/>
        <v>3510</v>
      </c>
      <c r="AK111" s="245">
        <f t="shared" si="56"/>
        <v>3510</v>
      </c>
      <c r="AL111" s="245">
        <f t="shared" si="57"/>
        <v>3510</v>
      </c>
      <c r="AM111" s="245">
        <f t="shared" si="46"/>
        <v>0</v>
      </c>
      <c r="AN111" s="342"/>
      <c r="AQ111" s="215" t="s">
        <v>638</v>
      </c>
      <c r="AR111" s="215"/>
      <c r="AS111" s="216"/>
      <c r="AT111" s="207" t="s">
        <v>307</v>
      </c>
      <c r="AU111" s="359" t="s">
        <v>631</v>
      </c>
      <c r="AY111" s="216"/>
      <c r="AZ111" s="216"/>
      <c r="BA111" s="216"/>
    </row>
    <row r="112" spans="1:53" ht="30" customHeight="1">
      <c r="A112" s="248">
        <v>78</v>
      </c>
      <c r="B112" s="338" t="s">
        <v>639</v>
      </c>
      <c r="C112" s="338"/>
      <c r="D112" s="338"/>
      <c r="E112" s="337" t="s">
        <v>372</v>
      </c>
      <c r="F112" s="251" t="s">
        <v>326</v>
      </c>
      <c r="G112" s="338" t="s">
        <v>341</v>
      </c>
      <c r="H112" s="253">
        <v>2017</v>
      </c>
      <c r="I112" s="253"/>
      <c r="J112" s="253">
        <v>2019</v>
      </c>
      <c r="K112" s="253"/>
      <c r="L112" s="253"/>
      <c r="M112" s="271" t="s">
        <v>640</v>
      </c>
      <c r="N112" s="337">
        <v>3450</v>
      </c>
      <c r="O112" s="337"/>
      <c r="P112" s="337">
        <v>3450</v>
      </c>
      <c r="Q112" s="337">
        <v>950</v>
      </c>
      <c r="R112" s="337"/>
      <c r="S112" s="337">
        <v>950</v>
      </c>
      <c r="T112" s="337">
        <v>3105</v>
      </c>
      <c r="U112" s="337">
        <v>2155</v>
      </c>
      <c r="V112" s="245">
        <v>1078</v>
      </c>
      <c r="W112" s="245">
        <v>760</v>
      </c>
      <c r="X112" s="245">
        <v>100</v>
      </c>
      <c r="Y112" s="341"/>
      <c r="Z112" s="245">
        <f t="shared" si="58"/>
        <v>1078</v>
      </c>
      <c r="AA112" s="244">
        <f t="shared" si="38"/>
        <v>2028</v>
      </c>
      <c r="AB112" s="244">
        <f t="shared" si="39"/>
        <v>1078</v>
      </c>
      <c r="AC112" s="244">
        <f t="shared" si="40"/>
        <v>2028</v>
      </c>
      <c r="AD112" s="244">
        <f t="shared" si="41"/>
        <v>3105</v>
      </c>
      <c r="AE112" s="244">
        <f t="shared" si="42"/>
        <v>1077</v>
      </c>
      <c r="AF112" s="245">
        <v>1077</v>
      </c>
      <c r="AG112" s="245">
        <f t="shared" si="50"/>
        <v>100</v>
      </c>
      <c r="AH112" s="245"/>
      <c r="AI112" s="245">
        <f t="shared" si="43"/>
        <v>1077</v>
      </c>
      <c r="AJ112" s="245">
        <f t="shared" si="55"/>
        <v>3105</v>
      </c>
      <c r="AK112" s="245">
        <f t="shared" si="56"/>
        <v>3105</v>
      </c>
      <c r="AL112" s="245">
        <f t="shared" si="57"/>
        <v>3105</v>
      </c>
      <c r="AM112" s="245">
        <f t="shared" si="46"/>
        <v>0</v>
      </c>
      <c r="AN112" s="342"/>
      <c r="AQ112" s="215" t="s">
        <v>533</v>
      </c>
      <c r="AR112" s="215"/>
      <c r="AS112" s="216"/>
      <c r="AU112" s="359" t="s">
        <v>641</v>
      </c>
      <c r="AY112" s="216"/>
      <c r="AZ112" s="216"/>
      <c r="BA112" s="216"/>
    </row>
    <row r="113" spans="1:53" ht="30" customHeight="1">
      <c r="A113" s="248">
        <v>79</v>
      </c>
      <c r="B113" s="338" t="s">
        <v>642</v>
      </c>
      <c r="C113" s="338"/>
      <c r="D113" s="338"/>
      <c r="E113" s="337" t="s">
        <v>372</v>
      </c>
      <c r="F113" s="251" t="s">
        <v>326</v>
      </c>
      <c r="G113" s="249" t="s">
        <v>395</v>
      </c>
      <c r="H113" s="253">
        <v>2017</v>
      </c>
      <c r="I113" s="253"/>
      <c r="J113" s="253">
        <v>2019</v>
      </c>
      <c r="K113" s="253"/>
      <c r="L113" s="253"/>
      <c r="M113" s="271" t="s">
        <v>643</v>
      </c>
      <c r="N113" s="337">
        <v>4795</v>
      </c>
      <c r="O113" s="337"/>
      <c r="P113" s="337">
        <v>4795</v>
      </c>
      <c r="Q113" s="337">
        <v>1250</v>
      </c>
      <c r="R113" s="337"/>
      <c r="S113" s="337">
        <v>1250</v>
      </c>
      <c r="T113" s="337">
        <v>4316</v>
      </c>
      <c r="U113" s="337">
        <v>3066</v>
      </c>
      <c r="V113" s="245">
        <v>1533</v>
      </c>
      <c r="W113" s="245">
        <v>1533</v>
      </c>
      <c r="X113" s="245">
        <v>50</v>
      </c>
      <c r="Y113" s="341"/>
      <c r="Z113" s="245">
        <f t="shared" si="58"/>
        <v>1533</v>
      </c>
      <c r="AA113" s="244">
        <f t="shared" si="38"/>
        <v>2783</v>
      </c>
      <c r="AB113" s="244">
        <f t="shared" si="39"/>
        <v>1533</v>
      </c>
      <c r="AC113" s="244">
        <f t="shared" si="40"/>
        <v>2783</v>
      </c>
      <c r="AD113" s="244">
        <f t="shared" si="41"/>
        <v>4316</v>
      </c>
      <c r="AE113" s="244">
        <f t="shared" si="42"/>
        <v>1533</v>
      </c>
      <c r="AF113" s="245">
        <v>1533</v>
      </c>
      <c r="AG113" s="245">
        <f t="shared" si="50"/>
        <v>100</v>
      </c>
      <c r="AH113" s="245">
        <f>-881</f>
        <v>-881</v>
      </c>
      <c r="AI113" s="245">
        <f>AF113+AH113</f>
        <v>652</v>
      </c>
      <c r="AJ113" s="245">
        <f t="shared" si="55"/>
        <v>3435</v>
      </c>
      <c r="AK113" s="245">
        <f t="shared" si="56"/>
        <v>3435</v>
      </c>
      <c r="AL113" s="245">
        <f t="shared" si="57"/>
        <v>4316</v>
      </c>
      <c r="AM113" s="245">
        <f>AE113-AF113</f>
        <v>0</v>
      </c>
      <c r="AN113" s="342"/>
      <c r="AQ113" s="215" t="s">
        <v>644</v>
      </c>
      <c r="AR113" s="215"/>
      <c r="AS113" s="216"/>
      <c r="AT113" s="207" t="s">
        <v>307</v>
      </c>
      <c r="AU113" s="359" t="s">
        <v>645</v>
      </c>
      <c r="AY113" s="216"/>
      <c r="AZ113" s="216"/>
      <c r="BA113" s="216"/>
    </row>
    <row r="114" spans="1:53" ht="30" customHeight="1">
      <c r="A114" s="248">
        <v>80</v>
      </c>
      <c r="B114" s="338" t="s">
        <v>646</v>
      </c>
      <c r="C114" s="338"/>
      <c r="D114" s="338"/>
      <c r="E114" s="337" t="s">
        <v>372</v>
      </c>
      <c r="F114" s="251" t="s">
        <v>326</v>
      </c>
      <c r="G114" s="249" t="s">
        <v>395</v>
      </c>
      <c r="H114" s="253">
        <v>2017</v>
      </c>
      <c r="I114" s="253"/>
      <c r="J114" s="253">
        <v>2019</v>
      </c>
      <c r="K114" s="253"/>
      <c r="L114" s="253"/>
      <c r="M114" s="271" t="s">
        <v>647</v>
      </c>
      <c r="N114" s="337">
        <v>3946</v>
      </c>
      <c r="O114" s="337"/>
      <c r="P114" s="337">
        <v>3946</v>
      </c>
      <c r="Q114" s="337">
        <v>1000</v>
      </c>
      <c r="R114" s="337"/>
      <c r="S114" s="337">
        <v>1000</v>
      </c>
      <c r="T114" s="337">
        <v>3551</v>
      </c>
      <c r="U114" s="337">
        <v>2551</v>
      </c>
      <c r="V114" s="245">
        <v>1275</v>
      </c>
      <c r="W114" s="245">
        <v>1275.5</v>
      </c>
      <c r="X114" s="245">
        <v>50</v>
      </c>
      <c r="Y114" s="341"/>
      <c r="Z114" s="245">
        <f t="shared" si="58"/>
        <v>1275</v>
      </c>
      <c r="AA114" s="244">
        <f t="shared" si="38"/>
        <v>2275</v>
      </c>
      <c r="AB114" s="244">
        <f t="shared" si="39"/>
        <v>1275</v>
      </c>
      <c r="AC114" s="244">
        <f t="shared" si="40"/>
        <v>2275</v>
      </c>
      <c r="AD114" s="244">
        <f t="shared" si="41"/>
        <v>3551</v>
      </c>
      <c r="AE114" s="244">
        <f t="shared" si="42"/>
        <v>1276</v>
      </c>
      <c r="AF114" s="245">
        <v>1276</v>
      </c>
      <c r="AG114" s="245">
        <f t="shared" si="50"/>
        <v>100</v>
      </c>
      <c r="AH114" s="245"/>
      <c r="AI114" s="245">
        <f t="shared" si="43"/>
        <v>1276</v>
      </c>
      <c r="AJ114" s="245">
        <f t="shared" si="55"/>
        <v>3551</v>
      </c>
      <c r="AK114" s="245">
        <f t="shared" si="56"/>
        <v>3551</v>
      </c>
      <c r="AL114" s="245">
        <f t="shared" si="57"/>
        <v>3551</v>
      </c>
      <c r="AM114" s="245">
        <f t="shared" si="46"/>
        <v>0</v>
      </c>
      <c r="AN114" s="342"/>
      <c r="AQ114" s="215" t="s">
        <v>648</v>
      </c>
      <c r="AR114" s="215"/>
      <c r="AS114" s="216"/>
      <c r="AT114" s="207" t="s">
        <v>307</v>
      </c>
      <c r="AU114" s="359" t="s">
        <v>649</v>
      </c>
      <c r="AY114" s="216"/>
      <c r="AZ114" s="216"/>
      <c r="BA114" s="216"/>
    </row>
    <row r="115" spans="1:53" ht="30" customHeight="1">
      <c r="A115" s="248">
        <v>81</v>
      </c>
      <c r="B115" s="338" t="s">
        <v>650</v>
      </c>
      <c r="C115" s="338"/>
      <c r="D115" s="338"/>
      <c r="E115" s="337" t="s">
        <v>372</v>
      </c>
      <c r="F115" s="251" t="s">
        <v>326</v>
      </c>
      <c r="G115" s="249" t="s">
        <v>395</v>
      </c>
      <c r="H115" s="253">
        <v>2017</v>
      </c>
      <c r="I115" s="253"/>
      <c r="J115" s="253">
        <v>2019</v>
      </c>
      <c r="K115" s="253"/>
      <c r="L115" s="253"/>
      <c r="M115" s="271" t="s">
        <v>651</v>
      </c>
      <c r="N115" s="337">
        <v>3045</v>
      </c>
      <c r="O115" s="337"/>
      <c r="P115" s="337">
        <v>3045</v>
      </c>
      <c r="Q115" s="337">
        <v>850</v>
      </c>
      <c r="R115" s="337"/>
      <c r="S115" s="337">
        <v>850</v>
      </c>
      <c r="T115" s="337">
        <v>2741</v>
      </c>
      <c r="U115" s="337">
        <v>1891</v>
      </c>
      <c r="V115" s="245">
        <v>946</v>
      </c>
      <c r="W115" s="245">
        <v>945.5</v>
      </c>
      <c r="X115" s="245">
        <v>50</v>
      </c>
      <c r="Y115" s="341"/>
      <c r="Z115" s="245">
        <f t="shared" si="58"/>
        <v>946</v>
      </c>
      <c r="AA115" s="244">
        <f t="shared" si="38"/>
        <v>1796</v>
      </c>
      <c r="AB115" s="244">
        <f t="shared" si="39"/>
        <v>946</v>
      </c>
      <c r="AC115" s="244">
        <f t="shared" si="40"/>
        <v>1796</v>
      </c>
      <c r="AD115" s="244">
        <f t="shared" si="41"/>
        <v>2741</v>
      </c>
      <c r="AE115" s="244">
        <f t="shared" si="42"/>
        <v>945</v>
      </c>
      <c r="AF115" s="245">
        <v>945</v>
      </c>
      <c r="AG115" s="245">
        <f t="shared" si="50"/>
        <v>100</v>
      </c>
      <c r="AH115" s="245"/>
      <c r="AI115" s="245">
        <f t="shared" si="43"/>
        <v>945</v>
      </c>
      <c r="AJ115" s="245">
        <f t="shared" si="55"/>
        <v>2741</v>
      </c>
      <c r="AK115" s="245">
        <f t="shared" si="56"/>
        <v>2741</v>
      </c>
      <c r="AL115" s="245">
        <f t="shared" si="57"/>
        <v>2741</v>
      </c>
      <c r="AM115" s="245">
        <f t="shared" si="46"/>
        <v>0</v>
      </c>
      <c r="AN115" s="342"/>
      <c r="AQ115" s="215" t="s">
        <v>652</v>
      </c>
      <c r="AR115" s="215"/>
      <c r="AS115" s="216"/>
      <c r="AT115" s="207" t="s">
        <v>307</v>
      </c>
      <c r="AU115" s="359" t="s">
        <v>653</v>
      </c>
      <c r="AY115" s="216"/>
      <c r="AZ115" s="216"/>
      <c r="BA115" s="216"/>
    </row>
    <row r="116" spans="1:53" ht="30" customHeight="1">
      <c r="A116" s="248">
        <v>82</v>
      </c>
      <c r="B116" s="338" t="s">
        <v>654</v>
      </c>
      <c r="C116" s="338"/>
      <c r="D116" s="338"/>
      <c r="E116" s="337" t="s">
        <v>372</v>
      </c>
      <c r="F116" s="251" t="s">
        <v>326</v>
      </c>
      <c r="G116" s="249" t="s">
        <v>395</v>
      </c>
      <c r="H116" s="253">
        <v>2017</v>
      </c>
      <c r="I116" s="253"/>
      <c r="J116" s="253">
        <v>2019</v>
      </c>
      <c r="K116" s="253"/>
      <c r="L116" s="253"/>
      <c r="M116" s="344" t="s">
        <v>655</v>
      </c>
      <c r="N116" s="337">
        <v>3852</v>
      </c>
      <c r="O116" s="337"/>
      <c r="P116" s="337">
        <v>3852</v>
      </c>
      <c r="Q116" s="337">
        <v>1000</v>
      </c>
      <c r="R116" s="337"/>
      <c r="S116" s="337">
        <v>1000</v>
      </c>
      <c r="T116" s="337">
        <v>3467</v>
      </c>
      <c r="U116" s="337">
        <v>2467</v>
      </c>
      <c r="V116" s="245">
        <v>1233</v>
      </c>
      <c r="W116" s="245">
        <v>1233.5</v>
      </c>
      <c r="X116" s="245">
        <v>50</v>
      </c>
      <c r="Y116" s="341"/>
      <c r="Z116" s="245">
        <f t="shared" si="58"/>
        <v>1233</v>
      </c>
      <c r="AA116" s="244">
        <f t="shared" si="38"/>
        <v>2233</v>
      </c>
      <c r="AB116" s="244">
        <f t="shared" si="39"/>
        <v>1233</v>
      </c>
      <c r="AC116" s="244">
        <f t="shared" si="40"/>
        <v>2233</v>
      </c>
      <c r="AD116" s="244">
        <f t="shared" si="41"/>
        <v>3467</v>
      </c>
      <c r="AE116" s="244">
        <f t="shared" si="42"/>
        <v>1234</v>
      </c>
      <c r="AF116" s="245">
        <v>1234</v>
      </c>
      <c r="AG116" s="245">
        <f t="shared" si="50"/>
        <v>100</v>
      </c>
      <c r="AH116" s="245"/>
      <c r="AI116" s="245">
        <f t="shared" si="43"/>
        <v>1234</v>
      </c>
      <c r="AJ116" s="245">
        <f t="shared" si="55"/>
        <v>3467</v>
      </c>
      <c r="AK116" s="245">
        <f t="shared" si="56"/>
        <v>3467</v>
      </c>
      <c r="AL116" s="245">
        <f t="shared" si="57"/>
        <v>3467</v>
      </c>
      <c r="AM116" s="245">
        <f t="shared" si="46"/>
        <v>0</v>
      </c>
      <c r="AN116" s="342"/>
      <c r="AQ116" s="215" t="s">
        <v>656</v>
      </c>
      <c r="AR116" s="215"/>
      <c r="AS116" s="216"/>
      <c r="AT116" s="207" t="s">
        <v>307</v>
      </c>
      <c r="AU116" s="359" t="s">
        <v>657</v>
      </c>
      <c r="AY116" s="216"/>
      <c r="AZ116" s="216"/>
      <c r="BA116" s="216"/>
    </row>
    <row r="117" spans="1:53" ht="30" customHeight="1">
      <c r="A117" s="248">
        <v>83</v>
      </c>
      <c r="B117" s="338" t="s">
        <v>658</v>
      </c>
      <c r="C117" s="338"/>
      <c r="D117" s="338"/>
      <c r="E117" s="337" t="s">
        <v>372</v>
      </c>
      <c r="F117" s="251" t="s">
        <v>326</v>
      </c>
      <c r="G117" s="249" t="s">
        <v>395</v>
      </c>
      <c r="H117" s="253">
        <v>2017</v>
      </c>
      <c r="I117" s="253"/>
      <c r="J117" s="253">
        <v>2019</v>
      </c>
      <c r="K117" s="253"/>
      <c r="L117" s="253"/>
      <c r="M117" s="271" t="s">
        <v>659</v>
      </c>
      <c r="N117" s="337">
        <v>4000</v>
      </c>
      <c r="O117" s="337"/>
      <c r="P117" s="337">
        <v>4000</v>
      </c>
      <c r="Q117" s="337">
        <v>1050</v>
      </c>
      <c r="R117" s="337"/>
      <c r="S117" s="337">
        <v>1050</v>
      </c>
      <c r="T117" s="337">
        <v>3600</v>
      </c>
      <c r="U117" s="337">
        <v>2550</v>
      </c>
      <c r="V117" s="245">
        <v>1275</v>
      </c>
      <c r="W117" s="245">
        <v>1275</v>
      </c>
      <c r="X117" s="245">
        <v>50</v>
      </c>
      <c r="Y117" s="341"/>
      <c r="Z117" s="245">
        <f t="shared" si="58"/>
        <v>1275</v>
      </c>
      <c r="AA117" s="244">
        <f t="shared" si="38"/>
        <v>2325</v>
      </c>
      <c r="AB117" s="244">
        <f t="shared" si="39"/>
        <v>1275</v>
      </c>
      <c r="AC117" s="244">
        <f t="shared" si="40"/>
        <v>2325</v>
      </c>
      <c r="AD117" s="244">
        <f t="shared" si="41"/>
        <v>3600</v>
      </c>
      <c r="AE117" s="244">
        <f t="shared" si="42"/>
        <v>1275</v>
      </c>
      <c r="AF117" s="245">
        <v>1275</v>
      </c>
      <c r="AG117" s="245">
        <f t="shared" si="50"/>
        <v>100</v>
      </c>
      <c r="AH117" s="245">
        <f>-959</f>
        <v>-959</v>
      </c>
      <c r="AI117" s="245">
        <f t="shared" si="43"/>
        <v>316</v>
      </c>
      <c r="AJ117" s="245">
        <f t="shared" si="55"/>
        <v>2641</v>
      </c>
      <c r="AK117" s="245">
        <f t="shared" si="56"/>
        <v>2641</v>
      </c>
      <c r="AL117" s="245">
        <f t="shared" si="57"/>
        <v>3600</v>
      </c>
      <c r="AM117" s="245">
        <f>AE117-AF117</f>
        <v>0</v>
      </c>
      <c r="AN117" s="342"/>
      <c r="AQ117" s="215" t="s">
        <v>660</v>
      </c>
      <c r="AR117" s="215"/>
      <c r="AS117" s="216"/>
      <c r="AU117" s="359" t="s">
        <v>661</v>
      </c>
      <c r="AY117" s="216"/>
      <c r="AZ117" s="216"/>
      <c r="BA117" s="216"/>
    </row>
    <row r="118" spans="1:53" ht="38.25">
      <c r="A118" s="248">
        <v>84</v>
      </c>
      <c r="B118" s="338" t="s">
        <v>662</v>
      </c>
      <c r="C118" s="338"/>
      <c r="D118" s="338"/>
      <c r="E118" s="337" t="s">
        <v>372</v>
      </c>
      <c r="F118" s="251" t="s">
        <v>326</v>
      </c>
      <c r="G118" s="343" t="s">
        <v>333</v>
      </c>
      <c r="H118" s="253">
        <v>2017</v>
      </c>
      <c r="I118" s="253"/>
      <c r="J118" s="253">
        <v>2019</v>
      </c>
      <c r="K118" s="253"/>
      <c r="L118" s="253"/>
      <c r="M118" s="344" t="s">
        <v>663</v>
      </c>
      <c r="N118" s="337">
        <v>11424</v>
      </c>
      <c r="O118" s="337"/>
      <c r="P118" s="337">
        <v>11424</v>
      </c>
      <c r="Q118" s="337">
        <v>3000</v>
      </c>
      <c r="R118" s="337"/>
      <c r="S118" s="337">
        <v>3000</v>
      </c>
      <c r="T118" s="337">
        <v>10282</v>
      </c>
      <c r="U118" s="337">
        <v>7282</v>
      </c>
      <c r="V118" s="245">
        <v>3641</v>
      </c>
      <c r="W118" s="245">
        <v>3641</v>
      </c>
      <c r="X118" s="245">
        <v>50</v>
      </c>
      <c r="Y118" s="341"/>
      <c r="Z118" s="245">
        <f t="shared" si="58"/>
        <v>3641</v>
      </c>
      <c r="AA118" s="244">
        <f t="shared" si="38"/>
        <v>6641</v>
      </c>
      <c r="AB118" s="244">
        <f t="shared" si="39"/>
        <v>3641</v>
      </c>
      <c r="AC118" s="244">
        <f t="shared" si="40"/>
        <v>6641</v>
      </c>
      <c r="AD118" s="244">
        <f t="shared" si="41"/>
        <v>10282</v>
      </c>
      <c r="AE118" s="244">
        <f t="shared" si="42"/>
        <v>3641</v>
      </c>
      <c r="AF118" s="245">
        <v>3641</v>
      </c>
      <c r="AG118" s="245">
        <f t="shared" si="50"/>
        <v>100</v>
      </c>
      <c r="AH118" s="245"/>
      <c r="AI118" s="245">
        <f t="shared" si="43"/>
        <v>3641</v>
      </c>
      <c r="AJ118" s="245">
        <f t="shared" si="55"/>
        <v>10282</v>
      </c>
      <c r="AK118" s="245">
        <f t="shared" si="56"/>
        <v>10282</v>
      </c>
      <c r="AL118" s="245">
        <f t="shared" si="57"/>
        <v>10282</v>
      </c>
      <c r="AM118" s="245">
        <f t="shared" si="46"/>
        <v>0</v>
      </c>
      <c r="AN118" s="342"/>
      <c r="AQ118" s="215" t="s">
        <v>664</v>
      </c>
      <c r="AR118" s="215"/>
      <c r="AS118" s="216"/>
      <c r="AU118" s="359" t="s">
        <v>665</v>
      </c>
      <c r="AY118" s="216"/>
      <c r="AZ118" s="216"/>
      <c r="BA118" s="216"/>
    </row>
    <row r="119" spans="1:53" ht="30" customHeight="1">
      <c r="A119" s="326" t="s">
        <v>181</v>
      </c>
      <c r="B119" s="354" t="s">
        <v>666</v>
      </c>
      <c r="C119" s="354"/>
      <c r="D119" s="354"/>
      <c r="E119" s="330"/>
      <c r="F119" s="355"/>
      <c r="G119" s="211"/>
      <c r="H119" s="332"/>
      <c r="I119" s="332"/>
      <c r="J119" s="332"/>
      <c r="K119" s="332"/>
      <c r="L119" s="332"/>
      <c r="M119" s="356"/>
      <c r="N119" s="213">
        <f>SUBTOTAL(109,N120:N154)</f>
        <v>162523</v>
      </c>
      <c r="O119" s="213">
        <f t="shared" ref="O119:Y119" si="59">SUBTOTAL(109,O120:O154)</f>
        <v>0</v>
      </c>
      <c r="P119" s="213">
        <f t="shared" si="59"/>
        <v>140281</v>
      </c>
      <c r="Q119" s="213">
        <f t="shared" si="59"/>
        <v>1070</v>
      </c>
      <c r="R119" s="213">
        <f t="shared" si="59"/>
        <v>0</v>
      </c>
      <c r="S119" s="213">
        <f t="shared" si="59"/>
        <v>1070</v>
      </c>
      <c r="T119" s="213">
        <f t="shared" si="59"/>
        <v>126451</v>
      </c>
      <c r="U119" s="213">
        <f t="shared" si="59"/>
        <v>125381</v>
      </c>
      <c r="V119" s="213">
        <f t="shared" si="59"/>
        <v>39847.800000000003</v>
      </c>
      <c r="W119" s="213">
        <v>39847.800000000003</v>
      </c>
      <c r="X119" s="213"/>
      <c r="Y119" s="213">
        <f t="shared" si="59"/>
        <v>1500</v>
      </c>
      <c r="Z119" s="245">
        <f t="shared" si="58"/>
        <v>41347.800000000003</v>
      </c>
      <c r="AA119" s="213">
        <f t="shared" ref="AA119:AE119" si="60">SUBTOTAL(109,AA120:AA154)</f>
        <v>42417.8</v>
      </c>
      <c r="AB119" s="213">
        <f t="shared" si="60"/>
        <v>41347.800000000003</v>
      </c>
      <c r="AC119" s="213">
        <f t="shared" si="60"/>
        <v>42417.8</v>
      </c>
      <c r="AD119" s="213">
        <f t="shared" si="60"/>
        <v>126451</v>
      </c>
      <c r="AE119" s="213">
        <f t="shared" si="60"/>
        <v>84033.2</v>
      </c>
      <c r="AF119" s="214"/>
      <c r="AG119" s="245"/>
      <c r="AH119" s="245"/>
      <c r="AI119" s="245"/>
      <c r="AJ119" s="245"/>
      <c r="AK119" s="245"/>
      <c r="AL119" s="245"/>
      <c r="AM119" s="245"/>
      <c r="AN119" s="363" t="s">
        <v>667</v>
      </c>
      <c r="AQ119" s="215"/>
      <c r="AR119" s="215"/>
      <c r="AS119" s="216"/>
      <c r="AY119" s="216"/>
      <c r="AZ119" s="216"/>
      <c r="BA119" s="216"/>
    </row>
    <row r="120" spans="1:53" s="224" customFormat="1" ht="30" customHeight="1">
      <c r="A120" s="364">
        <v>1</v>
      </c>
      <c r="B120" s="365" t="s">
        <v>668</v>
      </c>
      <c r="C120" s="365"/>
      <c r="D120" s="365"/>
      <c r="E120" s="352" t="s">
        <v>372</v>
      </c>
      <c r="F120" s="366" t="s">
        <v>326</v>
      </c>
      <c r="G120" s="367" t="s">
        <v>395</v>
      </c>
      <c r="H120" s="368">
        <v>2018</v>
      </c>
      <c r="I120" s="368"/>
      <c r="J120" s="368">
        <v>2020</v>
      </c>
      <c r="K120" s="368"/>
      <c r="L120" s="368"/>
      <c r="M120" s="243" t="s">
        <v>669</v>
      </c>
      <c r="N120" s="352">
        <v>4000</v>
      </c>
      <c r="O120" s="352"/>
      <c r="P120" s="352">
        <v>4000</v>
      </c>
      <c r="Q120" s="352">
        <v>40</v>
      </c>
      <c r="R120" s="352"/>
      <c r="S120" s="352">
        <v>40</v>
      </c>
      <c r="T120" s="352">
        <v>3600</v>
      </c>
      <c r="U120" s="352">
        <f t="shared" ref="U120:U154" si="61">T120-Q120</f>
        <v>3560</v>
      </c>
      <c r="V120" s="245">
        <v>1068</v>
      </c>
      <c r="W120" s="245">
        <v>1068</v>
      </c>
      <c r="X120" s="245">
        <v>30</v>
      </c>
      <c r="Y120" s="369"/>
      <c r="Z120" s="245">
        <f t="shared" si="58"/>
        <v>1068</v>
      </c>
      <c r="AA120" s="244">
        <f t="shared" ref="AA120:AA154" si="62">Q120+$Z120</f>
        <v>1108</v>
      </c>
      <c r="AB120" s="244">
        <f t="shared" ref="AB120:AB154" si="63">R120+$Z120</f>
        <v>1068</v>
      </c>
      <c r="AC120" s="244">
        <f t="shared" ref="AC120:AC154" si="64">S120+$Z120</f>
        <v>1108</v>
      </c>
      <c r="AD120" s="244">
        <f t="shared" ref="AD120:AD154" si="65">T120</f>
        <v>3600</v>
      </c>
      <c r="AE120" s="244">
        <f t="shared" ref="AE120:AE154" si="66">U120-Z120</f>
        <v>2492</v>
      </c>
      <c r="AF120" s="245">
        <v>1246</v>
      </c>
      <c r="AG120" s="245">
        <f t="shared" si="50"/>
        <v>50</v>
      </c>
      <c r="AH120" s="245"/>
      <c r="AI120" s="245">
        <f t="shared" si="43"/>
        <v>1246</v>
      </c>
      <c r="AJ120" s="245">
        <f t="shared" ref="AJ120:AJ122" si="67">AA120+AI120</f>
        <v>2354</v>
      </c>
      <c r="AK120" s="245">
        <f t="shared" ref="AK120:AK122" si="68">AC120+AI120</f>
        <v>2354</v>
      </c>
      <c r="AL120" s="245">
        <f>T120</f>
        <v>3600</v>
      </c>
      <c r="AM120" s="245">
        <f t="shared" si="46"/>
        <v>1246</v>
      </c>
      <c r="AN120" s="363" t="s">
        <v>667</v>
      </c>
      <c r="AQ120" s="225" t="s">
        <v>670</v>
      </c>
      <c r="AR120" s="225"/>
      <c r="AS120" s="226"/>
      <c r="AT120" s="224" t="s">
        <v>307</v>
      </c>
      <c r="AU120" s="359" t="s">
        <v>671</v>
      </c>
      <c r="AY120" s="226"/>
      <c r="AZ120" s="226"/>
      <c r="BA120" s="226"/>
    </row>
    <row r="121" spans="1:53" s="224" customFormat="1" ht="30" customHeight="1">
      <c r="A121" s="364">
        <v>2</v>
      </c>
      <c r="B121" s="367" t="s">
        <v>672</v>
      </c>
      <c r="C121" s="367"/>
      <c r="D121" s="367"/>
      <c r="E121" s="352" t="s">
        <v>372</v>
      </c>
      <c r="F121" s="366" t="s">
        <v>326</v>
      </c>
      <c r="G121" s="370" t="s">
        <v>378</v>
      </c>
      <c r="H121" s="368">
        <v>2018</v>
      </c>
      <c r="I121" s="368"/>
      <c r="J121" s="368">
        <v>2020</v>
      </c>
      <c r="K121" s="368"/>
      <c r="L121" s="371" t="s">
        <v>673</v>
      </c>
      <c r="M121" s="243" t="s">
        <v>674</v>
      </c>
      <c r="N121" s="352">
        <v>4000</v>
      </c>
      <c r="O121" s="352"/>
      <c r="P121" s="352">
        <v>4000</v>
      </c>
      <c r="Q121" s="352">
        <v>40</v>
      </c>
      <c r="R121" s="352"/>
      <c r="S121" s="352">
        <v>40</v>
      </c>
      <c r="T121" s="352">
        <v>3600</v>
      </c>
      <c r="U121" s="352">
        <f t="shared" si="61"/>
        <v>3560</v>
      </c>
      <c r="V121" s="245">
        <v>1068</v>
      </c>
      <c r="W121" s="245">
        <v>1068</v>
      </c>
      <c r="X121" s="245">
        <v>30</v>
      </c>
      <c r="Y121" s="369"/>
      <c r="Z121" s="245">
        <f t="shared" si="58"/>
        <v>1068</v>
      </c>
      <c r="AA121" s="244">
        <f t="shared" si="62"/>
        <v>1108</v>
      </c>
      <c r="AB121" s="244">
        <f t="shared" si="63"/>
        <v>1068</v>
      </c>
      <c r="AC121" s="244">
        <f t="shared" si="64"/>
        <v>1108</v>
      </c>
      <c r="AD121" s="244">
        <f t="shared" si="65"/>
        <v>3600</v>
      </c>
      <c r="AE121" s="244">
        <f t="shared" si="66"/>
        <v>2492</v>
      </c>
      <c r="AF121" s="245">
        <v>1246</v>
      </c>
      <c r="AG121" s="245">
        <f t="shared" si="50"/>
        <v>50</v>
      </c>
      <c r="AH121" s="245"/>
      <c r="AI121" s="245">
        <f t="shared" si="43"/>
        <v>1246</v>
      </c>
      <c r="AJ121" s="245">
        <f t="shared" si="67"/>
        <v>2354</v>
      </c>
      <c r="AK121" s="245">
        <f t="shared" si="68"/>
        <v>2354</v>
      </c>
      <c r="AL121" s="245">
        <f>T121</f>
        <v>3600</v>
      </c>
      <c r="AM121" s="245">
        <f t="shared" si="46"/>
        <v>1246</v>
      </c>
      <c r="AN121" s="363" t="s">
        <v>667</v>
      </c>
      <c r="AQ121" s="225" t="s">
        <v>675</v>
      </c>
      <c r="AR121" s="225"/>
      <c r="AS121" s="226"/>
      <c r="AU121" s="372" t="s">
        <v>676</v>
      </c>
      <c r="AY121" s="226"/>
      <c r="AZ121" s="226"/>
      <c r="BA121" s="226"/>
    </row>
    <row r="122" spans="1:53" s="224" customFormat="1" ht="52.5" customHeight="1">
      <c r="A122" s="364">
        <v>88</v>
      </c>
      <c r="B122" s="367" t="s">
        <v>677</v>
      </c>
      <c r="C122" s="367"/>
      <c r="D122" s="367"/>
      <c r="E122" s="352" t="s">
        <v>372</v>
      </c>
      <c r="F122" s="366" t="s">
        <v>326</v>
      </c>
      <c r="G122" s="370" t="s">
        <v>378</v>
      </c>
      <c r="H122" s="368">
        <v>2018</v>
      </c>
      <c r="I122" s="368"/>
      <c r="J122" s="368">
        <v>2020</v>
      </c>
      <c r="K122" s="368"/>
      <c r="L122" s="371"/>
      <c r="M122" s="243" t="s">
        <v>678</v>
      </c>
      <c r="N122" s="352">
        <v>3996</v>
      </c>
      <c r="O122" s="352"/>
      <c r="P122" s="352">
        <v>3996</v>
      </c>
      <c r="Q122" s="352">
        <v>40</v>
      </c>
      <c r="R122" s="352"/>
      <c r="S122" s="352">
        <v>40</v>
      </c>
      <c r="T122" s="352">
        <v>3596</v>
      </c>
      <c r="U122" s="352">
        <f>T122-Q122</f>
        <v>3556</v>
      </c>
      <c r="V122" s="245">
        <v>1066.8</v>
      </c>
      <c r="W122" s="245">
        <v>1066.8</v>
      </c>
      <c r="X122" s="245">
        <v>30</v>
      </c>
      <c r="Y122" s="369"/>
      <c r="Z122" s="245">
        <f t="shared" si="58"/>
        <v>1066.8</v>
      </c>
      <c r="AA122" s="244">
        <f t="shared" si="62"/>
        <v>1106.8</v>
      </c>
      <c r="AB122" s="244">
        <f t="shared" si="63"/>
        <v>1066.8</v>
      </c>
      <c r="AC122" s="244">
        <f t="shared" si="64"/>
        <v>1106.8</v>
      </c>
      <c r="AD122" s="244">
        <f t="shared" si="65"/>
        <v>3596</v>
      </c>
      <c r="AE122" s="244">
        <f t="shared" si="66"/>
        <v>2489.1999999999998</v>
      </c>
      <c r="AF122" s="245">
        <v>1244.5999999999999</v>
      </c>
      <c r="AG122" s="245">
        <f t="shared" si="50"/>
        <v>50</v>
      </c>
      <c r="AH122" s="245"/>
      <c r="AI122" s="245">
        <f t="shared" si="43"/>
        <v>1244.5999999999999</v>
      </c>
      <c r="AJ122" s="245">
        <f t="shared" si="67"/>
        <v>2351.3999999999996</v>
      </c>
      <c r="AK122" s="245">
        <f t="shared" si="68"/>
        <v>2351.3999999999996</v>
      </c>
      <c r="AL122" s="245">
        <f>T122</f>
        <v>3596</v>
      </c>
      <c r="AM122" s="245">
        <f t="shared" si="46"/>
        <v>1244.5999999999999</v>
      </c>
      <c r="AN122" s="363" t="s">
        <v>667</v>
      </c>
      <c r="AQ122" s="225" t="s">
        <v>675</v>
      </c>
      <c r="AR122" s="225"/>
      <c r="AS122" s="226"/>
      <c r="AU122" s="372" t="s">
        <v>676</v>
      </c>
      <c r="AY122" s="226"/>
      <c r="AZ122" s="226"/>
      <c r="BA122" s="226"/>
    </row>
    <row r="123" spans="1:53" s="224" customFormat="1" ht="30" customHeight="1">
      <c r="A123" s="364">
        <v>89</v>
      </c>
      <c r="B123" s="367" t="s">
        <v>679</v>
      </c>
      <c r="C123" s="367"/>
      <c r="D123" s="367"/>
      <c r="E123" s="352" t="s">
        <v>372</v>
      </c>
      <c r="F123" s="366" t="s">
        <v>326</v>
      </c>
      <c r="G123" s="365" t="s">
        <v>401</v>
      </c>
      <c r="H123" s="368">
        <v>2018</v>
      </c>
      <c r="I123" s="368"/>
      <c r="J123" s="368">
        <v>2020</v>
      </c>
      <c r="K123" s="368"/>
      <c r="L123" s="371" t="s">
        <v>680</v>
      </c>
      <c r="M123" s="243" t="s">
        <v>681</v>
      </c>
      <c r="N123" s="352">
        <v>1650</v>
      </c>
      <c r="O123" s="352"/>
      <c r="P123" s="352">
        <v>1650</v>
      </c>
      <c r="Q123" s="352">
        <v>30</v>
      </c>
      <c r="R123" s="352"/>
      <c r="S123" s="352">
        <v>30</v>
      </c>
      <c r="T123" s="352">
        <v>1485</v>
      </c>
      <c r="U123" s="352">
        <f t="shared" si="61"/>
        <v>1455</v>
      </c>
      <c r="V123" s="245">
        <v>1455</v>
      </c>
      <c r="W123" s="245">
        <v>1455</v>
      </c>
      <c r="X123" s="245">
        <v>100</v>
      </c>
      <c r="Y123" s="369"/>
      <c r="Z123" s="245">
        <f t="shared" si="58"/>
        <v>1455</v>
      </c>
      <c r="AA123" s="244">
        <f t="shared" si="62"/>
        <v>1485</v>
      </c>
      <c r="AB123" s="244">
        <f t="shared" si="63"/>
        <v>1455</v>
      </c>
      <c r="AC123" s="244">
        <f t="shared" si="64"/>
        <v>1485</v>
      </c>
      <c r="AD123" s="244">
        <f t="shared" si="65"/>
        <v>1485</v>
      </c>
      <c r="AE123" s="244">
        <f t="shared" si="66"/>
        <v>0</v>
      </c>
      <c r="AF123" s="369"/>
      <c r="AG123" s="373"/>
      <c r="AH123" s="373"/>
      <c r="AI123" s="373"/>
      <c r="AJ123" s="373"/>
      <c r="AK123" s="373"/>
      <c r="AL123" s="373"/>
      <c r="AM123" s="373"/>
      <c r="AN123" s="363" t="s">
        <v>667</v>
      </c>
      <c r="AQ123" s="225" t="s">
        <v>682</v>
      </c>
      <c r="AR123" s="225"/>
      <c r="AS123" s="226" t="s">
        <v>496</v>
      </c>
      <c r="AT123" s="224" t="s">
        <v>307</v>
      </c>
      <c r="AU123" s="372" t="s">
        <v>683</v>
      </c>
      <c r="AY123" s="226"/>
      <c r="AZ123" s="226"/>
      <c r="BA123" s="226"/>
    </row>
    <row r="124" spans="1:53" s="224" customFormat="1" ht="45.75" customHeight="1">
      <c r="A124" s="364">
        <v>90</v>
      </c>
      <c r="B124" s="365" t="s">
        <v>2545</v>
      </c>
      <c r="C124" s="365"/>
      <c r="D124" s="365"/>
      <c r="E124" s="352" t="s">
        <v>372</v>
      </c>
      <c r="F124" s="366" t="s">
        <v>326</v>
      </c>
      <c r="G124" s="370" t="s">
        <v>378</v>
      </c>
      <c r="H124" s="368">
        <v>2018</v>
      </c>
      <c r="I124" s="368"/>
      <c r="J124" s="368">
        <v>2020</v>
      </c>
      <c r="K124" s="368"/>
      <c r="L124" s="374" t="s">
        <v>684</v>
      </c>
      <c r="M124" s="243" t="s">
        <v>685</v>
      </c>
      <c r="N124" s="352">
        <v>6500</v>
      </c>
      <c r="O124" s="352"/>
      <c r="P124" s="352">
        <v>6500</v>
      </c>
      <c r="Q124" s="352">
        <v>60</v>
      </c>
      <c r="R124" s="352"/>
      <c r="S124" s="352">
        <v>60</v>
      </c>
      <c r="T124" s="352">
        <v>5850</v>
      </c>
      <c r="U124" s="352">
        <f t="shared" si="61"/>
        <v>5790</v>
      </c>
      <c r="V124" s="245">
        <v>1737</v>
      </c>
      <c r="W124" s="245">
        <v>1737</v>
      </c>
      <c r="X124" s="245">
        <v>30</v>
      </c>
      <c r="Y124" s="369"/>
      <c r="Z124" s="245">
        <f t="shared" si="58"/>
        <v>1737</v>
      </c>
      <c r="AA124" s="244">
        <f t="shared" si="62"/>
        <v>1797</v>
      </c>
      <c r="AB124" s="244">
        <f t="shared" si="63"/>
        <v>1737</v>
      </c>
      <c r="AC124" s="244">
        <f t="shared" si="64"/>
        <v>1797</v>
      </c>
      <c r="AD124" s="244">
        <f t="shared" si="65"/>
        <v>5850</v>
      </c>
      <c r="AE124" s="244">
        <f t="shared" si="66"/>
        <v>4053</v>
      </c>
      <c r="AF124" s="245">
        <v>2026.5</v>
      </c>
      <c r="AG124" s="245">
        <f t="shared" si="50"/>
        <v>50</v>
      </c>
      <c r="AH124" s="245"/>
      <c r="AI124" s="245">
        <f t="shared" si="43"/>
        <v>2026.5</v>
      </c>
      <c r="AJ124" s="245">
        <f t="shared" ref="AJ124:AJ125" si="69">AA124+AI124</f>
        <v>3823.5</v>
      </c>
      <c r="AK124" s="245">
        <f t="shared" ref="AK124:AK125" si="70">AC124+AI124</f>
        <v>3823.5</v>
      </c>
      <c r="AL124" s="245">
        <f>T124</f>
        <v>5850</v>
      </c>
      <c r="AM124" s="245">
        <f t="shared" si="46"/>
        <v>2026.5</v>
      </c>
      <c r="AN124" s="363" t="s">
        <v>667</v>
      </c>
      <c r="AQ124" s="225" t="s">
        <v>686</v>
      </c>
      <c r="AR124" s="225"/>
      <c r="AS124" s="226"/>
      <c r="AT124" s="224" t="s">
        <v>307</v>
      </c>
      <c r="AU124" s="359" t="s">
        <v>687</v>
      </c>
      <c r="AY124" s="226"/>
      <c r="AZ124" s="226"/>
      <c r="BA124" s="226"/>
    </row>
    <row r="125" spans="1:53" s="224" customFormat="1" ht="30" customHeight="1">
      <c r="A125" s="364">
        <v>92</v>
      </c>
      <c r="B125" s="365" t="s">
        <v>688</v>
      </c>
      <c r="C125" s="365"/>
      <c r="D125" s="365"/>
      <c r="E125" s="352" t="s">
        <v>372</v>
      </c>
      <c r="F125" s="366" t="s">
        <v>326</v>
      </c>
      <c r="G125" s="375" t="s">
        <v>435</v>
      </c>
      <c r="H125" s="368">
        <v>2018</v>
      </c>
      <c r="I125" s="368"/>
      <c r="J125" s="368">
        <v>2020</v>
      </c>
      <c r="K125" s="368"/>
      <c r="L125" s="371" t="s">
        <v>689</v>
      </c>
      <c r="M125" s="243" t="s">
        <v>690</v>
      </c>
      <c r="N125" s="352">
        <v>3700</v>
      </c>
      <c r="O125" s="352"/>
      <c r="P125" s="352">
        <v>3700</v>
      </c>
      <c r="Q125" s="352">
        <v>40</v>
      </c>
      <c r="R125" s="352"/>
      <c r="S125" s="352">
        <v>40</v>
      </c>
      <c r="T125" s="352">
        <v>3330</v>
      </c>
      <c r="U125" s="352">
        <f t="shared" si="61"/>
        <v>3290</v>
      </c>
      <c r="V125" s="245">
        <v>987</v>
      </c>
      <c r="W125" s="245">
        <v>987</v>
      </c>
      <c r="X125" s="245">
        <v>30</v>
      </c>
      <c r="Y125" s="369"/>
      <c r="Z125" s="245">
        <f t="shared" si="58"/>
        <v>987</v>
      </c>
      <c r="AA125" s="244">
        <f t="shared" si="62"/>
        <v>1027</v>
      </c>
      <c r="AB125" s="244">
        <f t="shared" si="63"/>
        <v>987</v>
      </c>
      <c r="AC125" s="244">
        <f t="shared" si="64"/>
        <v>1027</v>
      </c>
      <c r="AD125" s="244">
        <f t="shared" si="65"/>
        <v>3330</v>
      </c>
      <c r="AE125" s="244">
        <f t="shared" si="66"/>
        <v>2303</v>
      </c>
      <c r="AF125" s="245">
        <v>1151.5</v>
      </c>
      <c r="AG125" s="245">
        <f t="shared" si="50"/>
        <v>50</v>
      </c>
      <c r="AH125" s="245"/>
      <c r="AI125" s="245">
        <f t="shared" si="43"/>
        <v>1151.5</v>
      </c>
      <c r="AJ125" s="245">
        <f t="shared" si="69"/>
        <v>2178.5</v>
      </c>
      <c r="AK125" s="245">
        <f t="shared" si="70"/>
        <v>2178.5</v>
      </c>
      <c r="AL125" s="245">
        <f>T125</f>
        <v>3330</v>
      </c>
      <c r="AM125" s="245">
        <f t="shared" si="46"/>
        <v>1151.5</v>
      </c>
      <c r="AN125" s="363" t="s">
        <v>667</v>
      </c>
      <c r="AQ125" s="225" t="s">
        <v>691</v>
      </c>
      <c r="AR125" s="225"/>
      <c r="AS125" s="226" t="s">
        <v>496</v>
      </c>
      <c r="AT125" s="224" t="s">
        <v>307</v>
      </c>
      <c r="AU125" s="359" t="s">
        <v>692</v>
      </c>
      <c r="AY125" s="226"/>
      <c r="AZ125" s="226"/>
      <c r="BA125" s="226"/>
    </row>
    <row r="126" spans="1:53" s="224" customFormat="1" ht="30" customHeight="1">
      <c r="A126" s="364">
        <v>93</v>
      </c>
      <c r="B126" s="365" t="s">
        <v>693</v>
      </c>
      <c r="C126" s="365"/>
      <c r="D126" s="365"/>
      <c r="E126" s="352" t="s">
        <v>372</v>
      </c>
      <c r="F126" s="366" t="s">
        <v>326</v>
      </c>
      <c r="G126" s="376" t="s">
        <v>373</v>
      </c>
      <c r="H126" s="368">
        <v>2018</v>
      </c>
      <c r="I126" s="368"/>
      <c r="J126" s="368">
        <v>2020</v>
      </c>
      <c r="K126" s="368"/>
      <c r="L126" s="371" t="s">
        <v>694</v>
      </c>
      <c r="M126" s="243" t="s">
        <v>695</v>
      </c>
      <c r="N126" s="352">
        <v>1200</v>
      </c>
      <c r="O126" s="352"/>
      <c r="P126" s="352">
        <v>1200</v>
      </c>
      <c r="Q126" s="352">
        <v>30</v>
      </c>
      <c r="R126" s="352"/>
      <c r="S126" s="352">
        <v>30</v>
      </c>
      <c r="T126" s="352">
        <v>1080</v>
      </c>
      <c r="U126" s="352">
        <f t="shared" si="61"/>
        <v>1050</v>
      </c>
      <c r="V126" s="245">
        <v>1050</v>
      </c>
      <c r="W126" s="245">
        <v>1050</v>
      </c>
      <c r="X126" s="245">
        <v>100</v>
      </c>
      <c r="Y126" s="369"/>
      <c r="Z126" s="245">
        <f t="shared" si="58"/>
        <v>1050</v>
      </c>
      <c r="AA126" s="244">
        <f t="shared" si="62"/>
        <v>1080</v>
      </c>
      <c r="AB126" s="244">
        <f t="shared" si="63"/>
        <v>1050</v>
      </c>
      <c r="AC126" s="244">
        <f t="shared" si="64"/>
        <v>1080</v>
      </c>
      <c r="AD126" s="244">
        <f t="shared" si="65"/>
        <v>1080</v>
      </c>
      <c r="AE126" s="244">
        <f t="shared" si="66"/>
        <v>0</v>
      </c>
      <c r="AF126" s="369"/>
      <c r="AG126" s="373"/>
      <c r="AH126" s="373"/>
      <c r="AI126" s="373"/>
      <c r="AJ126" s="373"/>
      <c r="AK126" s="373"/>
      <c r="AL126" s="373"/>
      <c r="AM126" s="373"/>
      <c r="AN126" s="363" t="s">
        <v>667</v>
      </c>
      <c r="AQ126" s="225" t="s">
        <v>696</v>
      </c>
      <c r="AR126" s="225"/>
      <c r="AS126" s="226"/>
      <c r="AU126" s="359" t="s">
        <v>697</v>
      </c>
      <c r="AY126" s="226"/>
      <c r="AZ126" s="226"/>
      <c r="BA126" s="226"/>
    </row>
    <row r="127" spans="1:53" s="224" customFormat="1" ht="30" customHeight="1">
      <c r="A127" s="364">
        <v>94</v>
      </c>
      <c r="B127" s="365" t="s">
        <v>698</v>
      </c>
      <c r="C127" s="365"/>
      <c r="D127" s="365"/>
      <c r="E127" s="352" t="s">
        <v>372</v>
      </c>
      <c r="F127" s="366" t="s">
        <v>326</v>
      </c>
      <c r="G127" s="376" t="s">
        <v>373</v>
      </c>
      <c r="H127" s="368">
        <v>2018</v>
      </c>
      <c r="I127" s="368"/>
      <c r="J127" s="368">
        <v>2020</v>
      </c>
      <c r="K127" s="368"/>
      <c r="L127" s="371" t="s">
        <v>699</v>
      </c>
      <c r="M127" s="243" t="s">
        <v>700</v>
      </c>
      <c r="N127" s="352">
        <v>5700</v>
      </c>
      <c r="O127" s="352"/>
      <c r="P127" s="352">
        <v>5700</v>
      </c>
      <c r="Q127" s="352">
        <v>50</v>
      </c>
      <c r="R127" s="352"/>
      <c r="S127" s="352">
        <v>50</v>
      </c>
      <c r="T127" s="352">
        <v>5130</v>
      </c>
      <c r="U127" s="352">
        <f t="shared" si="61"/>
        <v>5080</v>
      </c>
      <c r="V127" s="245">
        <v>1524</v>
      </c>
      <c r="W127" s="245">
        <v>1524</v>
      </c>
      <c r="X127" s="245">
        <v>30</v>
      </c>
      <c r="Y127" s="369">
        <v>1500</v>
      </c>
      <c r="Z127" s="245">
        <f t="shared" si="58"/>
        <v>3024</v>
      </c>
      <c r="AA127" s="244">
        <f t="shared" si="62"/>
        <v>3074</v>
      </c>
      <c r="AB127" s="244">
        <f t="shared" si="63"/>
        <v>3024</v>
      </c>
      <c r="AC127" s="244">
        <f t="shared" si="64"/>
        <v>3074</v>
      </c>
      <c r="AD127" s="244">
        <f t="shared" si="65"/>
        <v>5130</v>
      </c>
      <c r="AE127" s="244">
        <f t="shared" si="66"/>
        <v>2056</v>
      </c>
      <c r="AF127" s="245">
        <v>1028</v>
      </c>
      <c r="AG127" s="245">
        <f t="shared" si="50"/>
        <v>50</v>
      </c>
      <c r="AH127" s="245"/>
      <c r="AI127" s="245">
        <f t="shared" si="43"/>
        <v>1028</v>
      </c>
      <c r="AJ127" s="245">
        <f t="shared" ref="AJ127:AJ154" si="71">AA127+AI127</f>
        <v>4102</v>
      </c>
      <c r="AK127" s="245">
        <f t="shared" ref="AK127:AK154" si="72">AC127+AI127</f>
        <v>4102</v>
      </c>
      <c r="AL127" s="245">
        <f t="shared" ref="AL127:AL154" si="73">T127</f>
        <v>5130</v>
      </c>
      <c r="AM127" s="245">
        <f t="shared" si="46"/>
        <v>1028</v>
      </c>
      <c r="AN127" s="363" t="s">
        <v>667</v>
      </c>
      <c r="AO127" s="377" t="s">
        <v>701</v>
      </c>
      <c r="AQ127" s="225" t="s">
        <v>696</v>
      </c>
      <c r="AR127" s="225"/>
      <c r="AS127" s="226"/>
      <c r="AU127" s="372" t="s">
        <v>702</v>
      </c>
      <c r="AY127" s="226"/>
      <c r="AZ127" s="226"/>
      <c r="BA127" s="226"/>
    </row>
    <row r="128" spans="1:53" s="224" customFormat="1" ht="30" customHeight="1">
      <c r="A128" s="364">
        <v>95</v>
      </c>
      <c r="B128" s="365" t="s">
        <v>703</v>
      </c>
      <c r="C128" s="365"/>
      <c r="D128" s="365"/>
      <c r="E128" s="352" t="s">
        <v>372</v>
      </c>
      <c r="F128" s="366" t="s">
        <v>326</v>
      </c>
      <c r="G128" s="375" t="s">
        <v>382</v>
      </c>
      <c r="H128" s="368">
        <v>2018</v>
      </c>
      <c r="I128" s="368"/>
      <c r="J128" s="368">
        <v>2020</v>
      </c>
      <c r="K128" s="368"/>
      <c r="L128" s="371" t="s">
        <v>704</v>
      </c>
      <c r="M128" s="243" t="s">
        <v>705</v>
      </c>
      <c r="N128" s="352">
        <v>6000</v>
      </c>
      <c r="O128" s="352"/>
      <c r="P128" s="352">
        <v>5000</v>
      </c>
      <c r="Q128" s="352">
        <v>60</v>
      </c>
      <c r="R128" s="352"/>
      <c r="S128" s="352">
        <v>60</v>
      </c>
      <c r="T128" s="352">
        <v>4500</v>
      </c>
      <c r="U128" s="352">
        <f t="shared" si="61"/>
        <v>4440</v>
      </c>
      <c r="V128" s="245">
        <v>1332</v>
      </c>
      <c r="W128" s="245">
        <v>1332</v>
      </c>
      <c r="X128" s="245">
        <v>30</v>
      </c>
      <c r="Y128" s="369"/>
      <c r="Z128" s="245">
        <f t="shared" si="58"/>
        <v>1332</v>
      </c>
      <c r="AA128" s="244">
        <f t="shared" si="62"/>
        <v>1392</v>
      </c>
      <c r="AB128" s="244">
        <f t="shared" si="63"/>
        <v>1332</v>
      </c>
      <c r="AC128" s="244">
        <f t="shared" si="64"/>
        <v>1392</v>
      </c>
      <c r="AD128" s="244">
        <f t="shared" si="65"/>
        <v>4500</v>
      </c>
      <c r="AE128" s="244">
        <f t="shared" si="66"/>
        <v>3108</v>
      </c>
      <c r="AF128" s="245">
        <v>1554</v>
      </c>
      <c r="AG128" s="245">
        <f t="shared" si="50"/>
        <v>50</v>
      </c>
      <c r="AH128" s="245"/>
      <c r="AI128" s="245">
        <f t="shared" si="43"/>
        <v>1554</v>
      </c>
      <c r="AJ128" s="245">
        <f t="shared" si="71"/>
        <v>2946</v>
      </c>
      <c r="AK128" s="245">
        <f t="shared" si="72"/>
        <v>2946</v>
      </c>
      <c r="AL128" s="245">
        <f t="shared" si="73"/>
        <v>4500</v>
      </c>
      <c r="AM128" s="245">
        <f t="shared" si="46"/>
        <v>1554</v>
      </c>
      <c r="AN128" s="363" t="s">
        <v>667</v>
      </c>
      <c r="AQ128" s="225" t="s">
        <v>382</v>
      </c>
      <c r="AR128" s="225"/>
      <c r="AS128" s="226"/>
      <c r="AU128" s="372" t="s">
        <v>559</v>
      </c>
      <c r="AY128" s="226"/>
      <c r="AZ128" s="226"/>
      <c r="BA128" s="226"/>
    </row>
    <row r="129" spans="1:53" s="224" customFormat="1" ht="30" customHeight="1">
      <c r="A129" s="364">
        <v>96</v>
      </c>
      <c r="B129" s="365" t="s">
        <v>706</v>
      </c>
      <c r="C129" s="365"/>
      <c r="D129" s="365"/>
      <c r="E129" s="352" t="s">
        <v>372</v>
      </c>
      <c r="F129" s="366" t="s">
        <v>326</v>
      </c>
      <c r="G129" s="365" t="s">
        <v>341</v>
      </c>
      <c r="H129" s="368">
        <v>2018</v>
      </c>
      <c r="I129" s="368"/>
      <c r="J129" s="368">
        <v>2020</v>
      </c>
      <c r="K129" s="368"/>
      <c r="L129" s="371" t="s">
        <v>704</v>
      </c>
      <c r="M129" s="243" t="s">
        <v>707</v>
      </c>
      <c r="N129" s="352">
        <v>6400</v>
      </c>
      <c r="O129" s="352"/>
      <c r="P129" s="352">
        <v>6400</v>
      </c>
      <c r="Q129" s="352">
        <v>60</v>
      </c>
      <c r="R129" s="352"/>
      <c r="S129" s="352">
        <v>60</v>
      </c>
      <c r="T129" s="352">
        <v>5760</v>
      </c>
      <c r="U129" s="352">
        <f t="shared" si="61"/>
        <v>5700</v>
      </c>
      <c r="V129" s="245">
        <v>1710</v>
      </c>
      <c r="W129" s="245">
        <v>1710</v>
      </c>
      <c r="X129" s="245">
        <v>30</v>
      </c>
      <c r="Y129" s="369"/>
      <c r="Z129" s="245">
        <f t="shared" si="58"/>
        <v>1710</v>
      </c>
      <c r="AA129" s="244">
        <f t="shared" si="62"/>
        <v>1770</v>
      </c>
      <c r="AB129" s="244">
        <f t="shared" si="63"/>
        <v>1710</v>
      </c>
      <c r="AC129" s="244">
        <f t="shared" si="64"/>
        <v>1770</v>
      </c>
      <c r="AD129" s="244">
        <f t="shared" si="65"/>
        <v>5760</v>
      </c>
      <c r="AE129" s="244">
        <f t="shared" si="66"/>
        <v>3990</v>
      </c>
      <c r="AF129" s="245">
        <v>1995</v>
      </c>
      <c r="AG129" s="245">
        <f t="shared" si="50"/>
        <v>50</v>
      </c>
      <c r="AH129" s="245"/>
      <c r="AI129" s="245">
        <f t="shared" si="43"/>
        <v>1995</v>
      </c>
      <c r="AJ129" s="245">
        <f t="shared" si="71"/>
        <v>3765</v>
      </c>
      <c r="AK129" s="245">
        <f t="shared" si="72"/>
        <v>3765</v>
      </c>
      <c r="AL129" s="245">
        <f t="shared" si="73"/>
        <v>5760</v>
      </c>
      <c r="AM129" s="245">
        <f t="shared" si="46"/>
        <v>1995</v>
      </c>
      <c r="AN129" s="363" t="s">
        <v>667</v>
      </c>
      <c r="AQ129" s="225" t="s">
        <v>533</v>
      </c>
      <c r="AR129" s="225"/>
      <c r="AS129" s="226"/>
      <c r="AU129" s="372" t="s">
        <v>708</v>
      </c>
      <c r="AY129" s="226"/>
      <c r="AZ129" s="226"/>
      <c r="BA129" s="226"/>
    </row>
    <row r="130" spans="1:53" s="224" customFormat="1" ht="30" customHeight="1">
      <c r="A130" s="364">
        <v>98</v>
      </c>
      <c r="B130" s="365" t="s">
        <v>709</v>
      </c>
      <c r="C130" s="365"/>
      <c r="D130" s="365"/>
      <c r="E130" s="352" t="s">
        <v>372</v>
      </c>
      <c r="F130" s="366" t="s">
        <v>326</v>
      </c>
      <c r="G130" s="378" t="s">
        <v>395</v>
      </c>
      <c r="H130" s="368">
        <v>2018</v>
      </c>
      <c r="I130" s="368"/>
      <c r="J130" s="368">
        <v>2020</v>
      </c>
      <c r="K130" s="368"/>
      <c r="L130" s="368"/>
      <c r="M130" s="243" t="s">
        <v>710</v>
      </c>
      <c r="N130" s="352">
        <v>3600</v>
      </c>
      <c r="O130" s="352"/>
      <c r="P130" s="352">
        <v>2700</v>
      </c>
      <c r="Q130" s="352">
        <v>40</v>
      </c>
      <c r="R130" s="352"/>
      <c r="S130" s="352">
        <v>40</v>
      </c>
      <c r="T130" s="352">
        <v>2700</v>
      </c>
      <c r="U130" s="352">
        <f t="shared" si="61"/>
        <v>2660</v>
      </c>
      <c r="V130" s="245">
        <v>798</v>
      </c>
      <c r="W130" s="245">
        <v>798</v>
      </c>
      <c r="X130" s="245">
        <v>30</v>
      </c>
      <c r="Y130" s="369"/>
      <c r="Z130" s="245">
        <f t="shared" si="58"/>
        <v>798</v>
      </c>
      <c r="AA130" s="244">
        <f t="shared" si="62"/>
        <v>838</v>
      </c>
      <c r="AB130" s="244">
        <f t="shared" si="63"/>
        <v>798</v>
      </c>
      <c r="AC130" s="244">
        <f t="shared" si="64"/>
        <v>838</v>
      </c>
      <c r="AD130" s="244">
        <f t="shared" si="65"/>
        <v>2700</v>
      </c>
      <c r="AE130" s="244">
        <f t="shared" si="66"/>
        <v>1862</v>
      </c>
      <c r="AF130" s="245">
        <v>1862</v>
      </c>
      <c r="AG130" s="245">
        <f t="shared" si="50"/>
        <v>100</v>
      </c>
      <c r="AH130" s="245"/>
      <c r="AI130" s="245">
        <f t="shared" si="43"/>
        <v>1862</v>
      </c>
      <c r="AJ130" s="245">
        <f t="shared" si="71"/>
        <v>2700</v>
      </c>
      <c r="AK130" s="245">
        <f t="shared" si="72"/>
        <v>2700</v>
      </c>
      <c r="AL130" s="245">
        <f t="shared" si="73"/>
        <v>2700</v>
      </c>
      <c r="AM130" s="245">
        <f t="shared" si="46"/>
        <v>0</v>
      </c>
      <c r="AN130" s="363" t="s">
        <v>667</v>
      </c>
      <c r="AQ130" s="225" t="s">
        <v>652</v>
      </c>
      <c r="AR130" s="225"/>
      <c r="AS130" s="226"/>
      <c r="AT130" s="224" t="s">
        <v>307</v>
      </c>
      <c r="AU130" s="359" t="s">
        <v>653</v>
      </c>
      <c r="AY130" s="226"/>
      <c r="AZ130" s="226"/>
      <c r="BA130" s="226"/>
    </row>
    <row r="131" spans="1:53" s="224" customFormat="1" ht="30" customHeight="1">
      <c r="A131" s="364">
        <v>99</v>
      </c>
      <c r="B131" s="365" t="s">
        <v>711</v>
      </c>
      <c r="C131" s="365"/>
      <c r="D131" s="365"/>
      <c r="E131" s="352" t="s">
        <v>372</v>
      </c>
      <c r="F131" s="366" t="s">
        <v>326</v>
      </c>
      <c r="G131" s="378" t="s">
        <v>395</v>
      </c>
      <c r="H131" s="368">
        <v>2018</v>
      </c>
      <c r="I131" s="368"/>
      <c r="J131" s="368">
        <v>2020</v>
      </c>
      <c r="K131" s="368"/>
      <c r="L131" s="368"/>
      <c r="M131" s="243" t="s">
        <v>712</v>
      </c>
      <c r="N131" s="352">
        <v>3000</v>
      </c>
      <c r="O131" s="352"/>
      <c r="P131" s="352">
        <v>3000</v>
      </c>
      <c r="Q131" s="352">
        <v>40</v>
      </c>
      <c r="R131" s="352"/>
      <c r="S131" s="352">
        <v>40</v>
      </c>
      <c r="T131" s="352">
        <v>2700</v>
      </c>
      <c r="U131" s="352">
        <f t="shared" si="61"/>
        <v>2660</v>
      </c>
      <c r="V131" s="245">
        <v>798</v>
      </c>
      <c r="W131" s="245">
        <v>798</v>
      </c>
      <c r="X131" s="245">
        <v>30</v>
      </c>
      <c r="Y131" s="369"/>
      <c r="Z131" s="245">
        <f t="shared" si="58"/>
        <v>798</v>
      </c>
      <c r="AA131" s="244">
        <f t="shared" si="62"/>
        <v>838</v>
      </c>
      <c r="AB131" s="244">
        <f t="shared" si="63"/>
        <v>798</v>
      </c>
      <c r="AC131" s="244">
        <f t="shared" si="64"/>
        <v>838</v>
      </c>
      <c r="AD131" s="244">
        <f t="shared" si="65"/>
        <v>2700</v>
      </c>
      <c r="AE131" s="244">
        <f t="shared" si="66"/>
        <v>1862</v>
      </c>
      <c r="AF131" s="245">
        <v>1862</v>
      </c>
      <c r="AG131" s="245">
        <f t="shared" si="50"/>
        <v>100</v>
      </c>
      <c r="AH131" s="245"/>
      <c r="AI131" s="245">
        <f t="shared" si="43"/>
        <v>1862</v>
      </c>
      <c r="AJ131" s="245">
        <f t="shared" si="71"/>
        <v>2700</v>
      </c>
      <c r="AK131" s="245">
        <f t="shared" si="72"/>
        <v>2700</v>
      </c>
      <c r="AL131" s="245">
        <f t="shared" si="73"/>
        <v>2700</v>
      </c>
      <c r="AM131" s="245">
        <f t="shared" si="46"/>
        <v>0</v>
      </c>
      <c r="AN131" s="363" t="s">
        <v>667</v>
      </c>
      <c r="AQ131" s="225" t="s">
        <v>713</v>
      </c>
      <c r="AR131" s="225"/>
      <c r="AS131" s="226"/>
      <c r="AT131" s="224" t="s">
        <v>307</v>
      </c>
      <c r="AU131" s="359" t="s">
        <v>714</v>
      </c>
      <c r="AY131" s="226"/>
      <c r="AZ131" s="226"/>
      <c r="BA131" s="226"/>
    </row>
    <row r="132" spans="1:53" s="224" customFormat="1" ht="30" customHeight="1">
      <c r="A132" s="364">
        <v>100</v>
      </c>
      <c r="B132" s="365" t="s">
        <v>715</v>
      </c>
      <c r="C132" s="365"/>
      <c r="D132" s="365"/>
      <c r="E132" s="352" t="s">
        <v>372</v>
      </c>
      <c r="F132" s="366" t="s">
        <v>326</v>
      </c>
      <c r="G132" s="365" t="s">
        <v>373</v>
      </c>
      <c r="H132" s="368">
        <v>2018</v>
      </c>
      <c r="I132" s="368"/>
      <c r="J132" s="368">
        <v>2020</v>
      </c>
      <c r="K132" s="368"/>
      <c r="L132" s="371" t="s">
        <v>716</v>
      </c>
      <c r="M132" s="243" t="s">
        <v>717</v>
      </c>
      <c r="N132" s="352">
        <v>3000</v>
      </c>
      <c r="O132" s="352"/>
      <c r="P132" s="352">
        <v>3000</v>
      </c>
      <c r="Q132" s="352">
        <v>40</v>
      </c>
      <c r="R132" s="352"/>
      <c r="S132" s="352">
        <v>40</v>
      </c>
      <c r="T132" s="352">
        <v>2700</v>
      </c>
      <c r="U132" s="352">
        <f t="shared" si="61"/>
        <v>2660</v>
      </c>
      <c r="V132" s="245">
        <v>798</v>
      </c>
      <c r="W132" s="245">
        <v>798</v>
      </c>
      <c r="X132" s="245">
        <v>30</v>
      </c>
      <c r="Y132" s="369"/>
      <c r="Z132" s="245">
        <f t="shared" si="58"/>
        <v>798</v>
      </c>
      <c r="AA132" s="244">
        <f t="shared" si="62"/>
        <v>838</v>
      </c>
      <c r="AB132" s="244">
        <f t="shared" si="63"/>
        <v>798</v>
      </c>
      <c r="AC132" s="244">
        <f t="shared" si="64"/>
        <v>838</v>
      </c>
      <c r="AD132" s="244">
        <f t="shared" si="65"/>
        <v>2700</v>
      </c>
      <c r="AE132" s="244">
        <f t="shared" si="66"/>
        <v>1862</v>
      </c>
      <c r="AF132" s="245">
        <v>1862</v>
      </c>
      <c r="AG132" s="245">
        <f t="shared" si="50"/>
        <v>100</v>
      </c>
      <c r="AH132" s="245"/>
      <c r="AI132" s="245">
        <f t="shared" si="43"/>
        <v>1862</v>
      </c>
      <c r="AJ132" s="245">
        <f t="shared" si="71"/>
        <v>2700</v>
      </c>
      <c r="AK132" s="245">
        <f t="shared" si="72"/>
        <v>2700</v>
      </c>
      <c r="AL132" s="245">
        <f t="shared" si="73"/>
        <v>2700</v>
      </c>
      <c r="AM132" s="245">
        <f t="shared" si="46"/>
        <v>0</v>
      </c>
      <c r="AN132" s="363" t="s">
        <v>667</v>
      </c>
      <c r="AQ132" s="225" t="s">
        <v>718</v>
      </c>
      <c r="AR132" s="225"/>
      <c r="AS132" s="226"/>
      <c r="AT132" s="224" t="s">
        <v>307</v>
      </c>
      <c r="AU132" s="359" t="s">
        <v>719</v>
      </c>
      <c r="AY132" s="226"/>
      <c r="AZ132" s="226"/>
      <c r="BA132" s="226"/>
    </row>
    <row r="133" spans="1:53" s="256" customFormat="1" ht="30" customHeight="1">
      <c r="A133" s="248">
        <v>101</v>
      </c>
      <c r="B133" s="338" t="s">
        <v>720</v>
      </c>
      <c r="C133" s="338"/>
      <c r="D133" s="338"/>
      <c r="E133" s="337" t="s">
        <v>372</v>
      </c>
      <c r="F133" s="251" t="s">
        <v>326</v>
      </c>
      <c r="G133" s="343" t="s">
        <v>378</v>
      </c>
      <c r="H133" s="253">
        <v>2018</v>
      </c>
      <c r="I133" s="253"/>
      <c r="J133" s="253">
        <v>2020</v>
      </c>
      <c r="K133" s="253"/>
      <c r="L133" s="361"/>
      <c r="M133" s="271" t="s">
        <v>721</v>
      </c>
      <c r="N133" s="337">
        <v>2722</v>
      </c>
      <c r="O133" s="337"/>
      <c r="P133" s="337">
        <v>2722</v>
      </c>
      <c r="Q133" s="337">
        <v>40</v>
      </c>
      <c r="R133" s="337"/>
      <c r="S133" s="337">
        <v>40</v>
      </c>
      <c r="T133" s="337">
        <v>2700</v>
      </c>
      <c r="U133" s="337">
        <f t="shared" si="61"/>
        <v>2660</v>
      </c>
      <c r="V133" s="245">
        <v>798</v>
      </c>
      <c r="W133" s="245">
        <v>798</v>
      </c>
      <c r="X133" s="245">
        <v>30</v>
      </c>
      <c r="Y133" s="341"/>
      <c r="Z133" s="245">
        <f t="shared" si="58"/>
        <v>798</v>
      </c>
      <c r="AA133" s="244">
        <f t="shared" si="62"/>
        <v>838</v>
      </c>
      <c r="AB133" s="244">
        <f t="shared" si="63"/>
        <v>798</v>
      </c>
      <c r="AC133" s="244">
        <f t="shared" si="64"/>
        <v>838</v>
      </c>
      <c r="AD133" s="244">
        <f t="shared" si="65"/>
        <v>2700</v>
      </c>
      <c r="AE133" s="244">
        <f t="shared" si="66"/>
        <v>1862</v>
      </c>
      <c r="AF133" s="245">
        <v>1862</v>
      </c>
      <c r="AG133" s="245">
        <f t="shared" si="50"/>
        <v>100</v>
      </c>
      <c r="AH133" s="245"/>
      <c r="AI133" s="245">
        <f t="shared" si="43"/>
        <v>1862</v>
      </c>
      <c r="AJ133" s="245">
        <f t="shared" si="71"/>
        <v>2700</v>
      </c>
      <c r="AK133" s="245">
        <f t="shared" si="72"/>
        <v>2700</v>
      </c>
      <c r="AL133" s="245">
        <f t="shared" si="73"/>
        <v>2700</v>
      </c>
      <c r="AM133" s="245">
        <f t="shared" si="46"/>
        <v>0</v>
      </c>
      <c r="AN133" s="379"/>
      <c r="AQ133" s="257" t="s">
        <v>722</v>
      </c>
      <c r="AR133" s="257"/>
      <c r="AS133" s="258"/>
      <c r="AT133" s="224"/>
      <c r="AU133" s="372" t="s">
        <v>723</v>
      </c>
      <c r="AY133" s="258"/>
      <c r="AZ133" s="258"/>
      <c r="BA133" s="258"/>
    </row>
    <row r="134" spans="1:53" s="224" customFormat="1" ht="30" customHeight="1">
      <c r="A134" s="364">
        <v>102</v>
      </c>
      <c r="B134" s="365" t="s">
        <v>724</v>
      </c>
      <c r="C134" s="365"/>
      <c r="D134" s="365"/>
      <c r="E134" s="352" t="s">
        <v>372</v>
      </c>
      <c r="F134" s="366" t="s">
        <v>326</v>
      </c>
      <c r="G134" s="375" t="s">
        <v>382</v>
      </c>
      <c r="H134" s="368">
        <v>2018</v>
      </c>
      <c r="I134" s="368"/>
      <c r="J134" s="368">
        <v>2020</v>
      </c>
      <c r="K134" s="368"/>
      <c r="L134" s="371" t="s">
        <v>725</v>
      </c>
      <c r="M134" s="243" t="s">
        <v>726</v>
      </c>
      <c r="N134" s="352">
        <v>4800</v>
      </c>
      <c r="O134" s="352"/>
      <c r="P134" s="352">
        <v>4800</v>
      </c>
      <c r="Q134" s="352">
        <v>40</v>
      </c>
      <c r="R134" s="352"/>
      <c r="S134" s="352">
        <v>40</v>
      </c>
      <c r="T134" s="352">
        <v>4320</v>
      </c>
      <c r="U134" s="352">
        <f t="shared" si="61"/>
        <v>4280</v>
      </c>
      <c r="V134" s="245">
        <v>1284</v>
      </c>
      <c r="W134" s="245">
        <v>1284</v>
      </c>
      <c r="X134" s="245">
        <v>30</v>
      </c>
      <c r="Y134" s="369"/>
      <c r="Z134" s="245">
        <f t="shared" si="58"/>
        <v>1284</v>
      </c>
      <c r="AA134" s="244">
        <f t="shared" si="62"/>
        <v>1324</v>
      </c>
      <c r="AB134" s="244">
        <f t="shared" si="63"/>
        <v>1284</v>
      </c>
      <c r="AC134" s="244">
        <f t="shared" si="64"/>
        <v>1324</v>
      </c>
      <c r="AD134" s="244">
        <f t="shared" si="65"/>
        <v>4320</v>
      </c>
      <c r="AE134" s="244">
        <f t="shared" si="66"/>
        <v>2996</v>
      </c>
      <c r="AF134" s="245">
        <v>1498</v>
      </c>
      <c r="AG134" s="245">
        <f t="shared" si="50"/>
        <v>50</v>
      </c>
      <c r="AH134" s="245"/>
      <c r="AI134" s="245">
        <f t="shared" si="43"/>
        <v>1498</v>
      </c>
      <c r="AJ134" s="245">
        <f t="shared" si="71"/>
        <v>2822</v>
      </c>
      <c r="AK134" s="245">
        <f t="shared" si="72"/>
        <v>2822</v>
      </c>
      <c r="AL134" s="245">
        <f t="shared" si="73"/>
        <v>4320</v>
      </c>
      <c r="AM134" s="245">
        <f t="shared" si="46"/>
        <v>1498</v>
      </c>
      <c r="AN134" s="363" t="s">
        <v>667</v>
      </c>
      <c r="AQ134" s="225" t="s">
        <v>727</v>
      </c>
      <c r="AR134" s="225"/>
      <c r="AS134" s="226" t="s">
        <v>572</v>
      </c>
      <c r="AT134" s="224" t="s">
        <v>307</v>
      </c>
      <c r="AU134" s="359" t="s">
        <v>728</v>
      </c>
      <c r="AY134" s="226"/>
      <c r="AZ134" s="226"/>
      <c r="BA134" s="226"/>
    </row>
    <row r="135" spans="1:53" s="224" customFormat="1" ht="30" customHeight="1">
      <c r="A135" s="364">
        <v>103</v>
      </c>
      <c r="B135" s="367" t="s">
        <v>729</v>
      </c>
      <c r="C135" s="367"/>
      <c r="D135" s="367"/>
      <c r="E135" s="352" t="s">
        <v>372</v>
      </c>
      <c r="F135" s="366" t="s">
        <v>326</v>
      </c>
      <c r="G135" s="375" t="s">
        <v>435</v>
      </c>
      <c r="H135" s="368">
        <v>2018</v>
      </c>
      <c r="I135" s="368"/>
      <c r="J135" s="368">
        <v>2020</v>
      </c>
      <c r="K135" s="368"/>
      <c r="L135" s="371" t="s">
        <v>730</v>
      </c>
      <c r="M135" s="243" t="s">
        <v>731</v>
      </c>
      <c r="N135" s="352">
        <v>4784</v>
      </c>
      <c r="O135" s="352"/>
      <c r="P135" s="352">
        <v>4784</v>
      </c>
      <c r="Q135" s="352">
        <v>40</v>
      </c>
      <c r="R135" s="352"/>
      <c r="S135" s="352">
        <v>40</v>
      </c>
      <c r="T135" s="352">
        <v>4320</v>
      </c>
      <c r="U135" s="352">
        <f t="shared" si="61"/>
        <v>4280</v>
      </c>
      <c r="V135" s="245">
        <v>1284</v>
      </c>
      <c r="W135" s="245">
        <v>1284</v>
      </c>
      <c r="X135" s="245">
        <v>30</v>
      </c>
      <c r="Y135" s="369"/>
      <c r="Z135" s="245">
        <f t="shared" si="58"/>
        <v>1284</v>
      </c>
      <c r="AA135" s="244">
        <f t="shared" si="62"/>
        <v>1324</v>
      </c>
      <c r="AB135" s="244">
        <f t="shared" si="63"/>
        <v>1284</v>
      </c>
      <c r="AC135" s="244">
        <f t="shared" si="64"/>
        <v>1324</v>
      </c>
      <c r="AD135" s="244">
        <f t="shared" si="65"/>
        <v>4320</v>
      </c>
      <c r="AE135" s="244">
        <f t="shared" si="66"/>
        <v>2996</v>
      </c>
      <c r="AF135" s="245">
        <v>1498</v>
      </c>
      <c r="AG135" s="245">
        <f t="shared" si="50"/>
        <v>50</v>
      </c>
      <c r="AH135" s="245"/>
      <c r="AI135" s="245">
        <f t="shared" si="43"/>
        <v>1498</v>
      </c>
      <c r="AJ135" s="245">
        <f t="shared" si="71"/>
        <v>2822</v>
      </c>
      <c r="AK135" s="245">
        <f t="shared" si="72"/>
        <v>2822</v>
      </c>
      <c r="AL135" s="245">
        <f t="shared" si="73"/>
        <v>4320</v>
      </c>
      <c r="AM135" s="245">
        <f t="shared" si="46"/>
        <v>1498</v>
      </c>
      <c r="AN135" s="363" t="s">
        <v>667</v>
      </c>
      <c r="AQ135" s="225" t="s">
        <v>732</v>
      </c>
      <c r="AR135" s="225"/>
      <c r="AS135" s="226"/>
      <c r="AT135" s="224" t="s">
        <v>307</v>
      </c>
      <c r="AU135" s="359" t="s">
        <v>733</v>
      </c>
      <c r="AY135" s="226"/>
      <c r="AZ135" s="226"/>
      <c r="BA135" s="226"/>
    </row>
    <row r="136" spans="1:53" ht="30" customHeight="1">
      <c r="A136" s="248">
        <v>104</v>
      </c>
      <c r="B136" s="336" t="s">
        <v>734</v>
      </c>
      <c r="C136" s="336"/>
      <c r="D136" s="336"/>
      <c r="E136" s="337" t="s">
        <v>372</v>
      </c>
      <c r="F136" s="251" t="s">
        <v>326</v>
      </c>
      <c r="G136" s="343" t="s">
        <v>378</v>
      </c>
      <c r="H136" s="253">
        <v>2018</v>
      </c>
      <c r="I136" s="253"/>
      <c r="J136" s="253">
        <v>2020</v>
      </c>
      <c r="K136" s="253"/>
      <c r="L136" s="253"/>
      <c r="M136" s="271" t="s">
        <v>735</v>
      </c>
      <c r="N136" s="337">
        <v>4000</v>
      </c>
      <c r="O136" s="337"/>
      <c r="P136" s="337">
        <v>2400</v>
      </c>
      <c r="Q136" s="337">
        <v>0</v>
      </c>
      <c r="R136" s="337"/>
      <c r="S136" s="337">
        <v>0</v>
      </c>
      <c r="T136" s="337">
        <v>2400</v>
      </c>
      <c r="U136" s="337">
        <f t="shared" si="61"/>
        <v>2400</v>
      </c>
      <c r="V136" s="245">
        <v>1200</v>
      </c>
      <c r="W136" s="245">
        <v>1200</v>
      </c>
      <c r="X136" s="245">
        <v>50</v>
      </c>
      <c r="Y136" s="341"/>
      <c r="Z136" s="245">
        <f t="shared" si="58"/>
        <v>1200</v>
      </c>
      <c r="AA136" s="244">
        <f t="shared" si="62"/>
        <v>1200</v>
      </c>
      <c r="AB136" s="244">
        <f t="shared" si="63"/>
        <v>1200</v>
      </c>
      <c r="AC136" s="244">
        <f t="shared" si="64"/>
        <v>1200</v>
      </c>
      <c r="AD136" s="244">
        <f t="shared" si="65"/>
        <v>2400</v>
      </c>
      <c r="AE136" s="244">
        <f t="shared" si="66"/>
        <v>1200</v>
      </c>
      <c r="AF136" s="245">
        <v>1200</v>
      </c>
      <c r="AG136" s="245">
        <f t="shared" si="50"/>
        <v>100</v>
      </c>
      <c r="AH136" s="245"/>
      <c r="AI136" s="245">
        <f t="shared" si="43"/>
        <v>1200</v>
      </c>
      <c r="AJ136" s="245">
        <f t="shared" si="71"/>
        <v>2400</v>
      </c>
      <c r="AK136" s="245">
        <f t="shared" si="72"/>
        <v>2400</v>
      </c>
      <c r="AL136" s="245">
        <f t="shared" si="73"/>
        <v>2400</v>
      </c>
      <c r="AM136" s="245">
        <f t="shared" si="46"/>
        <v>0</v>
      </c>
      <c r="AN136" s="379"/>
      <c r="AQ136" s="215" t="s">
        <v>380</v>
      </c>
      <c r="AR136" s="215"/>
      <c r="AS136" s="216"/>
      <c r="AT136" s="224" t="s">
        <v>307</v>
      </c>
      <c r="AU136" s="359" t="s">
        <v>736</v>
      </c>
      <c r="AY136" s="216"/>
      <c r="AZ136" s="216"/>
      <c r="BA136" s="216"/>
    </row>
    <row r="137" spans="1:53" s="224" customFormat="1" ht="30" customHeight="1">
      <c r="A137" s="364">
        <v>105</v>
      </c>
      <c r="B137" s="365" t="s">
        <v>737</v>
      </c>
      <c r="C137" s="365"/>
      <c r="D137" s="365"/>
      <c r="E137" s="352" t="s">
        <v>372</v>
      </c>
      <c r="F137" s="366" t="s">
        <v>326</v>
      </c>
      <c r="G137" s="365" t="s">
        <v>341</v>
      </c>
      <c r="H137" s="368">
        <v>2018</v>
      </c>
      <c r="I137" s="368"/>
      <c r="J137" s="368">
        <v>2020</v>
      </c>
      <c r="K137" s="368"/>
      <c r="L137" s="368"/>
      <c r="M137" s="243" t="s">
        <v>738</v>
      </c>
      <c r="N137" s="352">
        <v>3000</v>
      </c>
      <c r="O137" s="352"/>
      <c r="P137" s="352">
        <v>3000</v>
      </c>
      <c r="Q137" s="352">
        <v>40</v>
      </c>
      <c r="R137" s="352"/>
      <c r="S137" s="352">
        <v>40</v>
      </c>
      <c r="T137" s="352">
        <v>2700</v>
      </c>
      <c r="U137" s="352">
        <f t="shared" si="61"/>
        <v>2660</v>
      </c>
      <c r="V137" s="245">
        <v>798</v>
      </c>
      <c r="W137" s="245">
        <v>798</v>
      </c>
      <c r="X137" s="245">
        <v>30</v>
      </c>
      <c r="Y137" s="369"/>
      <c r="Z137" s="245">
        <f t="shared" si="58"/>
        <v>798</v>
      </c>
      <c r="AA137" s="244">
        <f t="shared" si="62"/>
        <v>838</v>
      </c>
      <c r="AB137" s="244">
        <f t="shared" si="63"/>
        <v>798</v>
      </c>
      <c r="AC137" s="244">
        <f t="shared" si="64"/>
        <v>838</v>
      </c>
      <c r="AD137" s="244">
        <f t="shared" si="65"/>
        <v>2700</v>
      </c>
      <c r="AE137" s="244">
        <f t="shared" si="66"/>
        <v>1862</v>
      </c>
      <c r="AF137" s="245">
        <v>1862</v>
      </c>
      <c r="AG137" s="245">
        <f t="shared" si="50"/>
        <v>100</v>
      </c>
      <c r="AH137" s="245"/>
      <c r="AI137" s="245">
        <f t="shared" ref="AI137:AI154" si="74">AF137+AH137</f>
        <v>1862</v>
      </c>
      <c r="AJ137" s="245">
        <f t="shared" si="71"/>
        <v>2700</v>
      </c>
      <c r="AK137" s="245">
        <f t="shared" si="72"/>
        <v>2700</v>
      </c>
      <c r="AL137" s="245">
        <f t="shared" si="73"/>
        <v>2700</v>
      </c>
      <c r="AM137" s="245">
        <f t="shared" ref="AM137:AM154" si="75">AE137-AI137</f>
        <v>0</v>
      </c>
      <c r="AN137" s="363" t="s">
        <v>667</v>
      </c>
      <c r="AQ137" s="225" t="s">
        <v>515</v>
      </c>
      <c r="AR137" s="225"/>
      <c r="AS137" s="226"/>
      <c r="AT137" s="224" t="s">
        <v>307</v>
      </c>
      <c r="AU137" s="359" t="s">
        <v>581</v>
      </c>
      <c r="AY137" s="226"/>
      <c r="AZ137" s="226"/>
      <c r="BA137" s="226"/>
    </row>
    <row r="138" spans="1:53" s="224" customFormat="1" ht="30" customHeight="1">
      <c r="A138" s="364">
        <v>106</v>
      </c>
      <c r="B138" s="365" t="s">
        <v>739</v>
      </c>
      <c r="C138" s="365"/>
      <c r="D138" s="365"/>
      <c r="E138" s="352" t="s">
        <v>372</v>
      </c>
      <c r="F138" s="366" t="s">
        <v>326</v>
      </c>
      <c r="G138" s="365" t="s">
        <v>382</v>
      </c>
      <c r="H138" s="368">
        <v>2018</v>
      </c>
      <c r="I138" s="368"/>
      <c r="J138" s="368">
        <v>2020</v>
      </c>
      <c r="K138" s="368"/>
      <c r="L138" s="371" t="s">
        <v>740</v>
      </c>
      <c r="M138" s="243" t="s">
        <v>741</v>
      </c>
      <c r="N138" s="352">
        <v>4000</v>
      </c>
      <c r="O138" s="352"/>
      <c r="P138" s="352">
        <v>4000</v>
      </c>
      <c r="Q138" s="352">
        <v>40</v>
      </c>
      <c r="R138" s="352"/>
      <c r="S138" s="352">
        <v>40</v>
      </c>
      <c r="T138" s="352">
        <v>3600</v>
      </c>
      <c r="U138" s="352">
        <f t="shared" si="61"/>
        <v>3560</v>
      </c>
      <c r="V138" s="245">
        <v>1068</v>
      </c>
      <c r="W138" s="245">
        <v>1068</v>
      </c>
      <c r="X138" s="245">
        <v>30</v>
      </c>
      <c r="Y138" s="369"/>
      <c r="Z138" s="245">
        <f t="shared" si="58"/>
        <v>1068</v>
      </c>
      <c r="AA138" s="244">
        <f t="shared" si="62"/>
        <v>1108</v>
      </c>
      <c r="AB138" s="244">
        <f t="shared" si="63"/>
        <v>1068</v>
      </c>
      <c r="AC138" s="244">
        <f t="shared" si="64"/>
        <v>1108</v>
      </c>
      <c r="AD138" s="244">
        <f t="shared" si="65"/>
        <v>3600</v>
      </c>
      <c r="AE138" s="244">
        <f t="shared" si="66"/>
        <v>2492</v>
      </c>
      <c r="AF138" s="245">
        <v>1246</v>
      </c>
      <c r="AG138" s="245">
        <f t="shared" si="50"/>
        <v>50</v>
      </c>
      <c r="AH138" s="245"/>
      <c r="AI138" s="245">
        <f t="shared" si="74"/>
        <v>1246</v>
      </c>
      <c r="AJ138" s="245">
        <f t="shared" si="71"/>
        <v>2354</v>
      </c>
      <c r="AK138" s="245">
        <f t="shared" si="72"/>
        <v>2354</v>
      </c>
      <c r="AL138" s="245">
        <f t="shared" si="73"/>
        <v>3600</v>
      </c>
      <c r="AM138" s="245">
        <f t="shared" si="75"/>
        <v>1246</v>
      </c>
      <c r="AN138" s="363" t="s">
        <v>667</v>
      </c>
      <c r="AQ138" s="225" t="s">
        <v>742</v>
      </c>
      <c r="AR138" s="225"/>
      <c r="AS138" s="226"/>
      <c r="AU138" s="372" t="s">
        <v>743</v>
      </c>
      <c r="AY138" s="226"/>
      <c r="AZ138" s="226"/>
      <c r="BA138" s="226"/>
    </row>
    <row r="139" spans="1:53" s="224" customFormat="1" ht="30" customHeight="1">
      <c r="A139" s="364">
        <v>108</v>
      </c>
      <c r="B139" s="365" t="s">
        <v>744</v>
      </c>
      <c r="C139" s="365"/>
      <c r="D139" s="365"/>
      <c r="E139" s="352" t="s">
        <v>372</v>
      </c>
      <c r="F139" s="366" t="s">
        <v>326</v>
      </c>
      <c r="G139" s="365" t="s">
        <v>341</v>
      </c>
      <c r="H139" s="368">
        <v>2018</v>
      </c>
      <c r="I139" s="368"/>
      <c r="J139" s="368">
        <v>2020</v>
      </c>
      <c r="K139" s="368"/>
      <c r="L139" s="368"/>
      <c r="M139" s="243" t="s">
        <v>745</v>
      </c>
      <c r="N139" s="352">
        <v>3000</v>
      </c>
      <c r="O139" s="352"/>
      <c r="P139" s="352">
        <v>3000</v>
      </c>
      <c r="Q139" s="352">
        <v>40</v>
      </c>
      <c r="R139" s="352"/>
      <c r="S139" s="352">
        <v>40</v>
      </c>
      <c r="T139" s="352">
        <v>2700</v>
      </c>
      <c r="U139" s="352">
        <f t="shared" si="61"/>
        <v>2660</v>
      </c>
      <c r="V139" s="245">
        <v>798</v>
      </c>
      <c r="W139" s="245">
        <v>798</v>
      </c>
      <c r="X139" s="245">
        <v>30</v>
      </c>
      <c r="Y139" s="369"/>
      <c r="Z139" s="245">
        <f t="shared" si="58"/>
        <v>798</v>
      </c>
      <c r="AA139" s="244">
        <f t="shared" si="62"/>
        <v>838</v>
      </c>
      <c r="AB139" s="244">
        <f t="shared" si="63"/>
        <v>798</v>
      </c>
      <c r="AC139" s="244">
        <f t="shared" si="64"/>
        <v>838</v>
      </c>
      <c r="AD139" s="244">
        <f t="shared" si="65"/>
        <v>2700</v>
      </c>
      <c r="AE139" s="244">
        <f t="shared" si="66"/>
        <v>1862</v>
      </c>
      <c r="AF139" s="245">
        <v>1862</v>
      </c>
      <c r="AG139" s="245">
        <f t="shared" si="50"/>
        <v>100</v>
      </c>
      <c r="AH139" s="245"/>
      <c r="AI139" s="245">
        <f t="shared" si="74"/>
        <v>1862</v>
      </c>
      <c r="AJ139" s="245">
        <f t="shared" si="71"/>
        <v>2700</v>
      </c>
      <c r="AK139" s="245">
        <f t="shared" si="72"/>
        <v>2700</v>
      </c>
      <c r="AL139" s="245">
        <f t="shared" si="73"/>
        <v>2700</v>
      </c>
      <c r="AM139" s="245">
        <f t="shared" si="75"/>
        <v>0</v>
      </c>
      <c r="AN139" s="363" t="s">
        <v>667</v>
      </c>
      <c r="AQ139" s="225" t="s">
        <v>746</v>
      </c>
      <c r="AR139" s="225"/>
      <c r="AS139" s="226"/>
      <c r="AT139" s="224" t="s">
        <v>307</v>
      </c>
      <c r="AU139" s="359" t="s">
        <v>747</v>
      </c>
      <c r="AY139" s="226"/>
      <c r="AZ139" s="226"/>
      <c r="BA139" s="226"/>
    </row>
    <row r="140" spans="1:53" s="256" customFormat="1" ht="30" customHeight="1">
      <c r="A140" s="248">
        <v>109</v>
      </c>
      <c r="B140" s="336" t="s">
        <v>748</v>
      </c>
      <c r="C140" s="336"/>
      <c r="D140" s="336"/>
      <c r="E140" s="337" t="s">
        <v>372</v>
      </c>
      <c r="F140" s="251" t="s">
        <v>326</v>
      </c>
      <c r="G140" s="338" t="s">
        <v>382</v>
      </c>
      <c r="H140" s="253">
        <v>2018</v>
      </c>
      <c r="I140" s="253"/>
      <c r="J140" s="253">
        <v>2020</v>
      </c>
      <c r="K140" s="253"/>
      <c r="L140" s="361" t="s">
        <v>749</v>
      </c>
      <c r="M140" s="271" t="s">
        <v>750</v>
      </c>
      <c r="N140" s="337">
        <v>4169</v>
      </c>
      <c r="O140" s="337"/>
      <c r="P140" s="337">
        <v>4169</v>
      </c>
      <c r="Q140" s="337">
        <v>40</v>
      </c>
      <c r="R140" s="337"/>
      <c r="S140" s="337">
        <v>40</v>
      </c>
      <c r="T140" s="337">
        <v>3780</v>
      </c>
      <c r="U140" s="337">
        <f>T140-Q140</f>
        <v>3740</v>
      </c>
      <c r="V140" s="245">
        <v>1122</v>
      </c>
      <c r="W140" s="245">
        <v>1122</v>
      </c>
      <c r="X140" s="245">
        <v>30</v>
      </c>
      <c r="Y140" s="341"/>
      <c r="Z140" s="245">
        <f t="shared" si="58"/>
        <v>1122</v>
      </c>
      <c r="AA140" s="244">
        <f t="shared" si="62"/>
        <v>1162</v>
      </c>
      <c r="AB140" s="244">
        <f t="shared" si="63"/>
        <v>1122</v>
      </c>
      <c r="AC140" s="244">
        <f t="shared" si="64"/>
        <v>1162</v>
      </c>
      <c r="AD140" s="244">
        <f t="shared" si="65"/>
        <v>3780</v>
      </c>
      <c r="AE140" s="244">
        <f t="shared" si="66"/>
        <v>2618</v>
      </c>
      <c r="AF140" s="245">
        <v>1309</v>
      </c>
      <c r="AG140" s="245">
        <f t="shared" si="50"/>
        <v>50</v>
      </c>
      <c r="AH140" s="245"/>
      <c r="AI140" s="245">
        <f t="shared" si="74"/>
        <v>1309</v>
      </c>
      <c r="AJ140" s="245">
        <f t="shared" si="71"/>
        <v>2471</v>
      </c>
      <c r="AK140" s="245">
        <f t="shared" si="72"/>
        <v>2471</v>
      </c>
      <c r="AL140" s="245">
        <f t="shared" si="73"/>
        <v>3780</v>
      </c>
      <c r="AM140" s="245">
        <f t="shared" si="75"/>
        <v>1309</v>
      </c>
      <c r="AN140" s="379"/>
      <c r="AQ140" s="257" t="s">
        <v>595</v>
      </c>
      <c r="AR140" s="257"/>
      <c r="AS140" s="258"/>
      <c r="AT140" s="224"/>
      <c r="AU140" s="372" t="s">
        <v>596</v>
      </c>
      <c r="AY140" s="258"/>
      <c r="AZ140" s="258"/>
      <c r="BA140" s="258"/>
    </row>
    <row r="141" spans="1:53" ht="30" customHeight="1">
      <c r="A141" s="248">
        <v>110</v>
      </c>
      <c r="B141" s="336" t="s">
        <v>751</v>
      </c>
      <c r="C141" s="336"/>
      <c r="D141" s="336"/>
      <c r="E141" s="337" t="s">
        <v>372</v>
      </c>
      <c r="F141" s="251" t="s">
        <v>326</v>
      </c>
      <c r="G141" s="351" t="s">
        <v>435</v>
      </c>
      <c r="H141" s="253">
        <v>2018</v>
      </c>
      <c r="I141" s="253"/>
      <c r="J141" s="253">
        <v>2020</v>
      </c>
      <c r="K141" s="253"/>
      <c r="L141" s="361" t="s">
        <v>752</v>
      </c>
      <c r="M141" s="271" t="s">
        <v>753</v>
      </c>
      <c r="N141" s="337">
        <v>4500</v>
      </c>
      <c r="O141" s="337"/>
      <c r="P141" s="337">
        <v>4500</v>
      </c>
      <c r="Q141" s="337">
        <v>0</v>
      </c>
      <c r="R141" s="337"/>
      <c r="S141" s="337">
        <v>0</v>
      </c>
      <c r="T141" s="337">
        <v>4050</v>
      </c>
      <c r="U141" s="337">
        <f t="shared" si="61"/>
        <v>4050</v>
      </c>
      <c r="V141" s="245">
        <v>1215</v>
      </c>
      <c r="W141" s="245">
        <v>1215</v>
      </c>
      <c r="X141" s="245">
        <v>30</v>
      </c>
      <c r="Y141" s="341"/>
      <c r="Z141" s="245">
        <f t="shared" si="58"/>
        <v>1215</v>
      </c>
      <c r="AA141" s="244">
        <f t="shared" si="62"/>
        <v>1215</v>
      </c>
      <c r="AB141" s="244">
        <f t="shared" si="63"/>
        <v>1215</v>
      </c>
      <c r="AC141" s="244">
        <f t="shared" si="64"/>
        <v>1215</v>
      </c>
      <c r="AD141" s="244">
        <f t="shared" si="65"/>
        <v>4050</v>
      </c>
      <c r="AE141" s="244">
        <f t="shared" si="66"/>
        <v>2835</v>
      </c>
      <c r="AF141" s="245">
        <v>1417.5</v>
      </c>
      <c r="AG141" s="245">
        <f t="shared" si="50"/>
        <v>50</v>
      </c>
      <c r="AH141" s="245"/>
      <c r="AI141" s="245">
        <f t="shared" si="74"/>
        <v>1417.5</v>
      </c>
      <c r="AJ141" s="245">
        <f t="shared" si="71"/>
        <v>2632.5</v>
      </c>
      <c r="AK141" s="245">
        <f t="shared" si="72"/>
        <v>2632.5</v>
      </c>
      <c r="AL141" s="245">
        <f t="shared" si="73"/>
        <v>4050</v>
      </c>
      <c r="AM141" s="245">
        <f t="shared" si="75"/>
        <v>1417.5</v>
      </c>
      <c r="AN141" s="379"/>
      <c r="AQ141" s="215" t="s">
        <v>754</v>
      </c>
      <c r="AR141" s="215"/>
      <c r="AS141" s="226" t="s">
        <v>572</v>
      </c>
      <c r="AT141" s="224" t="s">
        <v>307</v>
      </c>
      <c r="AU141" s="359" t="s">
        <v>755</v>
      </c>
      <c r="AY141" s="216"/>
      <c r="AZ141" s="216"/>
      <c r="BA141" s="216"/>
    </row>
    <row r="142" spans="1:53" s="224" customFormat="1" ht="30" customHeight="1">
      <c r="A142" s="364">
        <v>111</v>
      </c>
      <c r="B142" s="367" t="s">
        <v>756</v>
      </c>
      <c r="C142" s="367"/>
      <c r="D142" s="367"/>
      <c r="E142" s="352" t="s">
        <v>372</v>
      </c>
      <c r="F142" s="366" t="s">
        <v>326</v>
      </c>
      <c r="G142" s="370" t="s">
        <v>378</v>
      </c>
      <c r="H142" s="368">
        <v>2018</v>
      </c>
      <c r="I142" s="368"/>
      <c r="J142" s="368">
        <v>2020</v>
      </c>
      <c r="K142" s="368"/>
      <c r="L142" s="371" t="s">
        <v>757</v>
      </c>
      <c r="M142" s="243" t="s">
        <v>758</v>
      </c>
      <c r="N142" s="352">
        <v>3200</v>
      </c>
      <c r="O142" s="352"/>
      <c r="P142" s="352">
        <v>3200</v>
      </c>
      <c r="Q142" s="352">
        <v>40</v>
      </c>
      <c r="R142" s="352"/>
      <c r="S142" s="352">
        <v>40</v>
      </c>
      <c r="T142" s="352">
        <v>2880</v>
      </c>
      <c r="U142" s="352">
        <f t="shared" si="61"/>
        <v>2840</v>
      </c>
      <c r="V142" s="245">
        <v>852</v>
      </c>
      <c r="W142" s="245">
        <v>852</v>
      </c>
      <c r="X142" s="245">
        <v>30</v>
      </c>
      <c r="Y142" s="369"/>
      <c r="Z142" s="245">
        <f t="shared" si="58"/>
        <v>852</v>
      </c>
      <c r="AA142" s="244">
        <f t="shared" si="62"/>
        <v>892</v>
      </c>
      <c r="AB142" s="244">
        <f t="shared" si="63"/>
        <v>852</v>
      </c>
      <c r="AC142" s="244">
        <f t="shared" si="64"/>
        <v>892</v>
      </c>
      <c r="AD142" s="244">
        <f t="shared" si="65"/>
        <v>2880</v>
      </c>
      <c r="AE142" s="244">
        <f t="shared" si="66"/>
        <v>1988</v>
      </c>
      <c r="AF142" s="245">
        <v>1988</v>
      </c>
      <c r="AG142" s="245">
        <f t="shared" si="50"/>
        <v>100</v>
      </c>
      <c r="AH142" s="245"/>
      <c r="AI142" s="245">
        <f t="shared" si="74"/>
        <v>1988</v>
      </c>
      <c r="AJ142" s="245">
        <f t="shared" si="71"/>
        <v>2880</v>
      </c>
      <c r="AK142" s="245">
        <f t="shared" si="72"/>
        <v>2880</v>
      </c>
      <c r="AL142" s="245">
        <f t="shared" si="73"/>
        <v>2880</v>
      </c>
      <c r="AM142" s="245">
        <f t="shared" si="75"/>
        <v>0</v>
      </c>
      <c r="AN142" s="363" t="s">
        <v>667</v>
      </c>
      <c r="AQ142" s="225" t="s">
        <v>759</v>
      </c>
      <c r="AR142" s="225"/>
      <c r="AS142" s="226"/>
      <c r="AT142" s="224" t="s">
        <v>307</v>
      </c>
      <c r="AU142" s="359" t="s">
        <v>760</v>
      </c>
      <c r="AY142" s="226"/>
      <c r="AZ142" s="226"/>
      <c r="BA142" s="226"/>
    </row>
    <row r="143" spans="1:53" ht="30" customHeight="1">
      <c r="A143" s="248">
        <v>112</v>
      </c>
      <c r="B143" s="336" t="s">
        <v>761</v>
      </c>
      <c r="C143" s="336"/>
      <c r="D143" s="336"/>
      <c r="E143" s="337" t="s">
        <v>372</v>
      </c>
      <c r="F143" s="251" t="s">
        <v>326</v>
      </c>
      <c r="G143" s="249" t="s">
        <v>395</v>
      </c>
      <c r="H143" s="253">
        <v>2018</v>
      </c>
      <c r="I143" s="253"/>
      <c r="J143" s="253">
        <v>2020</v>
      </c>
      <c r="K143" s="253"/>
      <c r="L143" s="253"/>
      <c r="M143" s="271" t="s">
        <v>762</v>
      </c>
      <c r="N143" s="337">
        <v>4800</v>
      </c>
      <c r="O143" s="337"/>
      <c r="P143" s="337">
        <v>4800</v>
      </c>
      <c r="Q143" s="337">
        <v>0</v>
      </c>
      <c r="R143" s="337"/>
      <c r="S143" s="337">
        <v>0</v>
      </c>
      <c r="T143" s="337">
        <v>4320</v>
      </c>
      <c r="U143" s="337">
        <f t="shared" si="61"/>
        <v>4320</v>
      </c>
      <c r="V143" s="245">
        <v>1296</v>
      </c>
      <c r="W143" s="245">
        <v>1296</v>
      </c>
      <c r="X143" s="245">
        <v>30</v>
      </c>
      <c r="Y143" s="341"/>
      <c r="Z143" s="245">
        <f t="shared" si="58"/>
        <v>1296</v>
      </c>
      <c r="AA143" s="244">
        <f t="shared" si="62"/>
        <v>1296</v>
      </c>
      <c r="AB143" s="244">
        <f t="shared" si="63"/>
        <v>1296</v>
      </c>
      <c r="AC143" s="244">
        <f t="shared" si="64"/>
        <v>1296</v>
      </c>
      <c r="AD143" s="244">
        <f t="shared" si="65"/>
        <v>4320</v>
      </c>
      <c r="AE143" s="244">
        <f t="shared" si="66"/>
        <v>3024</v>
      </c>
      <c r="AF143" s="245">
        <v>1512</v>
      </c>
      <c r="AG143" s="245">
        <f t="shared" ref="AG143:AG154" si="76">AF143/AE143*100</f>
        <v>50</v>
      </c>
      <c r="AH143" s="245">
        <v>959</v>
      </c>
      <c r="AI143" s="245">
        <f t="shared" si="74"/>
        <v>2471</v>
      </c>
      <c r="AJ143" s="245">
        <f t="shared" si="71"/>
        <v>3767</v>
      </c>
      <c r="AK143" s="245">
        <f t="shared" si="72"/>
        <v>3767</v>
      </c>
      <c r="AL143" s="245">
        <f t="shared" si="73"/>
        <v>4320</v>
      </c>
      <c r="AM143" s="245">
        <f t="shared" si="75"/>
        <v>553</v>
      </c>
      <c r="AN143" s="379"/>
      <c r="AQ143" s="215" t="s">
        <v>660</v>
      </c>
      <c r="AR143" s="215"/>
      <c r="AS143" s="216"/>
      <c r="AT143" s="224" t="s">
        <v>307</v>
      </c>
      <c r="AU143" s="372" t="s">
        <v>763</v>
      </c>
      <c r="AY143" s="216"/>
      <c r="AZ143" s="216"/>
      <c r="BA143" s="216"/>
    </row>
    <row r="144" spans="1:53" s="224" customFormat="1" ht="30" customHeight="1">
      <c r="A144" s="364">
        <v>113</v>
      </c>
      <c r="B144" s="367" t="s">
        <v>764</v>
      </c>
      <c r="C144" s="367"/>
      <c r="D144" s="367"/>
      <c r="E144" s="352" t="s">
        <v>372</v>
      </c>
      <c r="F144" s="366" t="s">
        <v>326</v>
      </c>
      <c r="G144" s="375" t="s">
        <v>382</v>
      </c>
      <c r="H144" s="368">
        <v>2018</v>
      </c>
      <c r="I144" s="368"/>
      <c r="J144" s="368">
        <v>2020</v>
      </c>
      <c r="K144" s="368"/>
      <c r="L144" s="371" t="s">
        <v>765</v>
      </c>
      <c r="M144" s="243" t="s">
        <v>766</v>
      </c>
      <c r="N144" s="352">
        <v>2981</v>
      </c>
      <c r="O144" s="352"/>
      <c r="P144" s="352">
        <v>2981</v>
      </c>
      <c r="Q144" s="352">
        <v>40</v>
      </c>
      <c r="R144" s="352"/>
      <c r="S144" s="352">
        <v>40</v>
      </c>
      <c r="T144" s="352">
        <v>2700</v>
      </c>
      <c r="U144" s="352">
        <f t="shared" si="61"/>
        <v>2660</v>
      </c>
      <c r="V144" s="245">
        <v>798</v>
      </c>
      <c r="W144" s="245">
        <v>798</v>
      </c>
      <c r="X144" s="245">
        <v>30</v>
      </c>
      <c r="Y144" s="369"/>
      <c r="Z144" s="245">
        <f t="shared" si="58"/>
        <v>798</v>
      </c>
      <c r="AA144" s="244">
        <f t="shared" si="62"/>
        <v>838</v>
      </c>
      <c r="AB144" s="244">
        <f t="shared" si="63"/>
        <v>798</v>
      </c>
      <c r="AC144" s="244">
        <f t="shared" si="64"/>
        <v>838</v>
      </c>
      <c r="AD144" s="244">
        <f t="shared" si="65"/>
        <v>2700</v>
      </c>
      <c r="AE144" s="244">
        <f t="shared" si="66"/>
        <v>1862</v>
      </c>
      <c r="AF144" s="245">
        <v>1862</v>
      </c>
      <c r="AG144" s="245">
        <f t="shared" si="76"/>
        <v>100</v>
      </c>
      <c r="AH144" s="245"/>
      <c r="AI144" s="245">
        <f t="shared" si="74"/>
        <v>1862</v>
      </c>
      <c r="AJ144" s="245">
        <f t="shared" si="71"/>
        <v>2700</v>
      </c>
      <c r="AK144" s="245">
        <f t="shared" si="72"/>
        <v>2700</v>
      </c>
      <c r="AL144" s="245">
        <f t="shared" si="73"/>
        <v>2700</v>
      </c>
      <c r="AM144" s="245">
        <f t="shared" si="75"/>
        <v>0</v>
      </c>
      <c r="AN144" s="363" t="s">
        <v>667</v>
      </c>
      <c r="AQ144" s="225" t="s">
        <v>767</v>
      </c>
      <c r="AR144" s="225"/>
      <c r="AS144" s="226"/>
      <c r="AT144" s="224" t="s">
        <v>307</v>
      </c>
      <c r="AU144" s="359" t="s">
        <v>768</v>
      </c>
      <c r="AY144" s="226"/>
      <c r="AZ144" s="226"/>
      <c r="BA144" s="226"/>
    </row>
    <row r="145" spans="1:53" ht="30" customHeight="1">
      <c r="A145" s="248">
        <v>114</v>
      </c>
      <c r="B145" s="336" t="s">
        <v>769</v>
      </c>
      <c r="C145" s="336"/>
      <c r="D145" s="336"/>
      <c r="E145" s="337" t="s">
        <v>770</v>
      </c>
      <c r="F145" s="251" t="s">
        <v>326</v>
      </c>
      <c r="G145" s="351" t="s">
        <v>435</v>
      </c>
      <c r="H145" s="253">
        <v>2018</v>
      </c>
      <c r="I145" s="253"/>
      <c r="J145" s="253">
        <v>2020</v>
      </c>
      <c r="K145" s="253"/>
      <c r="L145" s="361" t="s">
        <v>771</v>
      </c>
      <c r="M145" s="271" t="s">
        <v>772</v>
      </c>
      <c r="N145" s="337">
        <v>3000</v>
      </c>
      <c r="O145" s="337"/>
      <c r="P145" s="337">
        <v>3000</v>
      </c>
      <c r="Q145" s="337">
        <v>0</v>
      </c>
      <c r="R145" s="337"/>
      <c r="S145" s="337">
        <v>0</v>
      </c>
      <c r="T145" s="337">
        <v>2700</v>
      </c>
      <c r="U145" s="337">
        <f t="shared" si="61"/>
        <v>2700</v>
      </c>
      <c r="V145" s="245">
        <v>810</v>
      </c>
      <c r="W145" s="245">
        <v>810</v>
      </c>
      <c r="X145" s="245">
        <v>30</v>
      </c>
      <c r="Y145" s="341"/>
      <c r="Z145" s="245">
        <f t="shared" si="58"/>
        <v>810</v>
      </c>
      <c r="AA145" s="244">
        <f t="shared" si="62"/>
        <v>810</v>
      </c>
      <c r="AB145" s="244">
        <f t="shared" si="63"/>
        <v>810</v>
      </c>
      <c r="AC145" s="244">
        <f t="shared" si="64"/>
        <v>810</v>
      </c>
      <c r="AD145" s="244">
        <f t="shared" si="65"/>
        <v>2700</v>
      </c>
      <c r="AE145" s="244">
        <f t="shared" si="66"/>
        <v>1890</v>
      </c>
      <c r="AF145" s="245">
        <v>1890</v>
      </c>
      <c r="AG145" s="245">
        <f t="shared" si="76"/>
        <v>100</v>
      </c>
      <c r="AH145" s="245"/>
      <c r="AI145" s="245">
        <f t="shared" si="74"/>
        <v>1890</v>
      </c>
      <c r="AJ145" s="245">
        <f t="shared" si="71"/>
        <v>2700</v>
      </c>
      <c r="AK145" s="245">
        <f t="shared" si="72"/>
        <v>2700</v>
      </c>
      <c r="AL145" s="245">
        <f t="shared" si="73"/>
        <v>2700</v>
      </c>
      <c r="AM145" s="245">
        <f t="shared" si="75"/>
        <v>0</v>
      </c>
      <c r="AN145" s="379"/>
      <c r="AQ145" s="215" t="s">
        <v>773</v>
      </c>
      <c r="AR145" s="215"/>
      <c r="AS145" s="216" t="s">
        <v>496</v>
      </c>
      <c r="AT145" s="224" t="s">
        <v>307</v>
      </c>
      <c r="AU145" s="359" t="s">
        <v>774</v>
      </c>
      <c r="AY145" s="216"/>
      <c r="AZ145" s="216"/>
      <c r="BA145" s="216"/>
    </row>
    <row r="146" spans="1:53" ht="30" customHeight="1">
      <c r="A146" s="248">
        <v>115</v>
      </c>
      <c r="B146" s="336" t="s">
        <v>775</v>
      </c>
      <c r="C146" s="336"/>
      <c r="D146" s="336"/>
      <c r="E146" s="337" t="s">
        <v>372</v>
      </c>
      <c r="F146" s="251" t="s">
        <v>326</v>
      </c>
      <c r="G146" s="249" t="s">
        <v>395</v>
      </c>
      <c r="H146" s="253">
        <v>2018</v>
      </c>
      <c r="I146" s="253"/>
      <c r="J146" s="253">
        <v>2020</v>
      </c>
      <c r="K146" s="253"/>
      <c r="L146" s="361" t="s">
        <v>776</v>
      </c>
      <c r="M146" s="271" t="s">
        <v>777</v>
      </c>
      <c r="N146" s="337">
        <v>3200</v>
      </c>
      <c r="O146" s="337"/>
      <c r="P146" s="337">
        <v>3200</v>
      </c>
      <c r="Q146" s="337">
        <v>0</v>
      </c>
      <c r="R146" s="337"/>
      <c r="S146" s="337">
        <v>0</v>
      </c>
      <c r="T146" s="337">
        <v>2880</v>
      </c>
      <c r="U146" s="337">
        <f t="shared" si="61"/>
        <v>2880</v>
      </c>
      <c r="V146" s="245">
        <v>864</v>
      </c>
      <c r="W146" s="245">
        <v>864</v>
      </c>
      <c r="X146" s="245">
        <v>30</v>
      </c>
      <c r="Y146" s="341"/>
      <c r="Z146" s="245">
        <f t="shared" si="58"/>
        <v>864</v>
      </c>
      <c r="AA146" s="244">
        <f t="shared" si="62"/>
        <v>864</v>
      </c>
      <c r="AB146" s="244">
        <f t="shared" si="63"/>
        <v>864</v>
      </c>
      <c r="AC146" s="244">
        <f t="shared" si="64"/>
        <v>864</v>
      </c>
      <c r="AD146" s="244">
        <f t="shared" si="65"/>
        <v>2880</v>
      </c>
      <c r="AE146" s="244">
        <f t="shared" si="66"/>
        <v>2016</v>
      </c>
      <c r="AF146" s="245">
        <v>1008</v>
      </c>
      <c r="AG146" s="245">
        <f t="shared" si="76"/>
        <v>50</v>
      </c>
      <c r="AH146" s="245"/>
      <c r="AI146" s="245">
        <f t="shared" si="74"/>
        <v>1008</v>
      </c>
      <c r="AJ146" s="245">
        <f t="shared" si="71"/>
        <v>1872</v>
      </c>
      <c r="AK146" s="245">
        <f t="shared" si="72"/>
        <v>1872</v>
      </c>
      <c r="AL146" s="245">
        <f t="shared" si="73"/>
        <v>2880</v>
      </c>
      <c r="AM146" s="245">
        <f t="shared" si="75"/>
        <v>1008</v>
      </c>
      <c r="AN146" s="379"/>
      <c r="AQ146" s="215" t="s">
        <v>778</v>
      </c>
      <c r="AR146" s="215"/>
      <c r="AS146" s="216"/>
      <c r="AT146" s="224" t="s">
        <v>307</v>
      </c>
      <c r="AU146" s="359" t="s">
        <v>779</v>
      </c>
      <c r="AY146" s="216"/>
      <c r="AZ146" s="216"/>
      <c r="BA146" s="216"/>
    </row>
    <row r="147" spans="1:53" s="224" customFormat="1" ht="30" customHeight="1">
      <c r="A147" s="364">
        <v>116</v>
      </c>
      <c r="B147" s="365" t="s">
        <v>780</v>
      </c>
      <c r="C147" s="365"/>
      <c r="D147" s="365"/>
      <c r="E147" s="352" t="s">
        <v>372</v>
      </c>
      <c r="F147" s="366" t="s">
        <v>326</v>
      </c>
      <c r="G147" s="365" t="s">
        <v>382</v>
      </c>
      <c r="H147" s="368">
        <v>2018</v>
      </c>
      <c r="I147" s="368"/>
      <c r="J147" s="368">
        <v>2020</v>
      </c>
      <c r="K147" s="368"/>
      <c r="L147" s="371" t="s">
        <v>781</v>
      </c>
      <c r="M147" s="243" t="s">
        <v>782</v>
      </c>
      <c r="N147" s="352">
        <v>5000</v>
      </c>
      <c r="O147" s="352"/>
      <c r="P147" s="352">
        <v>5000</v>
      </c>
      <c r="Q147" s="352">
        <v>60</v>
      </c>
      <c r="R147" s="352"/>
      <c r="S147" s="352">
        <v>60</v>
      </c>
      <c r="T147" s="352">
        <v>4500</v>
      </c>
      <c r="U147" s="352">
        <f t="shared" si="61"/>
        <v>4440</v>
      </c>
      <c r="V147" s="245">
        <v>1332</v>
      </c>
      <c r="W147" s="245">
        <v>1332</v>
      </c>
      <c r="X147" s="245">
        <v>30</v>
      </c>
      <c r="Y147" s="369"/>
      <c r="Z147" s="245">
        <f t="shared" si="58"/>
        <v>1332</v>
      </c>
      <c r="AA147" s="244">
        <f t="shared" si="62"/>
        <v>1392</v>
      </c>
      <c r="AB147" s="244">
        <f t="shared" si="63"/>
        <v>1332</v>
      </c>
      <c r="AC147" s="244">
        <f t="shared" si="64"/>
        <v>1392</v>
      </c>
      <c r="AD147" s="244">
        <f t="shared" si="65"/>
        <v>4500</v>
      </c>
      <c r="AE147" s="244">
        <f t="shared" si="66"/>
        <v>3108</v>
      </c>
      <c r="AF147" s="245">
        <v>1554</v>
      </c>
      <c r="AG147" s="245">
        <f t="shared" si="76"/>
        <v>50</v>
      </c>
      <c r="AH147" s="245"/>
      <c r="AI147" s="245">
        <f t="shared" si="74"/>
        <v>1554</v>
      </c>
      <c r="AJ147" s="245">
        <f t="shared" si="71"/>
        <v>2946</v>
      </c>
      <c r="AK147" s="245">
        <f t="shared" si="72"/>
        <v>2946</v>
      </c>
      <c r="AL147" s="245">
        <f t="shared" si="73"/>
        <v>4500</v>
      </c>
      <c r="AM147" s="245">
        <f t="shared" si="75"/>
        <v>1554</v>
      </c>
      <c r="AN147" s="363" t="s">
        <v>667</v>
      </c>
      <c r="AQ147" s="225" t="s">
        <v>783</v>
      </c>
      <c r="AR147" s="225"/>
      <c r="AS147" s="226"/>
      <c r="AT147" s="224" t="s">
        <v>307</v>
      </c>
      <c r="AU147" s="372" t="s">
        <v>784</v>
      </c>
      <c r="AY147" s="226"/>
      <c r="AZ147" s="226"/>
      <c r="BA147" s="226"/>
    </row>
    <row r="148" spans="1:53" s="224" customFormat="1" ht="30" customHeight="1">
      <c r="A148" s="364">
        <v>117</v>
      </c>
      <c r="B148" s="367" t="s">
        <v>785</v>
      </c>
      <c r="C148" s="367"/>
      <c r="D148" s="367"/>
      <c r="E148" s="352" t="s">
        <v>372</v>
      </c>
      <c r="F148" s="366" t="s">
        <v>326</v>
      </c>
      <c r="G148" s="365" t="s">
        <v>382</v>
      </c>
      <c r="H148" s="368">
        <v>2018</v>
      </c>
      <c r="I148" s="368"/>
      <c r="J148" s="368">
        <v>2020</v>
      </c>
      <c r="K148" s="368"/>
      <c r="L148" s="371" t="s">
        <v>786</v>
      </c>
      <c r="M148" s="243" t="s">
        <v>787</v>
      </c>
      <c r="N148" s="352">
        <v>2979</v>
      </c>
      <c r="O148" s="352"/>
      <c r="P148" s="352">
        <v>2979</v>
      </c>
      <c r="Q148" s="352">
        <v>40</v>
      </c>
      <c r="R148" s="352"/>
      <c r="S148" s="352">
        <v>40</v>
      </c>
      <c r="T148" s="352">
        <v>2700</v>
      </c>
      <c r="U148" s="352">
        <f t="shared" si="61"/>
        <v>2660</v>
      </c>
      <c r="V148" s="245">
        <v>798</v>
      </c>
      <c r="W148" s="245">
        <v>798</v>
      </c>
      <c r="X148" s="245">
        <v>30</v>
      </c>
      <c r="Y148" s="369"/>
      <c r="Z148" s="245">
        <f t="shared" si="58"/>
        <v>798</v>
      </c>
      <c r="AA148" s="244">
        <f t="shared" si="62"/>
        <v>838</v>
      </c>
      <c r="AB148" s="244">
        <f t="shared" si="63"/>
        <v>798</v>
      </c>
      <c r="AC148" s="244">
        <f t="shared" si="64"/>
        <v>838</v>
      </c>
      <c r="AD148" s="244">
        <f t="shared" si="65"/>
        <v>2700</v>
      </c>
      <c r="AE148" s="244">
        <f t="shared" si="66"/>
        <v>1862</v>
      </c>
      <c r="AF148" s="245">
        <v>1862</v>
      </c>
      <c r="AG148" s="245">
        <f t="shared" si="76"/>
        <v>100</v>
      </c>
      <c r="AH148" s="245"/>
      <c r="AI148" s="245">
        <f t="shared" si="74"/>
        <v>1862</v>
      </c>
      <c r="AJ148" s="245">
        <f t="shared" si="71"/>
        <v>2700</v>
      </c>
      <c r="AK148" s="245">
        <f t="shared" si="72"/>
        <v>2700</v>
      </c>
      <c r="AL148" s="245">
        <f t="shared" si="73"/>
        <v>2700</v>
      </c>
      <c r="AM148" s="245">
        <f t="shared" si="75"/>
        <v>0</v>
      </c>
      <c r="AN148" s="363" t="s">
        <v>667</v>
      </c>
      <c r="AQ148" s="225" t="s">
        <v>788</v>
      </c>
      <c r="AR148" s="225"/>
      <c r="AS148" s="226"/>
      <c r="AU148" s="372" t="s">
        <v>789</v>
      </c>
      <c r="AY148" s="226"/>
      <c r="AZ148" s="226"/>
      <c r="BA148" s="226"/>
    </row>
    <row r="149" spans="1:53" ht="30" customHeight="1">
      <c r="A149" s="248">
        <v>118</v>
      </c>
      <c r="B149" s="338" t="s">
        <v>790</v>
      </c>
      <c r="C149" s="338"/>
      <c r="D149" s="338"/>
      <c r="E149" s="337" t="s">
        <v>372</v>
      </c>
      <c r="F149" s="251" t="s">
        <v>326</v>
      </c>
      <c r="G149" s="249" t="s">
        <v>395</v>
      </c>
      <c r="H149" s="253">
        <v>2018</v>
      </c>
      <c r="I149" s="253"/>
      <c r="J149" s="253">
        <v>2020</v>
      </c>
      <c r="K149" s="253"/>
      <c r="L149" s="253"/>
      <c r="M149" s="271" t="s">
        <v>791</v>
      </c>
      <c r="N149" s="337">
        <v>26142</v>
      </c>
      <c r="O149" s="337"/>
      <c r="P149" s="337">
        <v>10000</v>
      </c>
      <c r="Q149" s="337">
        <v>0</v>
      </c>
      <c r="R149" s="337"/>
      <c r="S149" s="337">
        <v>0</v>
      </c>
      <c r="T149" s="337">
        <v>10000</v>
      </c>
      <c r="U149" s="337">
        <f t="shared" si="61"/>
        <v>10000</v>
      </c>
      <c r="V149" s="245">
        <v>3000</v>
      </c>
      <c r="W149" s="245">
        <v>3000</v>
      </c>
      <c r="X149" s="245">
        <v>30</v>
      </c>
      <c r="Y149" s="341"/>
      <c r="Z149" s="245">
        <f t="shared" si="58"/>
        <v>3000</v>
      </c>
      <c r="AA149" s="244">
        <f t="shared" si="62"/>
        <v>3000</v>
      </c>
      <c r="AB149" s="244">
        <f t="shared" si="63"/>
        <v>3000</v>
      </c>
      <c r="AC149" s="244">
        <f t="shared" si="64"/>
        <v>3000</v>
      </c>
      <c r="AD149" s="244">
        <f t="shared" si="65"/>
        <v>10000</v>
      </c>
      <c r="AE149" s="244">
        <f t="shared" si="66"/>
        <v>7000</v>
      </c>
      <c r="AF149" s="245">
        <v>3500</v>
      </c>
      <c r="AG149" s="245">
        <f t="shared" si="76"/>
        <v>50</v>
      </c>
      <c r="AH149" s="245"/>
      <c r="AI149" s="245">
        <f t="shared" si="74"/>
        <v>3500</v>
      </c>
      <c r="AJ149" s="245">
        <f t="shared" si="71"/>
        <v>6500</v>
      </c>
      <c r="AK149" s="245">
        <f t="shared" si="72"/>
        <v>6500</v>
      </c>
      <c r="AL149" s="245">
        <f t="shared" si="73"/>
        <v>10000</v>
      </c>
      <c r="AM149" s="245">
        <f t="shared" si="75"/>
        <v>3500</v>
      </c>
      <c r="AN149" s="379"/>
      <c r="AQ149" s="380" t="s">
        <v>792</v>
      </c>
      <c r="AR149" s="215"/>
      <c r="AS149" s="216"/>
      <c r="AT149" s="224"/>
      <c r="AU149" s="359" t="s">
        <v>793</v>
      </c>
      <c r="AY149" s="216"/>
      <c r="AZ149" s="216"/>
      <c r="BA149" s="216"/>
    </row>
    <row r="150" spans="1:53" ht="30" customHeight="1">
      <c r="A150" s="248">
        <v>119</v>
      </c>
      <c r="B150" s="338" t="s">
        <v>794</v>
      </c>
      <c r="C150" s="350"/>
      <c r="D150" s="350"/>
      <c r="E150" s="337" t="s">
        <v>372</v>
      </c>
      <c r="F150" s="251" t="s">
        <v>326</v>
      </c>
      <c r="G150" s="249" t="s">
        <v>395</v>
      </c>
      <c r="H150" s="253">
        <v>2018</v>
      </c>
      <c r="I150" s="253"/>
      <c r="J150" s="253">
        <v>2020</v>
      </c>
      <c r="K150" s="350"/>
      <c r="L150" s="350"/>
      <c r="M150" s="271" t="s">
        <v>795</v>
      </c>
      <c r="N150" s="337">
        <v>4000</v>
      </c>
      <c r="O150" s="337"/>
      <c r="P150" s="337">
        <v>4000</v>
      </c>
      <c r="Q150" s="337"/>
      <c r="R150" s="337"/>
      <c r="S150" s="337"/>
      <c r="T150" s="337">
        <v>3600</v>
      </c>
      <c r="U150" s="337">
        <f t="shared" si="61"/>
        <v>3600</v>
      </c>
      <c r="V150" s="245">
        <v>1080</v>
      </c>
      <c r="W150" s="245">
        <v>1080</v>
      </c>
      <c r="X150" s="245">
        <v>30</v>
      </c>
      <c r="Y150" s="341"/>
      <c r="Z150" s="245">
        <f t="shared" si="58"/>
        <v>1080</v>
      </c>
      <c r="AA150" s="244">
        <f t="shared" si="62"/>
        <v>1080</v>
      </c>
      <c r="AB150" s="244">
        <f t="shared" si="63"/>
        <v>1080</v>
      </c>
      <c r="AC150" s="244">
        <f t="shared" si="64"/>
        <v>1080</v>
      </c>
      <c r="AD150" s="244">
        <f t="shared" si="65"/>
        <v>3600</v>
      </c>
      <c r="AE150" s="244">
        <f t="shared" si="66"/>
        <v>2520</v>
      </c>
      <c r="AF150" s="245">
        <v>1260</v>
      </c>
      <c r="AG150" s="245">
        <f t="shared" si="76"/>
        <v>50</v>
      </c>
      <c r="AH150" s="245"/>
      <c r="AI150" s="245">
        <f t="shared" si="74"/>
        <v>1260</v>
      </c>
      <c r="AJ150" s="245">
        <f t="shared" si="71"/>
        <v>2340</v>
      </c>
      <c r="AK150" s="245">
        <f t="shared" si="72"/>
        <v>2340</v>
      </c>
      <c r="AL150" s="245">
        <f t="shared" si="73"/>
        <v>3600</v>
      </c>
      <c r="AM150" s="245">
        <f t="shared" si="75"/>
        <v>1260</v>
      </c>
      <c r="AN150" s="379"/>
      <c r="AQ150" s="215" t="s">
        <v>660</v>
      </c>
      <c r="AR150" s="215"/>
      <c r="AS150" s="216"/>
      <c r="AT150" s="224"/>
      <c r="AU150" s="372" t="s">
        <v>796</v>
      </c>
      <c r="AY150" s="216"/>
      <c r="AZ150" s="216"/>
      <c r="BA150" s="216"/>
    </row>
    <row r="151" spans="1:53" s="224" customFormat="1" ht="30" customHeight="1">
      <c r="A151" s="364">
        <v>120</v>
      </c>
      <c r="B151" s="381" t="s">
        <v>797</v>
      </c>
      <c r="C151" s="382"/>
      <c r="D151" s="382"/>
      <c r="E151" s="352" t="s">
        <v>372</v>
      </c>
      <c r="F151" s="366" t="s">
        <v>326</v>
      </c>
      <c r="G151" s="378" t="s">
        <v>395</v>
      </c>
      <c r="H151" s="368">
        <v>2018</v>
      </c>
      <c r="I151" s="368"/>
      <c r="J151" s="368">
        <v>2020</v>
      </c>
      <c r="K151" s="382"/>
      <c r="L151" s="382"/>
      <c r="M151" s="243" t="s">
        <v>798</v>
      </c>
      <c r="N151" s="352">
        <v>4500</v>
      </c>
      <c r="O151" s="352"/>
      <c r="P151" s="352">
        <v>4500</v>
      </c>
      <c r="Q151" s="352">
        <v>40</v>
      </c>
      <c r="R151" s="352"/>
      <c r="S151" s="352">
        <v>40</v>
      </c>
      <c r="T151" s="352">
        <v>4000</v>
      </c>
      <c r="U151" s="352">
        <f t="shared" si="61"/>
        <v>3960</v>
      </c>
      <c r="V151" s="245">
        <v>1188</v>
      </c>
      <c r="W151" s="245">
        <v>1188</v>
      </c>
      <c r="X151" s="245">
        <v>30</v>
      </c>
      <c r="Y151" s="369"/>
      <c r="Z151" s="245">
        <f t="shared" si="58"/>
        <v>1188</v>
      </c>
      <c r="AA151" s="244">
        <f t="shared" si="62"/>
        <v>1228</v>
      </c>
      <c r="AB151" s="244">
        <f t="shared" si="63"/>
        <v>1188</v>
      </c>
      <c r="AC151" s="244">
        <f t="shared" si="64"/>
        <v>1228</v>
      </c>
      <c r="AD151" s="244">
        <f t="shared" si="65"/>
        <v>4000</v>
      </c>
      <c r="AE151" s="244">
        <f t="shared" si="66"/>
        <v>2772</v>
      </c>
      <c r="AF151" s="245">
        <v>1386</v>
      </c>
      <c r="AG151" s="245">
        <f t="shared" si="76"/>
        <v>50</v>
      </c>
      <c r="AH151" s="245"/>
      <c r="AI151" s="245">
        <f t="shared" si="74"/>
        <v>1386</v>
      </c>
      <c r="AJ151" s="245">
        <f t="shared" si="71"/>
        <v>2614</v>
      </c>
      <c r="AK151" s="245">
        <f t="shared" si="72"/>
        <v>2614</v>
      </c>
      <c r="AL151" s="245">
        <f t="shared" si="73"/>
        <v>4000</v>
      </c>
      <c r="AM151" s="245">
        <f t="shared" si="75"/>
        <v>1386</v>
      </c>
      <c r="AN151" s="363" t="s">
        <v>667</v>
      </c>
      <c r="AQ151" s="225" t="s">
        <v>792</v>
      </c>
      <c r="AR151" s="225"/>
      <c r="AS151" s="226"/>
      <c r="AU151" s="359" t="s">
        <v>799</v>
      </c>
      <c r="AY151" s="226"/>
      <c r="AZ151" s="226"/>
      <c r="BA151" s="226"/>
    </row>
    <row r="152" spans="1:53" ht="30" customHeight="1">
      <c r="A152" s="248">
        <v>121</v>
      </c>
      <c r="B152" s="338" t="s">
        <v>800</v>
      </c>
      <c r="C152" s="350"/>
      <c r="D152" s="350"/>
      <c r="E152" s="337" t="s">
        <v>372</v>
      </c>
      <c r="F152" s="251" t="s">
        <v>326</v>
      </c>
      <c r="G152" s="249" t="s">
        <v>378</v>
      </c>
      <c r="H152" s="253">
        <v>2018</v>
      </c>
      <c r="I152" s="253"/>
      <c r="J152" s="253">
        <v>2020</v>
      </c>
      <c r="K152" s="350"/>
      <c r="L152" s="350"/>
      <c r="M152" s="271" t="s">
        <v>801</v>
      </c>
      <c r="N152" s="337">
        <v>3000</v>
      </c>
      <c r="O152" s="337"/>
      <c r="P152" s="337">
        <v>3000</v>
      </c>
      <c r="Q152" s="337"/>
      <c r="R152" s="337"/>
      <c r="S152" s="337"/>
      <c r="T152" s="337">
        <v>2700</v>
      </c>
      <c r="U152" s="337">
        <f t="shared" si="61"/>
        <v>2700</v>
      </c>
      <c r="V152" s="245">
        <v>810</v>
      </c>
      <c r="W152" s="245">
        <v>810</v>
      </c>
      <c r="X152" s="245">
        <v>30</v>
      </c>
      <c r="Y152" s="341"/>
      <c r="Z152" s="245">
        <f t="shared" si="58"/>
        <v>810</v>
      </c>
      <c r="AA152" s="244">
        <f t="shared" si="62"/>
        <v>810</v>
      </c>
      <c r="AB152" s="244">
        <f t="shared" si="63"/>
        <v>810</v>
      </c>
      <c r="AC152" s="244">
        <f t="shared" si="64"/>
        <v>810</v>
      </c>
      <c r="AD152" s="244">
        <f t="shared" si="65"/>
        <v>2700</v>
      </c>
      <c r="AE152" s="244">
        <f t="shared" si="66"/>
        <v>1890</v>
      </c>
      <c r="AF152" s="245">
        <v>1890</v>
      </c>
      <c r="AG152" s="245">
        <f t="shared" si="76"/>
        <v>100</v>
      </c>
      <c r="AH152" s="245"/>
      <c r="AI152" s="245">
        <f t="shared" si="74"/>
        <v>1890</v>
      </c>
      <c r="AJ152" s="245">
        <f t="shared" si="71"/>
        <v>2700</v>
      </c>
      <c r="AK152" s="245">
        <f t="shared" si="72"/>
        <v>2700</v>
      </c>
      <c r="AL152" s="245">
        <f t="shared" si="73"/>
        <v>2700</v>
      </c>
      <c r="AM152" s="245">
        <f t="shared" si="75"/>
        <v>0</v>
      </c>
      <c r="AN152" s="338" t="s">
        <v>802</v>
      </c>
      <c r="AQ152" s="215" t="s">
        <v>722</v>
      </c>
      <c r="AR152" s="215"/>
      <c r="AS152" s="216"/>
      <c r="AT152" s="224"/>
      <c r="AU152" s="372" t="s">
        <v>723</v>
      </c>
      <c r="AY152" s="216"/>
      <c r="AZ152" s="216"/>
      <c r="BA152" s="216"/>
    </row>
    <row r="153" spans="1:53" ht="30" customHeight="1">
      <c r="A153" s="248">
        <v>122</v>
      </c>
      <c r="B153" s="338" t="s">
        <v>803</v>
      </c>
      <c r="C153" s="350"/>
      <c r="D153" s="350"/>
      <c r="E153" s="337" t="s">
        <v>372</v>
      </c>
      <c r="F153" s="251" t="s">
        <v>326</v>
      </c>
      <c r="G153" s="249" t="s">
        <v>435</v>
      </c>
      <c r="H153" s="253">
        <v>2018</v>
      </c>
      <c r="I153" s="253"/>
      <c r="J153" s="253">
        <v>2020</v>
      </c>
      <c r="K153" s="350"/>
      <c r="L153" s="350"/>
      <c r="M153" s="271" t="s">
        <v>804</v>
      </c>
      <c r="N153" s="337">
        <v>5500</v>
      </c>
      <c r="O153" s="337"/>
      <c r="P153" s="337">
        <v>5500</v>
      </c>
      <c r="Q153" s="337"/>
      <c r="R153" s="337"/>
      <c r="S153" s="337"/>
      <c r="T153" s="337">
        <v>2970</v>
      </c>
      <c r="U153" s="337">
        <f t="shared" si="61"/>
        <v>2970</v>
      </c>
      <c r="V153" s="245">
        <v>891</v>
      </c>
      <c r="W153" s="245">
        <v>891</v>
      </c>
      <c r="X153" s="245">
        <v>30</v>
      </c>
      <c r="Y153" s="341"/>
      <c r="Z153" s="245">
        <f t="shared" si="58"/>
        <v>891</v>
      </c>
      <c r="AA153" s="244">
        <f t="shared" si="62"/>
        <v>891</v>
      </c>
      <c r="AB153" s="244">
        <f t="shared" si="63"/>
        <v>891</v>
      </c>
      <c r="AC153" s="244">
        <f t="shared" si="64"/>
        <v>891</v>
      </c>
      <c r="AD153" s="244">
        <f t="shared" si="65"/>
        <v>2970</v>
      </c>
      <c r="AE153" s="244">
        <f t="shared" si="66"/>
        <v>2079</v>
      </c>
      <c r="AF153" s="245">
        <v>1039.5</v>
      </c>
      <c r="AG153" s="245">
        <f t="shared" si="76"/>
        <v>50</v>
      </c>
      <c r="AH153" s="245"/>
      <c r="AI153" s="245">
        <f t="shared" si="74"/>
        <v>1039.5</v>
      </c>
      <c r="AJ153" s="245">
        <f t="shared" si="71"/>
        <v>1930.5</v>
      </c>
      <c r="AK153" s="245">
        <f t="shared" si="72"/>
        <v>1930.5</v>
      </c>
      <c r="AL153" s="245">
        <f t="shared" si="73"/>
        <v>2970</v>
      </c>
      <c r="AM153" s="245">
        <f t="shared" si="75"/>
        <v>1039.5</v>
      </c>
      <c r="AN153" s="338" t="s">
        <v>802</v>
      </c>
      <c r="AQ153" s="215" t="s">
        <v>617</v>
      </c>
      <c r="AR153" s="215"/>
      <c r="AS153" s="216"/>
      <c r="AT153" s="224" t="s">
        <v>307</v>
      </c>
      <c r="AU153" s="372" t="s">
        <v>805</v>
      </c>
      <c r="AY153" s="216"/>
      <c r="AZ153" s="216"/>
      <c r="BA153" s="216"/>
    </row>
    <row r="154" spans="1:53" ht="30" customHeight="1">
      <c r="A154" s="248">
        <v>123</v>
      </c>
      <c r="B154" s="338" t="s">
        <v>806</v>
      </c>
      <c r="C154" s="350"/>
      <c r="D154" s="350"/>
      <c r="E154" s="337" t="s">
        <v>372</v>
      </c>
      <c r="F154" s="251" t="s">
        <v>326</v>
      </c>
      <c r="G154" s="383" t="s">
        <v>382</v>
      </c>
      <c r="H154" s="253">
        <v>2018</v>
      </c>
      <c r="I154" s="253"/>
      <c r="J154" s="253">
        <v>2020</v>
      </c>
      <c r="K154" s="350"/>
      <c r="L154" s="350"/>
      <c r="M154" s="271" t="s">
        <v>807</v>
      </c>
      <c r="N154" s="337">
        <v>6500</v>
      </c>
      <c r="O154" s="337"/>
      <c r="P154" s="337">
        <v>3900</v>
      </c>
      <c r="Q154" s="337"/>
      <c r="R154" s="337"/>
      <c r="S154" s="337"/>
      <c r="T154" s="337">
        <v>3900</v>
      </c>
      <c r="U154" s="337">
        <f t="shared" si="61"/>
        <v>3900</v>
      </c>
      <c r="V154" s="245">
        <v>1170</v>
      </c>
      <c r="W154" s="245">
        <v>1170</v>
      </c>
      <c r="X154" s="245">
        <v>30</v>
      </c>
      <c r="Y154" s="341"/>
      <c r="Z154" s="245">
        <f t="shared" si="58"/>
        <v>1170</v>
      </c>
      <c r="AA154" s="244">
        <f t="shared" si="62"/>
        <v>1170</v>
      </c>
      <c r="AB154" s="244">
        <f t="shared" si="63"/>
        <v>1170</v>
      </c>
      <c r="AC154" s="244">
        <f t="shared" si="64"/>
        <v>1170</v>
      </c>
      <c r="AD154" s="244">
        <f t="shared" si="65"/>
        <v>3900</v>
      </c>
      <c r="AE154" s="244">
        <f t="shared" si="66"/>
        <v>2730</v>
      </c>
      <c r="AF154" s="245">
        <v>1365</v>
      </c>
      <c r="AG154" s="245">
        <f t="shared" si="76"/>
        <v>50</v>
      </c>
      <c r="AH154" s="245"/>
      <c r="AI154" s="245">
        <f t="shared" si="74"/>
        <v>1365</v>
      </c>
      <c r="AJ154" s="245">
        <f t="shared" si="71"/>
        <v>2535</v>
      </c>
      <c r="AK154" s="245">
        <f t="shared" si="72"/>
        <v>2535</v>
      </c>
      <c r="AL154" s="245">
        <f t="shared" si="73"/>
        <v>3900</v>
      </c>
      <c r="AM154" s="245">
        <f t="shared" si="75"/>
        <v>1365</v>
      </c>
      <c r="AN154" s="338" t="s">
        <v>808</v>
      </c>
      <c r="AQ154" s="215" t="s">
        <v>809</v>
      </c>
      <c r="AR154" s="215"/>
      <c r="AS154" s="216"/>
      <c r="AT154" s="224" t="s">
        <v>307</v>
      </c>
      <c r="AU154" s="359" t="s">
        <v>810</v>
      </c>
      <c r="AY154" s="216"/>
      <c r="AZ154" s="216"/>
      <c r="BA154" s="216"/>
    </row>
    <row r="155" spans="1:53">
      <c r="A155" s="278" t="s">
        <v>137</v>
      </c>
      <c r="B155" s="279" t="s">
        <v>811</v>
      </c>
      <c r="C155" s="279"/>
      <c r="D155" s="279"/>
      <c r="E155" s="279"/>
      <c r="F155" s="279"/>
      <c r="G155" s="280"/>
      <c r="H155" s="280"/>
      <c r="I155" s="280"/>
      <c r="J155" s="280"/>
      <c r="K155" s="280"/>
      <c r="L155" s="280"/>
      <c r="M155" s="280"/>
      <c r="N155" s="384">
        <f t="shared" ref="N155:AC155" si="77">SUBTOTAL(109,N157:N185)</f>
        <v>116591</v>
      </c>
      <c r="O155" s="384">
        <f t="shared" si="77"/>
        <v>0</v>
      </c>
      <c r="P155" s="384">
        <f t="shared" si="77"/>
        <v>105992</v>
      </c>
      <c r="Q155" s="384">
        <f t="shared" si="77"/>
        <v>0</v>
      </c>
      <c r="R155" s="384">
        <f t="shared" si="77"/>
        <v>0</v>
      </c>
      <c r="S155" s="384">
        <f t="shared" si="77"/>
        <v>0</v>
      </c>
      <c r="T155" s="384">
        <f t="shared" si="77"/>
        <v>1200</v>
      </c>
      <c r="U155" s="384">
        <f t="shared" si="77"/>
        <v>0</v>
      </c>
      <c r="V155" s="384">
        <f t="shared" si="77"/>
        <v>0</v>
      </c>
      <c r="W155" s="384">
        <f t="shared" si="77"/>
        <v>0</v>
      </c>
      <c r="X155" s="384">
        <f t="shared" si="77"/>
        <v>0</v>
      </c>
      <c r="Y155" s="384">
        <f t="shared" si="77"/>
        <v>0</v>
      </c>
      <c r="Z155" s="384">
        <f t="shared" si="77"/>
        <v>0</v>
      </c>
      <c r="AA155" s="384">
        <f t="shared" si="77"/>
        <v>0</v>
      </c>
      <c r="AB155" s="384">
        <f t="shared" si="77"/>
        <v>0</v>
      </c>
      <c r="AC155" s="384">
        <f t="shared" si="77"/>
        <v>0</v>
      </c>
      <c r="AD155" s="384">
        <f>SUBTOTAL(109,AD156:AD185)</f>
        <v>59448</v>
      </c>
      <c r="AE155" s="384">
        <f>SUBTOTAL(109,AE156:AE185)</f>
        <v>59448</v>
      </c>
      <c r="AF155" s="384">
        <f>SUBTOTAL(109,AF157:AF185)</f>
        <v>29124</v>
      </c>
      <c r="AG155" s="282"/>
      <c r="AH155" s="282"/>
      <c r="AI155" s="282"/>
      <c r="AJ155" s="282"/>
      <c r="AK155" s="282"/>
      <c r="AL155" s="282"/>
      <c r="AM155" s="282"/>
      <c r="AN155" s="282"/>
      <c r="AQ155" s="215"/>
      <c r="AR155" s="215"/>
      <c r="AS155" s="216"/>
      <c r="AU155" s="385"/>
      <c r="AV155" s="226"/>
      <c r="AW155" s="284"/>
      <c r="AY155" s="226"/>
      <c r="AZ155" s="226"/>
      <c r="BA155" s="285"/>
    </row>
    <row r="156" spans="1:53" ht="35.25" customHeight="1">
      <c r="A156" s="278" t="s">
        <v>36</v>
      </c>
      <c r="B156" s="279" t="s">
        <v>812</v>
      </c>
      <c r="C156" s="279"/>
      <c r="D156" s="279"/>
      <c r="E156" s="279"/>
      <c r="F156" s="279"/>
      <c r="G156" s="280"/>
      <c r="H156" s="280"/>
      <c r="I156" s="280"/>
      <c r="J156" s="280"/>
      <c r="K156" s="280"/>
      <c r="L156" s="280"/>
      <c r="M156" s="280"/>
      <c r="N156" s="384"/>
      <c r="O156" s="384"/>
      <c r="P156" s="384"/>
      <c r="Q156" s="384"/>
      <c r="R156" s="384"/>
      <c r="S156" s="384"/>
      <c r="T156" s="384"/>
      <c r="U156" s="384"/>
      <c r="V156" s="384"/>
      <c r="W156" s="384"/>
      <c r="X156" s="384"/>
      <c r="Y156" s="384"/>
      <c r="Z156" s="245"/>
      <c r="AA156" s="384"/>
      <c r="AB156" s="384"/>
      <c r="AC156" s="384"/>
      <c r="AD156" s="384"/>
      <c r="AE156" s="384"/>
      <c r="AF156" s="384"/>
      <c r="AG156" s="282"/>
      <c r="AH156" s="282"/>
      <c r="AI156" s="282"/>
      <c r="AJ156" s="282"/>
      <c r="AK156" s="282"/>
      <c r="AL156" s="282"/>
      <c r="AM156" s="282"/>
      <c r="AN156" s="282"/>
      <c r="AQ156" s="215"/>
      <c r="AR156" s="215"/>
      <c r="AS156" s="216"/>
      <c r="AU156" s="385"/>
      <c r="AV156" s="226"/>
      <c r="AW156" s="284"/>
      <c r="AY156" s="226"/>
      <c r="AZ156" s="226"/>
      <c r="BA156" s="285"/>
    </row>
    <row r="157" spans="1:53" ht="76.5">
      <c r="A157" s="286">
        <v>1</v>
      </c>
      <c r="B157" s="386" t="s">
        <v>813</v>
      </c>
      <c r="C157" s="386"/>
      <c r="D157" s="386"/>
      <c r="E157" s="386"/>
      <c r="F157" s="386"/>
      <c r="G157" s="387" t="s">
        <v>333</v>
      </c>
      <c r="H157" s="253">
        <v>2019</v>
      </c>
      <c r="I157" s="253"/>
      <c r="J157" s="253">
        <v>2021</v>
      </c>
      <c r="K157" s="253"/>
      <c r="L157" s="253"/>
      <c r="M157" s="288" t="s">
        <v>814</v>
      </c>
      <c r="N157" s="388">
        <v>4000</v>
      </c>
      <c r="O157" s="388"/>
      <c r="P157" s="388">
        <v>4000</v>
      </c>
      <c r="Q157" s="388"/>
      <c r="R157" s="388"/>
      <c r="S157" s="388"/>
      <c r="T157" s="388"/>
      <c r="U157" s="388"/>
      <c r="V157" s="388"/>
      <c r="W157" s="388"/>
      <c r="X157" s="388"/>
      <c r="Y157" s="388"/>
      <c r="Z157" s="245">
        <f t="shared" si="58"/>
        <v>0</v>
      </c>
      <c r="AA157" s="388"/>
      <c r="AB157" s="388"/>
      <c r="AC157" s="388"/>
      <c r="AD157" s="389">
        <v>2160</v>
      </c>
      <c r="AE157" s="290">
        <v>2160</v>
      </c>
      <c r="AF157" s="245">
        <v>1080</v>
      </c>
      <c r="AG157" s="245">
        <f t="shared" ref="AG157:AG176" si="78">AF157/AE157*100</f>
        <v>50</v>
      </c>
      <c r="AH157" s="245"/>
      <c r="AI157" s="245">
        <f t="shared" ref="AI157:AI174" si="79">AF157+AH157</f>
        <v>1080</v>
      </c>
      <c r="AJ157" s="245">
        <f t="shared" ref="AJ157:AJ174" si="80">AA157+AI157</f>
        <v>1080</v>
      </c>
      <c r="AK157" s="245">
        <f t="shared" ref="AK157:AK174" si="81">AC157+AI157</f>
        <v>1080</v>
      </c>
      <c r="AL157" s="245">
        <f>AD157</f>
        <v>2160</v>
      </c>
      <c r="AM157" s="245">
        <f t="shared" ref="AM157:AM174" si="82">AE157-AI157</f>
        <v>1080</v>
      </c>
      <c r="AN157" s="288" t="s">
        <v>815</v>
      </c>
      <c r="AQ157" s="215" t="s">
        <v>816</v>
      </c>
      <c r="AR157" s="215"/>
      <c r="AS157" s="216"/>
      <c r="AU157" s="385" t="s">
        <v>817</v>
      </c>
      <c r="AV157" s="385" t="s">
        <v>818</v>
      </c>
      <c r="AW157" s="390" t="s">
        <v>819</v>
      </c>
      <c r="AY157" s="226"/>
      <c r="AZ157" s="226"/>
      <c r="BA157" s="285"/>
    </row>
    <row r="158" spans="1:53" ht="76.5">
      <c r="A158" s="286">
        <v>2</v>
      </c>
      <c r="B158" s="391" t="s">
        <v>820</v>
      </c>
      <c r="C158" s="391"/>
      <c r="D158" s="391"/>
      <c r="E158" s="391"/>
      <c r="F158" s="391"/>
      <c r="G158" s="392" t="s">
        <v>378</v>
      </c>
      <c r="H158" s="253">
        <v>2019</v>
      </c>
      <c r="I158" s="253"/>
      <c r="J158" s="253">
        <v>2021</v>
      </c>
      <c r="K158" s="253"/>
      <c r="L158" s="253"/>
      <c r="M158" s="393" t="s">
        <v>821</v>
      </c>
      <c r="N158" s="394">
        <v>5375</v>
      </c>
      <c r="O158" s="394"/>
      <c r="P158" s="394">
        <v>2700</v>
      </c>
      <c r="Q158" s="394"/>
      <c r="R158" s="394"/>
      <c r="S158" s="394"/>
      <c r="T158" s="394"/>
      <c r="U158" s="394"/>
      <c r="V158" s="394"/>
      <c r="W158" s="394"/>
      <c r="X158" s="394"/>
      <c r="Y158" s="394"/>
      <c r="Z158" s="245">
        <f t="shared" si="58"/>
        <v>0</v>
      </c>
      <c r="AA158" s="394"/>
      <c r="AB158" s="394"/>
      <c r="AC158" s="394"/>
      <c r="AD158" s="389">
        <v>2700</v>
      </c>
      <c r="AE158" s="290">
        <v>2700</v>
      </c>
      <c r="AF158" s="245">
        <v>1350</v>
      </c>
      <c r="AG158" s="245">
        <f t="shared" si="78"/>
        <v>50</v>
      </c>
      <c r="AH158" s="245"/>
      <c r="AI158" s="245">
        <f t="shared" si="79"/>
        <v>1350</v>
      </c>
      <c r="AJ158" s="245">
        <f t="shared" si="80"/>
        <v>1350</v>
      </c>
      <c r="AK158" s="245">
        <f t="shared" si="81"/>
        <v>1350</v>
      </c>
      <c r="AL158" s="245">
        <f>AD158</f>
        <v>2700</v>
      </c>
      <c r="AM158" s="245">
        <f t="shared" si="82"/>
        <v>1350</v>
      </c>
      <c r="AN158" s="282"/>
      <c r="AQ158" s="215" t="s">
        <v>822</v>
      </c>
      <c r="AR158" s="215"/>
      <c r="AS158" s="216"/>
      <c r="AT158" s="224" t="s">
        <v>307</v>
      </c>
      <c r="AU158" s="385" t="s">
        <v>823</v>
      </c>
      <c r="AV158" s="385" t="s">
        <v>824</v>
      </c>
      <c r="AW158" s="390" t="s">
        <v>825</v>
      </c>
      <c r="AY158" s="226"/>
      <c r="AZ158" s="226"/>
      <c r="BA158" s="285"/>
    </row>
    <row r="159" spans="1:53" ht="76.5">
      <c r="A159" s="286">
        <v>3</v>
      </c>
      <c r="B159" s="391" t="s">
        <v>826</v>
      </c>
      <c r="C159" s="391"/>
      <c r="D159" s="391"/>
      <c r="E159" s="391"/>
      <c r="F159" s="391"/>
      <c r="G159" s="392" t="s">
        <v>333</v>
      </c>
      <c r="H159" s="253">
        <v>2019</v>
      </c>
      <c r="I159" s="253"/>
      <c r="J159" s="253">
        <v>2021</v>
      </c>
      <c r="K159" s="253"/>
      <c r="L159" s="253"/>
      <c r="M159" s="288" t="s">
        <v>827</v>
      </c>
      <c r="N159" s="394">
        <v>3994</v>
      </c>
      <c r="O159" s="394"/>
      <c r="P159" s="394">
        <v>3000</v>
      </c>
      <c r="Q159" s="394"/>
      <c r="R159" s="394"/>
      <c r="S159" s="394"/>
      <c r="T159" s="394"/>
      <c r="U159" s="394"/>
      <c r="V159" s="394"/>
      <c r="W159" s="394"/>
      <c r="X159" s="394"/>
      <c r="Y159" s="394"/>
      <c r="Z159" s="245">
        <f t="shared" si="58"/>
        <v>0</v>
      </c>
      <c r="AA159" s="394"/>
      <c r="AB159" s="394"/>
      <c r="AC159" s="394"/>
      <c r="AD159" s="389">
        <v>1620</v>
      </c>
      <c r="AE159" s="290">
        <v>1620</v>
      </c>
      <c r="AF159" s="245">
        <v>810</v>
      </c>
      <c r="AG159" s="245">
        <f t="shared" si="78"/>
        <v>50</v>
      </c>
      <c r="AH159" s="245"/>
      <c r="AI159" s="245">
        <f t="shared" si="79"/>
        <v>810</v>
      </c>
      <c r="AJ159" s="245">
        <f t="shared" si="80"/>
        <v>810</v>
      </c>
      <c r="AK159" s="245">
        <f t="shared" si="81"/>
        <v>810</v>
      </c>
      <c r="AL159" s="245">
        <f>AD159</f>
        <v>1620</v>
      </c>
      <c r="AM159" s="245">
        <f t="shared" si="82"/>
        <v>810</v>
      </c>
      <c r="AN159" s="288" t="s">
        <v>815</v>
      </c>
      <c r="AQ159" s="215" t="s">
        <v>828</v>
      </c>
      <c r="AR159" s="215"/>
      <c r="AS159" s="216"/>
      <c r="AT159" s="224" t="s">
        <v>307</v>
      </c>
      <c r="AU159" s="385" t="s">
        <v>829</v>
      </c>
      <c r="AV159" s="385" t="s">
        <v>830</v>
      </c>
      <c r="AW159" s="390" t="s">
        <v>831</v>
      </c>
      <c r="AY159" s="226"/>
      <c r="AZ159" s="226"/>
      <c r="BA159" s="285"/>
    </row>
    <row r="160" spans="1:53" ht="38.25">
      <c r="A160" s="286">
        <v>4</v>
      </c>
      <c r="B160" s="391" t="s">
        <v>832</v>
      </c>
      <c r="C160" s="391"/>
      <c r="D160" s="391"/>
      <c r="E160" s="391"/>
      <c r="F160" s="391"/>
      <c r="G160" s="392" t="s">
        <v>378</v>
      </c>
      <c r="H160" s="253">
        <v>2019</v>
      </c>
      <c r="I160" s="253"/>
      <c r="J160" s="253">
        <v>2021</v>
      </c>
      <c r="K160" s="253"/>
      <c r="L160" s="253"/>
      <c r="M160" s="395" t="s">
        <v>833</v>
      </c>
      <c r="N160" s="389">
        <v>4825</v>
      </c>
      <c r="O160" s="389"/>
      <c r="P160" s="389">
        <f t="shared" ref="P160:P164" si="83">N160*0.6</f>
        <v>2895</v>
      </c>
      <c r="Q160" s="389"/>
      <c r="R160" s="389"/>
      <c r="S160" s="389"/>
      <c r="T160" s="389"/>
      <c r="U160" s="389"/>
      <c r="V160" s="389"/>
      <c r="W160" s="389"/>
      <c r="X160" s="389"/>
      <c r="Y160" s="389"/>
      <c r="Z160" s="245">
        <f t="shared" si="58"/>
        <v>0</v>
      </c>
      <c r="AA160" s="389"/>
      <c r="AB160" s="389"/>
      <c r="AC160" s="389"/>
      <c r="AD160" s="389">
        <v>1620</v>
      </c>
      <c r="AE160" s="290">
        <v>1620</v>
      </c>
      <c r="AF160" s="245">
        <v>810</v>
      </c>
      <c r="AG160" s="245">
        <f t="shared" si="78"/>
        <v>50</v>
      </c>
      <c r="AH160" s="245"/>
      <c r="AI160" s="245">
        <f t="shared" si="79"/>
        <v>810</v>
      </c>
      <c r="AJ160" s="245">
        <f t="shared" si="80"/>
        <v>810</v>
      </c>
      <c r="AK160" s="245">
        <f t="shared" si="81"/>
        <v>810</v>
      </c>
      <c r="AL160" s="245">
        <f t="shared" ref="AL160:AL183" si="84">AD160</f>
        <v>1620</v>
      </c>
      <c r="AM160" s="245">
        <f t="shared" si="82"/>
        <v>810</v>
      </c>
      <c r="AN160" s="288" t="s">
        <v>815</v>
      </c>
      <c r="AQ160" s="215" t="s">
        <v>834</v>
      </c>
      <c r="AR160" s="215"/>
      <c r="AS160" s="216"/>
      <c r="AT160" s="224" t="s">
        <v>307</v>
      </c>
      <c r="AU160" s="385" t="s">
        <v>835</v>
      </c>
      <c r="AV160" s="385" t="s">
        <v>836</v>
      </c>
      <c r="AW160" s="396" t="s">
        <v>837</v>
      </c>
      <c r="AY160" s="226"/>
      <c r="AZ160" s="226"/>
      <c r="BA160" s="285"/>
    </row>
    <row r="161" spans="1:53" ht="38.25">
      <c r="A161" s="286">
        <v>5</v>
      </c>
      <c r="B161" s="391" t="s">
        <v>838</v>
      </c>
      <c r="C161" s="391"/>
      <c r="D161" s="391"/>
      <c r="E161" s="391"/>
      <c r="F161" s="391"/>
      <c r="G161" s="392" t="s">
        <v>395</v>
      </c>
      <c r="H161" s="253">
        <v>2019</v>
      </c>
      <c r="I161" s="253"/>
      <c r="J161" s="253">
        <v>2021</v>
      </c>
      <c r="K161" s="253"/>
      <c r="L161" s="253"/>
      <c r="M161" s="397" t="s">
        <v>839</v>
      </c>
      <c r="N161" s="389">
        <v>5500</v>
      </c>
      <c r="O161" s="389"/>
      <c r="P161" s="389">
        <v>5500</v>
      </c>
      <c r="Q161" s="389"/>
      <c r="R161" s="389"/>
      <c r="S161" s="389"/>
      <c r="T161" s="389"/>
      <c r="U161" s="389"/>
      <c r="V161" s="389"/>
      <c r="W161" s="389"/>
      <c r="X161" s="389"/>
      <c r="Y161" s="389"/>
      <c r="Z161" s="245">
        <f t="shared" si="58"/>
        <v>0</v>
      </c>
      <c r="AA161" s="389"/>
      <c r="AB161" s="389"/>
      <c r="AC161" s="389"/>
      <c r="AD161" s="389">
        <v>2970</v>
      </c>
      <c r="AE161" s="290">
        <v>2970</v>
      </c>
      <c r="AF161" s="245">
        <v>1485</v>
      </c>
      <c r="AG161" s="245">
        <f t="shared" si="78"/>
        <v>50</v>
      </c>
      <c r="AH161" s="245"/>
      <c r="AI161" s="245">
        <f t="shared" si="79"/>
        <v>1485</v>
      </c>
      <c r="AJ161" s="245">
        <f t="shared" si="80"/>
        <v>1485</v>
      </c>
      <c r="AK161" s="245">
        <f t="shared" si="81"/>
        <v>1485</v>
      </c>
      <c r="AL161" s="245">
        <f t="shared" si="84"/>
        <v>2970</v>
      </c>
      <c r="AM161" s="245">
        <f t="shared" si="82"/>
        <v>1485</v>
      </c>
      <c r="AN161" s="282"/>
      <c r="AQ161" s="215" t="s">
        <v>520</v>
      </c>
      <c r="AR161" s="215"/>
      <c r="AS161" s="216"/>
      <c r="AT161" s="224" t="s">
        <v>307</v>
      </c>
      <c r="AU161" s="385" t="s">
        <v>840</v>
      </c>
      <c r="AV161" s="385" t="s">
        <v>836</v>
      </c>
      <c r="AW161" s="396" t="s">
        <v>841</v>
      </c>
      <c r="AY161" s="226"/>
      <c r="AZ161" s="226"/>
      <c r="BA161" s="285"/>
    </row>
    <row r="162" spans="1:53" ht="38.25">
      <c r="A162" s="286">
        <v>8</v>
      </c>
      <c r="B162" s="391" t="s">
        <v>842</v>
      </c>
      <c r="C162" s="391"/>
      <c r="D162" s="391"/>
      <c r="E162" s="391"/>
      <c r="F162" s="391"/>
      <c r="G162" s="392" t="s">
        <v>373</v>
      </c>
      <c r="H162" s="253">
        <v>2019</v>
      </c>
      <c r="I162" s="253"/>
      <c r="J162" s="253">
        <v>2021</v>
      </c>
      <c r="K162" s="253"/>
      <c r="L162" s="253"/>
      <c r="M162" s="393" t="s">
        <v>843</v>
      </c>
      <c r="N162" s="394">
        <v>2874</v>
      </c>
      <c r="O162" s="394"/>
      <c r="P162" s="394">
        <v>2874</v>
      </c>
      <c r="Q162" s="394"/>
      <c r="R162" s="394"/>
      <c r="S162" s="394"/>
      <c r="T162" s="394"/>
      <c r="U162" s="394"/>
      <c r="V162" s="394"/>
      <c r="W162" s="394"/>
      <c r="X162" s="394"/>
      <c r="Y162" s="394"/>
      <c r="Z162" s="245">
        <f t="shared" si="58"/>
        <v>0</v>
      </c>
      <c r="AA162" s="394"/>
      <c r="AB162" s="394"/>
      <c r="AC162" s="394"/>
      <c r="AD162" s="389">
        <v>1620</v>
      </c>
      <c r="AE162" s="290">
        <v>1620</v>
      </c>
      <c r="AF162" s="245">
        <v>810</v>
      </c>
      <c r="AG162" s="245">
        <f t="shared" si="78"/>
        <v>50</v>
      </c>
      <c r="AH162" s="245"/>
      <c r="AI162" s="245">
        <f t="shared" si="79"/>
        <v>810</v>
      </c>
      <c r="AJ162" s="245">
        <f t="shared" si="80"/>
        <v>810</v>
      </c>
      <c r="AK162" s="245">
        <f t="shared" si="81"/>
        <v>810</v>
      </c>
      <c r="AL162" s="245">
        <f t="shared" si="84"/>
        <v>1620</v>
      </c>
      <c r="AM162" s="245">
        <f t="shared" si="82"/>
        <v>810</v>
      </c>
      <c r="AN162" s="282"/>
      <c r="AQ162" s="215" t="s">
        <v>696</v>
      </c>
      <c r="AR162" s="215"/>
      <c r="AS162" s="216"/>
      <c r="AT162" s="224"/>
      <c r="AU162" s="385" t="s">
        <v>697</v>
      </c>
      <c r="AV162" s="385" t="s">
        <v>836</v>
      </c>
      <c r="AW162" s="396" t="s">
        <v>825</v>
      </c>
      <c r="AY162" s="226"/>
      <c r="AZ162" s="226"/>
      <c r="BA162" s="285"/>
    </row>
    <row r="163" spans="1:53" ht="38.25">
      <c r="A163" s="286">
        <v>9</v>
      </c>
      <c r="B163" s="391" t="s">
        <v>844</v>
      </c>
      <c r="C163" s="391"/>
      <c r="D163" s="391"/>
      <c r="E163" s="391"/>
      <c r="F163" s="391"/>
      <c r="G163" s="392" t="s">
        <v>401</v>
      </c>
      <c r="H163" s="253">
        <v>2019</v>
      </c>
      <c r="I163" s="253"/>
      <c r="J163" s="253">
        <v>2021</v>
      </c>
      <c r="K163" s="253"/>
      <c r="L163" s="253"/>
      <c r="M163" s="393" t="s">
        <v>845</v>
      </c>
      <c r="N163" s="389">
        <v>5000</v>
      </c>
      <c r="O163" s="389"/>
      <c r="P163" s="389">
        <v>5000</v>
      </c>
      <c r="Q163" s="389"/>
      <c r="R163" s="389"/>
      <c r="S163" s="389"/>
      <c r="T163" s="389"/>
      <c r="U163" s="389"/>
      <c r="V163" s="389"/>
      <c r="W163" s="389"/>
      <c r="X163" s="389"/>
      <c r="Y163" s="389"/>
      <c r="Z163" s="245">
        <f t="shared" si="58"/>
        <v>0</v>
      </c>
      <c r="AA163" s="389"/>
      <c r="AB163" s="389"/>
      <c r="AC163" s="389"/>
      <c r="AD163" s="389">
        <v>2700</v>
      </c>
      <c r="AE163" s="290">
        <v>2700</v>
      </c>
      <c r="AF163" s="245">
        <v>1350</v>
      </c>
      <c r="AG163" s="245">
        <f t="shared" si="78"/>
        <v>50</v>
      </c>
      <c r="AH163" s="245"/>
      <c r="AI163" s="245">
        <f t="shared" si="79"/>
        <v>1350</v>
      </c>
      <c r="AJ163" s="245">
        <f t="shared" si="80"/>
        <v>1350</v>
      </c>
      <c r="AK163" s="245">
        <f t="shared" si="81"/>
        <v>1350</v>
      </c>
      <c r="AL163" s="245">
        <f t="shared" si="84"/>
        <v>2700</v>
      </c>
      <c r="AM163" s="245">
        <f t="shared" si="82"/>
        <v>1350</v>
      </c>
      <c r="AN163" s="282"/>
      <c r="AQ163" s="215" t="s">
        <v>546</v>
      </c>
      <c r="AR163" s="215"/>
      <c r="AS163" s="216"/>
      <c r="AT163" s="224"/>
      <c r="AU163" s="385" t="s">
        <v>846</v>
      </c>
      <c r="AV163" s="385" t="s">
        <v>836</v>
      </c>
      <c r="AW163" s="396" t="s">
        <v>847</v>
      </c>
      <c r="AY163" s="226"/>
      <c r="AZ163" s="226"/>
      <c r="BA163" s="285"/>
    </row>
    <row r="164" spans="1:53" ht="38.25">
      <c r="A164" s="286">
        <v>10</v>
      </c>
      <c r="B164" s="391" t="s">
        <v>848</v>
      </c>
      <c r="C164" s="391"/>
      <c r="D164" s="391"/>
      <c r="E164" s="391"/>
      <c r="F164" s="391"/>
      <c r="G164" s="392" t="s">
        <v>395</v>
      </c>
      <c r="H164" s="253">
        <v>2019</v>
      </c>
      <c r="I164" s="253"/>
      <c r="J164" s="253">
        <v>2021</v>
      </c>
      <c r="K164" s="253"/>
      <c r="L164" s="253"/>
      <c r="M164" s="395" t="s">
        <v>849</v>
      </c>
      <c r="N164" s="389">
        <v>4000</v>
      </c>
      <c r="O164" s="389"/>
      <c r="P164" s="389">
        <f t="shared" si="83"/>
        <v>2400</v>
      </c>
      <c r="Q164" s="389"/>
      <c r="R164" s="389"/>
      <c r="S164" s="389"/>
      <c r="T164" s="389"/>
      <c r="U164" s="389"/>
      <c r="V164" s="389"/>
      <c r="W164" s="389"/>
      <c r="X164" s="389"/>
      <c r="Y164" s="389"/>
      <c r="Z164" s="245">
        <f t="shared" ref="Z164:Z280" si="85">V164+Y164</f>
        <v>0</v>
      </c>
      <c r="AA164" s="389"/>
      <c r="AB164" s="389"/>
      <c r="AC164" s="389"/>
      <c r="AD164" s="389">
        <v>2160</v>
      </c>
      <c r="AE164" s="290">
        <v>2160</v>
      </c>
      <c r="AF164" s="245">
        <v>1080</v>
      </c>
      <c r="AG164" s="245">
        <f t="shared" si="78"/>
        <v>50</v>
      </c>
      <c r="AH164" s="245"/>
      <c r="AI164" s="245">
        <f t="shared" si="79"/>
        <v>1080</v>
      </c>
      <c r="AJ164" s="245">
        <f t="shared" si="80"/>
        <v>1080</v>
      </c>
      <c r="AK164" s="245">
        <f t="shared" si="81"/>
        <v>1080</v>
      </c>
      <c r="AL164" s="245">
        <f t="shared" si="84"/>
        <v>2160</v>
      </c>
      <c r="AM164" s="245">
        <f t="shared" si="82"/>
        <v>1080</v>
      </c>
      <c r="AN164" s="282"/>
      <c r="AQ164" s="215" t="s">
        <v>850</v>
      </c>
      <c r="AR164" s="215"/>
      <c r="AS164" s="216"/>
      <c r="AT164" s="224" t="s">
        <v>307</v>
      </c>
      <c r="AU164" s="385" t="s">
        <v>851</v>
      </c>
      <c r="AV164" s="385" t="s">
        <v>836</v>
      </c>
      <c r="AW164" s="368"/>
      <c r="AY164" s="226"/>
      <c r="AZ164" s="226"/>
      <c r="BA164" s="285"/>
    </row>
    <row r="165" spans="1:53" ht="38.25">
      <c r="A165" s="286">
        <v>11</v>
      </c>
      <c r="B165" s="391" t="s">
        <v>852</v>
      </c>
      <c r="C165" s="391"/>
      <c r="D165" s="391"/>
      <c r="E165" s="391"/>
      <c r="F165" s="391"/>
      <c r="G165" s="392" t="s">
        <v>435</v>
      </c>
      <c r="H165" s="253">
        <v>2019</v>
      </c>
      <c r="I165" s="253"/>
      <c r="J165" s="253">
        <v>2021</v>
      </c>
      <c r="K165" s="253"/>
      <c r="L165" s="253"/>
      <c r="M165" s="398" t="s">
        <v>853</v>
      </c>
      <c r="N165" s="389">
        <v>3000</v>
      </c>
      <c r="O165" s="389"/>
      <c r="P165" s="394">
        <v>3000</v>
      </c>
      <c r="Q165" s="394"/>
      <c r="R165" s="394"/>
      <c r="S165" s="394"/>
      <c r="T165" s="394"/>
      <c r="U165" s="394"/>
      <c r="V165" s="394"/>
      <c r="W165" s="394"/>
      <c r="X165" s="394"/>
      <c r="Y165" s="394"/>
      <c r="Z165" s="245">
        <f t="shared" si="85"/>
        <v>0</v>
      </c>
      <c r="AA165" s="394"/>
      <c r="AB165" s="394"/>
      <c r="AC165" s="394"/>
      <c r="AD165" s="389">
        <v>1620</v>
      </c>
      <c r="AE165" s="290">
        <v>1620</v>
      </c>
      <c r="AF165" s="245">
        <v>810</v>
      </c>
      <c r="AG165" s="245">
        <f t="shared" si="78"/>
        <v>50</v>
      </c>
      <c r="AH165" s="245"/>
      <c r="AI165" s="245">
        <f t="shared" si="79"/>
        <v>810</v>
      </c>
      <c r="AJ165" s="245">
        <f t="shared" si="80"/>
        <v>810</v>
      </c>
      <c r="AK165" s="245">
        <f t="shared" si="81"/>
        <v>810</v>
      </c>
      <c r="AL165" s="245">
        <f t="shared" si="84"/>
        <v>1620</v>
      </c>
      <c r="AM165" s="245">
        <f t="shared" si="82"/>
        <v>810</v>
      </c>
      <c r="AN165" s="288" t="s">
        <v>854</v>
      </c>
      <c r="AQ165" s="215" t="s">
        <v>773</v>
      </c>
      <c r="AR165" s="215"/>
      <c r="AS165" s="216" t="s">
        <v>496</v>
      </c>
      <c r="AT165" s="224" t="s">
        <v>307</v>
      </c>
      <c r="AU165" s="385" t="s">
        <v>774</v>
      </c>
      <c r="AV165" s="385" t="s">
        <v>836</v>
      </c>
      <c r="AW165" s="368"/>
      <c r="AY165" s="226"/>
      <c r="AZ165" s="226"/>
      <c r="BA165" s="285"/>
    </row>
    <row r="166" spans="1:53" ht="38.25">
      <c r="A166" s="286">
        <v>12</v>
      </c>
      <c r="B166" s="391" t="s">
        <v>855</v>
      </c>
      <c r="C166" s="391"/>
      <c r="D166" s="391"/>
      <c r="E166" s="391"/>
      <c r="F166" s="391"/>
      <c r="G166" s="392" t="s">
        <v>378</v>
      </c>
      <c r="H166" s="253">
        <v>2019</v>
      </c>
      <c r="I166" s="253"/>
      <c r="J166" s="253">
        <v>2021</v>
      </c>
      <c r="K166" s="253"/>
      <c r="L166" s="253"/>
      <c r="M166" s="398" t="s">
        <v>856</v>
      </c>
      <c r="N166" s="389">
        <v>5500</v>
      </c>
      <c r="O166" s="389"/>
      <c r="P166" s="389">
        <v>5500</v>
      </c>
      <c r="Q166" s="389"/>
      <c r="R166" s="389"/>
      <c r="S166" s="389"/>
      <c r="T166" s="389"/>
      <c r="U166" s="389"/>
      <c r="V166" s="389"/>
      <c r="W166" s="389"/>
      <c r="X166" s="389"/>
      <c r="Y166" s="389"/>
      <c r="Z166" s="245">
        <f t="shared" si="85"/>
        <v>0</v>
      </c>
      <c r="AA166" s="389"/>
      <c r="AB166" s="389"/>
      <c r="AC166" s="389"/>
      <c r="AD166" s="389">
        <v>2970</v>
      </c>
      <c r="AE166" s="290">
        <v>2970</v>
      </c>
      <c r="AF166" s="245">
        <v>1485</v>
      </c>
      <c r="AG166" s="245">
        <f t="shared" si="78"/>
        <v>50</v>
      </c>
      <c r="AH166" s="245"/>
      <c r="AI166" s="245">
        <f t="shared" si="79"/>
        <v>1485</v>
      </c>
      <c r="AJ166" s="245">
        <f t="shared" si="80"/>
        <v>1485</v>
      </c>
      <c r="AK166" s="245">
        <f t="shared" si="81"/>
        <v>1485</v>
      </c>
      <c r="AL166" s="245">
        <f t="shared" si="84"/>
        <v>2970</v>
      </c>
      <c r="AM166" s="245">
        <f t="shared" si="82"/>
        <v>1485</v>
      </c>
      <c r="AN166" s="282"/>
      <c r="AQ166" s="215" t="s">
        <v>675</v>
      </c>
      <c r="AR166" s="215"/>
      <c r="AS166" s="216"/>
      <c r="AT166" s="224"/>
      <c r="AU166" s="385" t="s">
        <v>857</v>
      </c>
      <c r="AV166" s="385" t="s">
        <v>836</v>
      </c>
      <c r="AW166" s="396" t="s">
        <v>858</v>
      </c>
      <c r="AY166" s="226"/>
      <c r="AZ166" s="226"/>
      <c r="BA166" s="285"/>
    </row>
    <row r="167" spans="1:53" ht="38.25">
      <c r="A167" s="286">
        <v>13</v>
      </c>
      <c r="B167" s="386" t="s">
        <v>859</v>
      </c>
      <c r="C167" s="386"/>
      <c r="D167" s="386"/>
      <c r="E167" s="386"/>
      <c r="F167" s="386"/>
      <c r="G167" s="387" t="s">
        <v>435</v>
      </c>
      <c r="H167" s="253">
        <v>2019</v>
      </c>
      <c r="I167" s="253"/>
      <c r="J167" s="253">
        <v>2021</v>
      </c>
      <c r="K167" s="253"/>
      <c r="L167" s="253"/>
      <c r="M167" s="398" t="s">
        <v>860</v>
      </c>
      <c r="N167" s="388">
        <v>3000</v>
      </c>
      <c r="O167" s="388"/>
      <c r="P167" s="394">
        <v>3000</v>
      </c>
      <c r="Q167" s="394"/>
      <c r="R167" s="394"/>
      <c r="S167" s="394"/>
      <c r="T167" s="394"/>
      <c r="U167" s="394"/>
      <c r="V167" s="394"/>
      <c r="W167" s="394"/>
      <c r="X167" s="394"/>
      <c r="Y167" s="394"/>
      <c r="Z167" s="245">
        <f t="shared" si="85"/>
        <v>0</v>
      </c>
      <c r="AA167" s="394"/>
      <c r="AB167" s="394"/>
      <c r="AC167" s="394"/>
      <c r="AD167" s="389">
        <v>1620</v>
      </c>
      <c r="AE167" s="290">
        <v>1620</v>
      </c>
      <c r="AF167" s="245">
        <v>810</v>
      </c>
      <c r="AG167" s="245">
        <f t="shared" si="78"/>
        <v>50</v>
      </c>
      <c r="AH167" s="245"/>
      <c r="AI167" s="245">
        <f t="shared" si="79"/>
        <v>810</v>
      </c>
      <c r="AJ167" s="245">
        <f t="shared" si="80"/>
        <v>810</v>
      </c>
      <c r="AK167" s="245">
        <f t="shared" si="81"/>
        <v>810</v>
      </c>
      <c r="AL167" s="245">
        <f t="shared" si="84"/>
        <v>1620</v>
      </c>
      <c r="AM167" s="245">
        <f t="shared" si="82"/>
        <v>810</v>
      </c>
      <c r="AN167" s="288" t="s">
        <v>854</v>
      </c>
      <c r="AQ167" s="215" t="s">
        <v>732</v>
      </c>
      <c r="AR167" s="215"/>
      <c r="AS167" s="216"/>
      <c r="AT167" s="224" t="s">
        <v>307</v>
      </c>
      <c r="AU167" s="399" t="s">
        <v>733</v>
      </c>
      <c r="AV167" s="385" t="s">
        <v>836</v>
      </c>
      <c r="AW167" s="390" t="s">
        <v>861</v>
      </c>
      <c r="AY167" s="226"/>
      <c r="AZ167" s="226"/>
      <c r="BA167" s="285"/>
    </row>
    <row r="168" spans="1:53" ht="38.25">
      <c r="A168" s="286">
        <v>14</v>
      </c>
      <c r="B168" s="386" t="s">
        <v>862</v>
      </c>
      <c r="C168" s="386"/>
      <c r="D168" s="386"/>
      <c r="E168" s="386"/>
      <c r="F168" s="386"/>
      <c r="G168" s="387" t="s">
        <v>373</v>
      </c>
      <c r="H168" s="253">
        <v>2019</v>
      </c>
      <c r="I168" s="253"/>
      <c r="J168" s="253">
        <v>2021</v>
      </c>
      <c r="K168" s="253"/>
      <c r="L168" s="253"/>
      <c r="M168" s="395" t="s">
        <v>863</v>
      </c>
      <c r="N168" s="388">
        <v>3000</v>
      </c>
      <c r="O168" s="388"/>
      <c r="P168" s="394">
        <v>3000</v>
      </c>
      <c r="Q168" s="394"/>
      <c r="R168" s="394"/>
      <c r="S168" s="394"/>
      <c r="T168" s="394"/>
      <c r="U168" s="394"/>
      <c r="V168" s="394"/>
      <c r="W168" s="394"/>
      <c r="X168" s="394"/>
      <c r="Y168" s="394"/>
      <c r="Z168" s="245">
        <f t="shared" si="85"/>
        <v>0</v>
      </c>
      <c r="AA168" s="394"/>
      <c r="AB168" s="394"/>
      <c r="AC168" s="394"/>
      <c r="AD168" s="389">
        <v>1620</v>
      </c>
      <c r="AE168" s="290">
        <v>1620</v>
      </c>
      <c r="AF168" s="245">
        <v>810</v>
      </c>
      <c r="AG168" s="245">
        <f t="shared" si="78"/>
        <v>50</v>
      </c>
      <c r="AH168" s="245"/>
      <c r="AI168" s="245">
        <f t="shared" si="79"/>
        <v>810</v>
      </c>
      <c r="AJ168" s="245">
        <f t="shared" si="80"/>
        <v>810</v>
      </c>
      <c r="AK168" s="245">
        <f t="shared" si="81"/>
        <v>810</v>
      </c>
      <c r="AL168" s="245">
        <f t="shared" si="84"/>
        <v>1620</v>
      </c>
      <c r="AM168" s="245">
        <f t="shared" si="82"/>
        <v>810</v>
      </c>
      <c r="AN168" s="288" t="s">
        <v>854</v>
      </c>
      <c r="AQ168" s="215" t="s">
        <v>864</v>
      </c>
      <c r="AR168" s="215"/>
      <c r="AS168" s="216" t="s">
        <v>496</v>
      </c>
      <c r="AT168" s="224" t="s">
        <v>307</v>
      </c>
      <c r="AU168" s="388" t="s">
        <v>865</v>
      </c>
      <c r="AV168" s="385" t="s">
        <v>836</v>
      </c>
      <c r="AW168" s="396" t="s">
        <v>866</v>
      </c>
      <c r="AY168" s="226"/>
      <c r="AZ168" s="226"/>
      <c r="BA168" s="285"/>
    </row>
    <row r="169" spans="1:53" ht="76.5">
      <c r="A169" s="286">
        <v>15</v>
      </c>
      <c r="B169" s="386" t="s">
        <v>867</v>
      </c>
      <c r="C169" s="386"/>
      <c r="D169" s="386"/>
      <c r="E169" s="386"/>
      <c r="F169" s="386"/>
      <c r="G169" s="387" t="s">
        <v>378</v>
      </c>
      <c r="H169" s="253">
        <v>2019</v>
      </c>
      <c r="I169" s="253"/>
      <c r="J169" s="253">
        <v>2021</v>
      </c>
      <c r="K169" s="253"/>
      <c r="L169" s="253"/>
      <c r="M169" s="398" t="s">
        <v>868</v>
      </c>
      <c r="N169" s="388">
        <v>2823</v>
      </c>
      <c r="O169" s="388"/>
      <c r="P169" s="394">
        <v>2823</v>
      </c>
      <c r="Q169" s="394"/>
      <c r="R169" s="394"/>
      <c r="S169" s="394"/>
      <c r="T169" s="394"/>
      <c r="U169" s="394"/>
      <c r="V169" s="394"/>
      <c r="W169" s="394"/>
      <c r="X169" s="394"/>
      <c r="Y169" s="394"/>
      <c r="Z169" s="245">
        <f t="shared" si="85"/>
        <v>0</v>
      </c>
      <c r="AA169" s="394"/>
      <c r="AB169" s="394"/>
      <c r="AC169" s="394"/>
      <c r="AD169" s="389">
        <v>1620</v>
      </c>
      <c r="AE169" s="290">
        <v>1620</v>
      </c>
      <c r="AF169" s="245">
        <v>810</v>
      </c>
      <c r="AG169" s="245">
        <f t="shared" si="78"/>
        <v>50</v>
      </c>
      <c r="AH169" s="245"/>
      <c r="AI169" s="245">
        <f t="shared" si="79"/>
        <v>810</v>
      </c>
      <c r="AJ169" s="245">
        <f t="shared" si="80"/>
        <v>810</v>
      </c>
      <c r="AK169" s="245">
        <f t="shared" si="81"/>
        <v>810</v>
      </c>
      <c r="AL169" s="245">
        <f t="shared" si="84"/>
        <v>1620</v>
      </c>
      <c r="AM169" s="245">
        <f t="shared" si="82"/>
        <v>810</v>
      </c>
      <c r="AN169" s="288" t="s">
        <v>854</v>
      </c>
      <c r="AQ169" s="215" t="s">
        <v>869</v>
      </c>
      <c r="AR169" s="215"/>
      <c r="AS169" s="216"/>
      <c r="AT169" s="224" t="s">
        <v>307</v>
      </c>
      <c r="AU169" s="388" t="s">
        <v>870</v>
      </c>
      <c r="AV169" s="385" t="s">
        <v>836</v>
      </c>
      <c r="AW169" s="390" t="s">
        <v>871</v>
      </c>
      <c r="AY169" s="226"/>
      <c r="AZ169" s="226"/>
      <c r="BA169" s="285"/>
    </row>
    <row r="170" spans="1:53" ht="76.5">
      <c r="A170" s="286">
        <v>16</v>
      </c>
      <c r="B170" s="386" t="s">
        <v>872</v>
      </c>
      <c r="C170" s="386"/>
      <c r="D170" s="386"/>
      <c r="E170" s="386"/>
      <c r="F170" s="386"/>
      <c r="G170" s="387" t="s">
        <v>435</v>
      </c>
      <c r="H170" s="253">
        <v>2019</v>
      </c>
      <c r="I170" s="253"/>
      <c r="J170" s="253">
        <v>2021</v>
      </c>
      <c r="K170" s="253"/>
      <c r="L170" s="253"/>
      <c r="M170" s="398" t="s">
        <v>873</v>
      </c>
      <c r="N170" s="388">
        <v>4000</v>
      </c>
      <c r="O170" s="388"/>
      <c r="P170" s="400">
        <v>4000</v>
      </c>
      <c r="Q170" s="400"/>
      <c r="R170" s="400"/>
      <c r="S170" s="400"/>
      <c r="T170" s="400"/>
      <c r="U170" s="400"/>
      <c r="V170" s="400"/>
      <c r="W170" s="400"/>
      <c r="X170" s="400"/>
      <c r="Y170" s="400"/>
      <c r="Z170" s="245">
        <f t="shared" si="85"/>
        <v>0</v>
      </c>
      <c r="AA170" s="400"/>
      <c r="AB170" s="400"/>
      <c r="AC170" s="400"/>
      <c r="AD170" s="389">
        <v>2160</v>
      </c>
      <c r="AE170" s="290">
        <v>2160</v>
      </c>
      <c r="AF170" s="245">
        <v>1080</v>
      </c>
      <c r="AG170" s="245">
        <f t="shared" si="78"/>
        <v>50</v>
      </c>
      <c r="AH170" s="245"/>
      <c r="AI170" s="245">
        <f t="shared" si="79"/>
        <v>1080</v>
      </c>
      <c r="AJ170" s="245">
        <f t="shared" si="80"/>
        <v>1080</v>
      </c>
      <c r="AK170" s="245">
        <f t="shared" si="81"/>
        <v>1080</v>
      </c>
      <c r="AL170" s="245">
        <f t="shared" si="84"/>
        <v>2160</v>
      </c>
      <c r="AM170" s="245">
        <f t="shared" si="82"/>
        <v>1080</v>
      </c>
      <c r="AN170" s="288" t="s">
        <v>854</v>
      </c>
      <c r="AQ170" s="215" t="s">
        <v>874</v>
      </c>
      <c r="AR170" s="215"/>
      <c r="AS170" s="216" t="s">
        <v>496</v>
      </c>
      <c r="AT170" s="224" t="s">
        <v>307</v>
      </c>
      <c r="AU170" s="388" t="s">
        <v>875</v>
      </c>
      <c r="AV170" s="385" t="s">
        <v>836</v>
      </c>
      <c r="AW170" s="390" t="s">
        <v>876</v>
      </c>
      <c r="AY170" s="226"/>
      <c r="AZ170" s="226"/>
      <c r="BA170" s="285"/>
    </row>
    <row r="171" spans="1:53" ht="38.25">
      <c r="A171" s="286">
        <v>17</v>
      </c>
      <c r="B171" s="386" t="s">
        <v>877</v>
      </c>
      <c r="C171" s="386"/>
      <c r="D171" s="386"/>
      <c r="E171" s="386"/>
      <c r="F171" s="386"/>
      <c r="G171" s="387" t="s">
        <v>435</v>
      </c>
      <c r="H171" s="253">
        <v>2019</v>
      </c>
      <c r="I171" s="253"/>
      <c r="J171" s="253">
        <v>2021</v>
      </c>
      <c r="K171" s="253"/>
      <c r="L171" s="253"/>
      <c r="M171" s="398" t="s">
        <v>878</v>
      </c>
      <c r="N171" s="388">
        <v>3000</v>
      </c>
      <c r="O171" s="388"/>
      <c r="P171" s="394">
        <v>3000</v>
      </c>
      <c r="Q171" s="394"/>
      <c r="R171" s="394"/>
      <c r="S171" s="394"/>
      <c r="T171" s="394"/>
      <c r="U171" s="394"/>
      <c r="V171" s="394"/>
      <c r="W171" s="394"/>
      <c r="X171" s="394"/>
      <c r="Y171" s="394"/>
      <c r="Z171" s="245">
        <f t="shared" si="85"/>
        <v>0</v>
      </c>
      <c r="AA171" s="394"/>
      <c r="AB171" s="394"/>
      <c r="AC171" s="394"/>
      <c r="AD171" s="389">
        <v>1620</v>
      </c>
      <c r="AE171" s="290">
        <v>1620</v>
      </c>
      <c r="AF171" s="245">
        <v>810</v>
      </c>
      <c r="AG171" s="245">
        <f t="shared" si="78"/>
        <v>50</v>
      </c>
      <c r="AH171" s="245"/>
      <c r="AI171" s="245">
        <f t="shared" si="79"/>
        <v>810</v>
      </c>
      <c r="AJ171" s="245">
        <f t="shared" si="80"/>
        <v>810</v>
      </c>
      <c r="AK171" s="245">
        <f t="shared" si="81"/>
        <v>810</v>
      </c>
      <c r="AL171" s="245">
        <f t="shared" si="84"/>
        <v>1620</v>
      </c>
      <c r="AM171" s="245">
        <f t="shared" si="82"/>
        <v>810</v>
      </c>
      <c r="AN171" s="288" t="s">
        <v>854</v>
      </c>
      <c r="AQ171" s="215" t="s">
        <v>732</v>
      </c>
      <c r="AR171" s="215"/>
      <c r="AS171" s="216"/>
      <c r="AT171" s="224" t="s">
        <v>307</v>
      </c>
      <c r="AU171" s="399" t="s">
        <v>733</v>
      </c>
      <c r="AV171" s="385" t="s">
        <v>836</v>
      </c>
      <c r="AW171" s="390" t="s">
        <v>879</v>
      </c>
      <c r="AY171" s="226"/>
      <c r="AZ171" s="226"/>
      <c r="BA171" s="285"/>
    </row>
    <row r="172" spans="1:53" ht="38.25">
      <c r="A172" s="286">
        <v>18</v>
      </c>
      <c r="B172" s="386" t="s">
        <v>880</v>
      </c>
      <c r="C172" s="386"/>
      <c r="D172" s="386"/>
      <c r="E172" s="386"/>
      <c r="F172" s="386"/>
      <c r="G172" s="387" t="s">
        <v>395</v>
      </c>
      <c r="H172" s="253">
        <v>2019</v>
      </c>
      <c r="I172" s="253"/>
      <c r="J172" s="253">
        <v>2021</v>
      </c>
      <c r="K172" s="253"/>
      <c r="L172" s="253"/>
      <c r="M172" s="398" t="s">
        <v>881</v>
      </c>
      <c r="N172" s="388">
        <v>3200</v>
      </c>
      <c r="O172" s="388"/>
      <c r="P172" s="394">
        <v>3200</v>
      </c>
      <c r="Q172" s="394"/>
      <c r="R172" s="394"/>
      <c r="S172" s="394"/>
      <c r="T172" s="394"/>
      <c r="U172" s="394"/>
      <c r="V172" s="394"/>
      <c r="W172" s="394"/>
      <c r="X172" s="394"/>
      <c r="Y172" s="394"/>
      <c r="Z172" s="245">
        <f t="shared" si="85"/>
        <v>0</v>
      </c>
      <c r="AA172" s="394"/>
      <c r="AB172" s="394"/>
      <c r="AC172" s="394"/>
      <c r="AD172" s="389">
        <v>1728</v>
      </c>
      <c r="AE172" s="290">
        <v>1728</v>
      </c>
      <c r="AF172" s="245">
        <v>864</v>
      </c>
      <c r="AG172" s="245">
        <f t="shared" si="78"/>
        <v>50</v>
      </c>
      <c r="AH172" s="245"/>
      <c r="AI172" s="245">
        <f t="shared" si="79"/>
        <v>864</v>
      </c>
      <c r="AJ172" s="245">
        <f t="shared" si="80"/>
        <v>864</v>
      </c>
      <c r="AK172" s="245">
        <f t="shared" si="81"/>
        <v>864</v>
      </c>
      <c r="AL172" s="245">
        <f t="shared" si="84"/>
        <v>1728</v>
      </c>
      <c r="AM172" s="245">
        <f t="shared" si="82"/>
        <v>864</v>
      </c>
      <c r="AN172" s="288" t="s">
        <v>854</v>
      </c>
      <c r="AQ172" s="215" t="s">
        <v>778</v>
      </c>
      <c r="AR172" s="215"/>
      <c r="AS172" s="216"/>
      <c r="AT172" s="224" t="s">
        <v>307</v>
      </c>
      <c r="AU172" s="401" t="s">
        <v>779</v>
      </c>
      <c r="AV172" s="385" t="s">
        <v>836</v>
      </c>
      <c r="AW172" s="368"/>
      <c r="AY172" s="226"/>
      <c r="AZ172" s="226"/>
      <c r="BA172" s="285"/>
    </row>
    <row r="173" spans="1:53" ht="76.5">
      <c r="A173" s="286">
        <v>2</v>
      </c>
      <c r="B173" s="402" t="s">
        <v>882</v>
      </c>
      <c r="C173" s="402"/>
      <c r="D173" s="402"/>
      <c r="E173" s="402"/>
      <c r="F173" s="402"/>
      <c r="G173" s="403" t="s">
        <v>382</v>
      </c>
      <c r="H173" s="404">
        <v>2019</v>
      </c>
      <c r="I173" s="404"/>
      <c r="J173" s="404">
        <v>2021</v>
      </c>
      <c r="K173" s="404"/>
      <c r="L173" s="404"/>
      <c r="M173" s="405" t="s">
        <v>883</v>
      </c>
      <c r="N173" s="406">
        <v>4000</v>
      </c>
      <c r="O173" s="406"/>
      <c r="P173" s="407">
        <v>4000</v>
      </c>
      <c r="Q173" s="407"/>
      <c r="R173" s="407"/>
      <c r="S173" s="407"/>
      <c r="T173" s="407"/>
      <c r="U173" s="407"/>
      <c r="V173" s="407"/>
      <c r="W173" s="407"/>
      <c r="X173" s="407"/>
      <c r="Y173" s="407"/>
      <c r="Z173" s="245">
        <f>V173+Y173</f>
        <v>0</v>
      </c>
      <c r="AA173" s="407"/>
      <c r="AB173" s="407"/>
      <c r="AC173" s="407"/>
      <c r="AD173" s="290">
        <f>P173*0.6</f>
        <v>2400</v>
      </c>
      <c r="AE173" s="290">
        <f>AD173</f>
        <v>2400</v>
      </c>
      <c r="AF173" s="245">
        <v>1200</v>
      </c>
      <c r="AG173" s="245">
        <f t="shared" si="78"/>
        <v>50</v>
      </c>
      <c r="AH173" s="245"/>
      <c r="AI173" s="245">
        <f t="shared" si="79"/>
        <v>1200</v>
      </c>
      <c r="AJ173" s="245">
        <f t="shared" si="80"/>
        <v>1200</v>
      </c>
      <c r="AK173" s="245">
        <f t="shared" si="81"/>
        <v>1200</v>
      </c>
      <c r="AL173" s="245">
        <f t="shared" si="84"/>
        <v>2400</v>
      </c>
      <c r="AM173" s="245">
        <f t="shared" si="82"/>
        <v>1200</v>
      </c>
      <c r="AN173" s="288" t="s">
        <v>884</v>
      </c>
      <c r="AQ173" s="215" t="s">
        <v>885</v>
      </c>
      <c r="AR173" s="215"/>
      <c r="AS173" s="216" t="s">
        <v>572</v>
      </c>
      <c r="AT173" s="224" t="s">
        <v>307</v>
      </c>
      <c r="AU173" s="385" t="s">
        <v>886</v>
      </c>
      <c r="AV173" s="385" t="s">
        <v>887</v>
      </c>
      <c r="AW173" s="408" t="s">
        <v>888</v>
      </c>
      <c r="AY173" s="226"/>
      <c r="AZ173" s="226"/>
      <c r="BA173" s="285"/>
    </row>
    <row r="174" spans="1:53" s="417" customFormat="1" ht="25.5">
      <c r="A174" s="409"/>
      <c r="B174" s="410" t="s">
        <v>889</v>
      </c>
      <c r="C174" s="410"/>
      <c r="D174" s="410"/>
      <c r="E174" s="410"/>
      <c r="F174" s="410"/>
      <c r="G174" s="411" t="s">
        <v>382</v>
      </c>
      <c r="H174" s="404">
        <v>2019</v>
      </c>
      <c r="I174" s="404"/>
      <c r="J174" s="404">
        <v>2021</v>
      </c>
      <c r="K174" s="412"/>
      <c r="L174" s="412"/>
      <c r="M174" s="413" t="s">
        <v>890</v>
      </c>
      <c r="N174" s="414">
        <v>4000</v>
      </c>
      <c r="O174" s="414"/>
      <c r="P174" s="414">
        <v>4000</v>
      </c>
      <c r="Q174" s="414"/>
      <c r="R174" s="414"/>
      <c r="S174" s="414"/>
      <c r="T174" s="414"/>
      <c r="U174" s="414"/>
      <c r="V174" s="414"/>
      <c r="W174" s="414"/>
      <c r="X174" s="414"/>
      <c r="Y174" s="414"/>
      <c r="Z174" s="415"/>
      <c r="AA174" s="414"/>
      <c r="AB174" s="414"/>
      <c r="AC174" s="414"/>
      <c r="AD174" s="416">
        <f>P174*0.6</f>
        <v>2400</v>
      </c>
      <c r="AE174" s="416">
        <f>AD174</f>
        <v>2400</v>
      </c>
      <c r="AF174" s="245">
        <v>1200</v>
      </c>
      <c r="AG174" s="245">
        <f t="shared" si="78"/>
        <v>50</v>
      </c>
      <c r="AH174" s="245"/>
      <c r="AI174" s="245">
        <f t="shared" si="79"/>
        <v>1200</v>
      </c>
      <c r="AJ174" s="245">
        <f t="shared" si="80"/>
        <v>1200</v>
      </c>
      <c r="AK174" s="245">
        <f t="shared" si="81"/>
        <v>1200</v>
      </c>
      <c r="AL174" s="245">
        <f t="shared" si="84"/>
        <v>2400</v>
      </c>
      <c r="AM174" s="245">
        <f t="shared" si="82"/>
        <v>1200</v>
      </c>
      <c r="AN174" s="412" t="s">
        <v>884</v>
      </c>
      <c r="AP174" s="417" t="s">
        <v>891</v>
      </c>
      <c r="AQ174" s="418" t="s">
        <v>529</v>
      </c>
      <c r="AR174" s="418"/>
      <c r="AS174" s="419"/>
      <c r="AT174" s="224" t="s">
        <v>307</v>
      </c>
      <c r="AU174" s="385" t="s">
        <v>530</v>
      </c>
      <c r="AV174" s="420"/>
      <c r="AW174" s="421"/>
      <c r="AY174" s="419"/>
      <c r="AZ174" s="419"/>
      <c r="BA174" s="422"/>
    </row>
    <row r="175" spans="1:53" s="434" customFormat="1" ht="27">
      <c r="A175" s="423" t="s">
        <v>43</v>
      </c>
      <c r="B175" s="424" t="s">
        <v>892</v>
      </c>
      <c r="C175" s="424"/>
      <c r="D175" s="424"/>
      <c r="E175" s="424"/>
      <c r="F175" s="424"/>
      <c r="G175" s="425"/>
      <c r="H175" s="426"/>
      <c r="I175" s="426"/>
      <c r="J175" s="426"/>
      <c r="K175" s="426"/>
      <c r="L175" s="426"/>
      <c r="M175" s="427"/>
      <c r="N175" s="428"/>
      <c r="O175" s="428"/>
      <c r="P175" s="429"/>
      <c r="Q175" s="429"/>
      <c r="R175" s="429"/>
      <c r="S175" s="429"/>
      <c r="T175" s="429"/>
      <c r="U175" s="429"/>
      <c r="V175" s="429"/>
      <c r="W175" s="429"/>
      <c r="X175" s="429"/>
      <c r="Y175" s="429"/>
      <c r="Z175" s="430"/>
      <c r="AA175" s="429"/>
      <c r="AB175" s="429"/>
      <c r="AC175" s="429"/>
      <c r="AD175" s="431"/>
      <c r="AE175" s="432"/>
      <c r="AF175" s="432"/>
      <c r="AG175" s="433"/>
      <c r="AH175" s="433"/>
      <c r="AI175" s="433"/>
      <c r="AJ175" s="433"/>
      <c r="AK175" s="433"/>
      <c r="AL175" s="433"/>
      <c r="AM175" s="433"/>
      <c r="AN175" s="427"/>
      <c r="AQ175" s="435"/>
      <c r="AR175" s="435"/>
      <c r="AS175" s="436"/>
      <c r="AT175" s="224"/>
      <c r="AU175" s="437"/>
      <c r="AV175" s="438"/>
      <c r="AW175" s="439"/>
      <c r="AY175" s="440"/>
      <c r="AZ175" s="440"/>
      <c r="BA175" s="441"/>
    </row>
    <row r="176" spans="1:53" ht="51">
      <c r="A176" s="286">
        <v>3</v>
      </c>
      <c r="B176" s="402" t="s">
        <v>893</v>
      </c>
      <c r="C176" s="402"/>
      <c r="D176" s="402"/>
      <c r="E176" s="402"/>
      <c r="F176" s="402"/>
      <c r="G176" s="403" t="s">
        <v>333</v>
      </c>
      <c r="H176" s="404">
        <v>2019</v>
      </c>
      <c r="I176" s="404"/>
      <c r="J176" s="404">
        <v>2021</v>
      </c>
      <c r="K176" s="404"/>
      <c r="L176" s="404"/>
      <c r="M176" s="393" t="s">
        <v>894</v>
      </c>
      <c r="N176" s="442">
        <v>9500</v>
      </c>
      <c r="O176" s="442"/>
      <c r="P176" s="442">
        <v>9500</v>
      </c>
      <c r="Q176" s="442"/>
      <c r="R176" s="442"/>
      <c r="S176" s="442"/>
      <c r="T176" s="442"/>
      <c r="U176" s="442"/>
      <c r="V176" s="442"/>
      <c r="W176" s="442"/>
      <c r="X176" s="442"/>
      <c r="Y176" s="442"/>
      <c r="Z176" s="245">
        <f t="shared" si="85"/>
        <v>0</v>
      </c>
      <c r="AA176" s="442"/>
      <c r="AB176" s="442"/>
      <c r="AC176" s="442"/>
      <c r="AD176" s="443">
        <f>P176*0.6</f>
        <v>5700</v>
      </c>
      <c r="AE176" s="443">
        <f t="shared" ref="AE176:AE183" si="86">AD176</f>
        <v>5700</v>
      </c>
      <c r="AF176" s="245">
        <f>2723+127</f>
        <v>2850</v>
      </c>
      <c r="AG176" s="245">
        <f t="shared" si="78"/>
        <v>50</v>
      </c>
      <c r="AH176" s="245"/>
      <c r="AI176" s="245">
        <f t="shared" ref="AI176" si="87">AF176+AH176</f>
        <v>2850</v>
      </c>
      <c r="AJ176" s="245">
        <f t="shared" ref="AJ176" si="88">AA176+AI176</f>
        <v>2850</v>
      </c>
      <c r="AK176" s="245">
        <f t="shared" ref="AK176" si="89">AC176+AI176</f>
        <v>2850</v>
      </c>
      <c r="AL176" s="245">
        <f t="shared" si="84"/>
        <v>5700</v>
      </c>
      <c r="AM176" s="245">
        <f t="shared" ref="AM176" si="90">AE176-AI176</f>
        <v>2850</v>
      </c>
      <c r="AN176" s="282"/>
      <c r="AQ176" s="215" t="s">
        <v>895</v>
      </c>
      <c r="AR176" s="215"/>
      <c r="AS176" s="216"/>
      <c r="AT176" s="224"/>
      <c r="AU176" s="399" t="s">
        <v>896</v>
      </c>
      <c r="AV176" s="385" t="s">
        <v>836</v>
      </c>
      <c r="AW176" s="396" t="s">
        <v>897</v>
      </c>
      <c r="AY176" s="226"/>
      <c r="AZ176" s="226"/>
      <c r="BA176" s="285"/>
    </row>
    <row r="177" spans="1:53" s="434" customFormat="1" ht="13.5">
      <c r="A177" s="423" t="s">
        <v>45</v>
      </c>
      <c r="B177" s="444" t="s">
        <v>898</v>
      </c>
      <c r="C177" s="444"/>
      <c r="D177" s="444"/>
      <c r="E177" s="444"/>
      <c r="F177" s="444"/>
      <c r="G177" s="445"/>
      <c r="H177" s="446"/>
      <c r="I177" s="446"/>
      <c r="J177" s="446"/>
      <c r="K177" s="446"/>
      <c r="L177" s="446"/>
      <c r="M177" s="447"/>
      <c r="N177" s="448"/>
      <c r="O177" s="448"/>
      <c r="P177" s="448"/>
      <c r="Q177" s="448"/>
      <c r="R177" s="448"/>
      <c r="S177" s="448"/>
      <c r="T177" s="448"/>
      <c r="U177" s="448"/>
      <c r="V177" s="448"/>
      <c r="W177" s="448"/>
      <c r="X177" s="448"/>
      <c r="Y177" s="448"/>
      <c r="Z177" s="430"/>
      <c r="AA177" s="448"/>
      <c r="AB177" s="448"/>
      <c r="AC177" s="448"/>
      <c r="AD177" s="432"/>
      <c r="AE177" s="432"/>
      <c r="AF177" s="432"/>
      <c r="AG177" s="433"/>
      <c r="AH177" s="433"/>
      <c r="AI177" s="433"/>
      <c r="AJ177" s="433"/>
      <c r="AK177" s="433"/>
      <c r="AL177" s="433"/>
      <c r="AM177" s="433"/>
      <c r="AN177" s="449"/>
      <c r="AQ177" s="435"/>
      <c r="AR177" s="435"/>
      <c r="AS177" s="436"/>
      <c r="AT177" s="224"/>
      <c r="AU177" s="450"/>
      <c r="AV177" s="438"/>
      <c r="AW177" s="451"/>
      <c r="AY177" s="440"/>
      <c r="AZ177" s="440"/>
      <c r="BA177" s="441"/>
    </row>
    <row r="178" spans="1:53" ht="38.25">
      <c r="A178" s="286">
        <v>1</v>
      </c>
      <c r="B178" s="452" t="s">
        <v>899</v>
      </c>
      <c r="C178" s="452"/>
      <c r="D178" s="452"/>
      <c r="E178" s="452"/>
      <c r="F178" s="452"/>
      <c r="G178" s="453" t="s">
        <v>333</v>
      </c>
      <c r="H178" s="404">
        <v>2019</v>
      </c>
      <c r="I178" s="404"/>
      <c r="J178" s="404">
        <v>2021</v>
      </c>
      <c r="K178" s="404"/>
      <c r="L178" s="404"/>
      <c r="M178" s="393" t="s">
        <v>900</v>
      </c>
      <c r="N178" s="442">
        <v>3000</v>
      </c>
      <c r="O178" s="442"/>
      <c r="P178" s="394">
        <v>3000</v>
      </c>
      <c r="Q178" s="394"/>
      <c r="R178" s="394"/>
      <c r="S178" s="394"/>
      <c r="T178" s="394"/>
      <c r="U178" s="394"/>
      <c r="V178" s="394"/>
      <c r="W178" s="394"/>
      <c r="X178" s="394"/>
      <c r="Y178" s="394"/>
      <c r="Z178" s="245">
        <f>V178+Y178</f>
        <v>0</v>
      </c>
      <c r="AA178" s="394"/>
      <c r="AB178" s="394"/>
      <c r="AC178" s="394"/>
      <c r="AD178" s="290">
        <f>P178*0.6</f>
        <v>1800</v>
      </c>
      <c r="AE178" s="290">
        <f>AD178</f>
        <v>1800</v>
      </c>
      <c r="AF178" s="245">
        <v>900</v>
      </c>
      <c r="AG178" s="245">
        <f t="shared" ref="AG178:AG183" si="91">AF178/AE178*100</f>
        <v>50</v>
      </c>
      <c r="AH178" s="245"/>
      <c r="AI178" s="245">
        <f t="shared" ref="AI178:AI183" si="92">AF178+AH178</f>
        <v>900</v>
      </c>
      <c r="AJ178" s="245">
        <f t="shared" ref="AJ178:AJ183" si="93">AA178+AI178</f>
        <v>900</v>
      </c>
      <c r="AK178" s="245">
        <f t="shared" ref="AK178:AK183" si="94">AC178+AI178</f>
        <v>900</v>
      </c>
      <c r="AL178" s="245">
        <f t="shared" si="84"/>
        <v>1800</v>
      </c>
      <c r="AM178" s="245">
        <f t="shared" ref="AM178:AM183" si="95">AE178-AI178</f>
        <v>900</v>
      </c>
      <c r="AN178" s="288" t="s">
        <v>901</v>
      </c>
      <c r="AQ178" s="215" t="s">
        <v>902</v>
      </c>
      <c r="AR178" s="215"/>
      <c r="AS178" s="216"/>
      <c r="AT178" s="224" t="s">
        <v>307</v>
      </c>
      <c r="AU178" s="399" t="s">
        <v>903</v>
      </c>
      <c r="AV178" s="385" t="s">
        <v>836</v>
      </c>
      <c r="AW178" s="454"/>
      <c r="AY178" s="226"/>
      <c r="AZ178" s="226"/>
      <c r="BA178" s="285"/>
    </row>
    <row r="179" spans="1:53" ht="38.25">
      <c r="A179" s="286">
        <v>6</v>
      </c>
      <c r="B179" s="455" t="s">
        <v>904</v>
      </c>
      <c r="C179" s="455"/>
      <c r="D179" s="455"/>
      <c r="E179" s="455"/>
      <c r="F179" s="455"/>
      <c r="G179" s="456" t="s">
        <v>333</v>
      </c>
      <c r="H179" s="253">
        <v>2019</v>
      </c>
      <c r="I179" s="253"/>
      <c r="J179" s="253">
        <v>2021</v>
      </c>
      <c r="K179" s="253"/>
      <c r="L179" s="253"/>
      <c r="M179" s="393" t="s">
        <v>905</v>
      </c>
      <c r="N179" s="389">
        <v>4000</v>
      </c>
      <c r="O179" s="389"/>
      <c r="P179" s="389">
        <f>N179*0.6</f>
        <v>2400</v>
      </c>
      <c r="Q179" s="389"/>
      <c r="R179" s="389"/>
      <c r="S179" s="389"/>
      <c r="T179" s="389"/>
      <c r="U179" s="389"/>
      <c r="V179" s="389"/>
      <c r="W179" s="389"/>
      <c r="X179" s="389"/>
      <c r="Y179" s="389"/>
      <c r="Z179" s="245">
        <f>V179+Y179</f>
        <v>0</v>
      </c>
      <c r="AA179" s="389"/>
      <c r="AB179" s="389"/>
      <c r="AC179" s="389"/>
      <c r="AD179" s="443">
        <f>P179*0.6</f>
        <v>1440</v>
      </c>
      <c r="AE179" s="290">
        <f t="shared" si="86"/>
        <v>1440</v>
      </c>
      <c r="AF179" s="245">
        <v>720</v>
      </c>
      <c r="AG179" s="245">
        <f t="shared" si="91"/>
        <v>50</v>
      </c>
      <c r="AH179" s="245"/>
      <c r="AI179" s="245">
        <f t="shared" si="92"/>
        <v>720</v>
      </c>
      <c r="AJ179" s="245">
        <f t="shared" si="93"/>
        <v>720</v>
      </c>
      <c r="AK179" s="245">
        <f t="shared" si="94"/>
        <v>720</v>
      </c>
      <c r="AL179" s="245">
        <f t="shared" si="84"/>
        <v>1440</v>
      </c>
      <c r="AM179" s="245">
        <f t="shared" si="95"/>
        <v>720</v>
      </c>
      <c r="AN179" s="288" t="s">
        <v>906</v>
      </c>
      <c r="AQ179" s="215" t="s">
        <v>907</v>
      </c>
      <c r="AR179" s="215"/>
      <c r="AS179" s="216"/>
      <c r="AT179" s="224" t="s">
        <v>307</v>
      </c>
      <c r="AU179" s="385" t="s">
        <v>908</v>
      </c>
      <c r="AV179" s="385" t="s">
        <v>836</v>
      </c>
      <c r="AW179" s="396" t="s">
        <v>909</v>
      </c>
      <c r="AY179" s="226"/>
      <c r="AZ179" s="226"/>
      <c r="BA179" s="285"/>
    </row>
    <row r="180" spans="1:53" ht="51.75" customHeight="1">
      <c r="A180" s="286">
        <v>7</v>
      </c>
      <c r="B180" s="457" t="s">
        <v>910</v>
      </c>
      <c r="C180" s="457"/>
      <c r="D180" s="457"/>
      <c r="E180" s="457"/>
      <c r="F180" s="457"/>
      <c r="G180" s="288" t="s">
        <v>333</v>
      </c>
      <c r="H180" s="286">
        <v>2019</v>
      </c>
      <c r="I180" s="286"/>
      <c r="J180" s="286">
        <v>2021</v>
      </c>
      <c r="K180" s="286"/>
      <c r="L180" s="286"/>
      <c r="M180" s="393" t="s">
        <v>911</v>
      </c>
      <c r="N180" s="458">
        <v>4000</v>
      </c>
      <c r="O180" s="458"/>
      <c r="P180" s="458">
        <v>4000</v>
      </c>
      <c r="Q180" s="458"/>
      <c r="R180" s="458"/>
      <c r="S180" s="458"/>
      <c r="T180" s="458"/>
      <c r="U180" s="458"/>
      <c r="V180" s="458"/>
      <c r="W180" s="458"/>
      <c r="X180" s="458"/>
      <c r="Y180" s="458"/>
      <c r="Z180" s="245">
        <f>V180+Y180</f>
        <v>0</v>
      </c>
      <c r="AA180" s="458"/>
      <c r="AB180" s="458"/>
      <c r="AC180" s="458"/>
      <c r="AD180" s="443">
        <f>P180*0.6</f>
        <v>2400</v>
      </c>
      <c r="AE180" s="290">
        <f t="shared" si="86"/>
        <v>2400</v>
      </c>
      <c r="AF180" s="245">
        <v>1200</v>
      </c>
      <c r="AG180" s="245">
        <f t="shared" si="91"/>
        <v>50</v>
      </c>
      <c r="AH180" s="459"/>
      <c r="AI180" s="245">
        <f t="shared" si="92"/>
        <v>1200</v>
      </c>
      <c r="AJ180" s="245">
        <f t="shared" si="93"/>
        <v>1200</v>
      </c>
      <c r="AK180" s="245">
        <f t="shared" si="94"/>
        <v>1200</v>
      </c>
      <c r="AL180" s="245">
        <f t="shared" si="84"/>
        <v>2400</v>
      </c>
      <c r="AM180" s="245">
        <f t="shared" si="95"/>
        <v>1200</v>
      </c>
      <c r="AN180" s="460" t="s">
        <v>912</v>
      </c>
      <c r="AQ180" s="215" t="s">
        <v>664</v>
      </c>
      <c r="AR180" s="215"/>
      <c r="AS180" s="216"/>
      <c r="AT180" s="224"/>
      <c r="AU180" s="288" t="s">
        <v>913</v>
      </c>
      <c r="AV180" s="226" t="s">
        <v>360</v>
      </c>
      <c r="AW180" s="461" t="s">
        <v>914</v>
      </c>
      <c r="AY180" s="226"/>
      <c r="AZ180" s="226"/>
      <c r="BA180" s="285"/>
    </row>
    <row r="181" spans="1:53" ht="63.75">
      <c r="A181" s="286">
        <v>1</v>
      </c>
      <c r="B181" s="287" t="s">
        <v>915</v>
      </c>
      <c r="C181" s="287"/>
      <c r="D181" s="287"/>
      <c r="E181" s="287"/>
      <c r="F181" s="287"/>
      <c r="G181" s="462" t="s">
        <v>341</v>
      </c>
      <c r="H181" s="463">
        <v>2018</v>
      </c>
      <c r="I181" s="404"/>
      <c r="J181" s="404">
        <v>2020</v>
      </c>
      <c r="K181" s="404"/>
      <c r="L181" s="404"/>
      <c r="M181" s="398" t="s">
        <v>916</v>
      </c>
      <c r="N181" s="406">
        <v>4500</v>
      </c>
      <c r="O181" s="406"/>
      <c r="P181" s="406">
        <v>2700</v>
      </c>
      <c r="Q181" s="406"/>
      <c r="R181" s="406"/>
      <c r="S181" s="406"/>
      <c r="T181" s="406"/>
      <c r="U181" s="406"/>
      <c r="V181" s="406"/>
      <c r="W181" s="406"/>
      <c r="X181" s="406"/>
      <c r="Y181" s="406"/>
      <c r="Z181" s="245">
        <f>V181+Y181</f>
        <v>0</v>
      </c>
      <c r="AA181" s="406"/>
      <c r="AB181" s="406"/>
      <c r="AC181" s="406"/>
      <c r="AD181" s="290">
        <f>P181*1</f>
        <v>2700</v>
      </c>
      <c r="AE181" s="290">
        <f t="shared" si="86"/>
        <v>2700</v>
      </c>
      <c r="AF181" s="245">
        <v>1350</v>
      </c>
      <c r="AG181" s="245">
        <f t="shared" si="91"/>
        <v>50</v>
      </c>
      <c r="AH181" s="245"/>
      <c r="AI181" s="245">
        <f t="shared" si="92"/>
        <v>1350</v>
      </c>
      <c r="AJ181" s="245">
        <f t="shared" si="93"/>
        <v>1350</v>
      </c>
      <c r="AK181" s="245">
        <f t="shared" si="94"/>
        <v>1350</v>
      </c>
      <c r="AL181" s="245">
        <f t="shared" si="84"/>
        <v>2700</v>
      </c>
      <c r="AM181" s="245">
        <f t="shared" si="95"/>
        <v>1350</v>
      </c>
      <c r="AN181" s="288" t="s">
        <v>917</v>
      </c>
      <c r="AQ181" s="215" t="s">
        <v>918</v>
      </c>
      <c r="AR181" s="215"/>
      <c r="AS181" s="216"/>
      <c r="AT181" s="224" t="s">
        <v>307</v>
      </c>
      <c r="AU181" s="385" t="s">
        <v>919</v>
      </c>
      <c r="AV181" s="385" t="s">
        <v>920</v>
      </c>
      <c r="AW181" s="390" t="s">
        <v>921</v>
      </c>
      <c r="AY181" s="226"/>
      <c r="AZ181" s="226"/>
      <c r="BA181" s="285"/>
    </row>
    <row r="182" spans="1:53" ht="38.25">
      <c r="A182" s="286">
        <v>2</v>
      </c>
      <c r="B182" s="464" t="s">
        <v>922</v>
      </c>
      <c r="C182" s="464"/>
      <c r="D182" s="464"/>
      <c r="E182" s="464"/>
      <c r="F182" s="464"/>
      <c r="G182" s="465" t="s">
        <v>333</v>
      </c>
      <c r="H182" s="288">
        <v>2019</v>
      </c>
      <c r="I182" s="288"/>
      <c r="J182" s="288">
        <v>2021</v>
      </c>
      <c r="K182" s="288"/>
      <c r="L182" s="288"/>
      <c r="M182" s="466" t="s">
        <v>923</v>
      </c>
      <c r="N182" s="467">
        <v>6000</v>
      </c>
      <c r="O182" s="467"/>
      <c r="P182" s="467">
        <v>6000</v>
      </c>
      <c r="Q182" s="467"/>
      <c r="R182" s="467"/>
      <c r="S182" s="467"/>
      <c r="T182" s="467"/>
      <c r="U182" s="467"/>
      <c r="V182" s="467"/>
      <c r="W182" s="467"/>
      <c r="X182" s="467"/>
      <c r="Y182" s="467"/>
      <c r="Z182" s="245">
        <f t="shared" si="85"/>
        <v>0</v>
      </c>
      <c r="AA182" s="467"/>
      <c r="AB182" s="467"/>
      <c r="AC182" s="467"/>
      <c r="AD182" s="290">
        <f>P182*0.6</f>
        <v>3600</v>
      </c>
      <c r="AE182" s="290">
        <f t="shared" si="86"/>
        <v>3600</v>
      </c>
      <c r="AF182" s="245">
        <v>1800</v>
      </c>
      <c r="AG182" s="245">
        <f t="shared" si="91"/>
        <v>50</v>
      </c>
      <c r="AH182" s="245"/>
      <c r="AI182" s="245">
        <f t="shared" si="92"/>
        <v>1800</v>
      </c>
      <c r="AJ182" s="245">
        <f t="shared" si="93"/>
        <v>1800</v>
      </c>
      <c r="AK182" s="245">
        <f t="shared" si="94"/>
        <v>1800</v>
      </c>
      <c r="AL182" s="245">
        <f t="shared" si="84"/>
        <v>3600</v>
      </c>
      <c r="AM182" s="245">
        <f t="shared" si="95"/>
        <v>1800</v>
      </c>
      <c r="AN182" s="282"/>
      <c r="AQ182" s="215" t="s">
        <v>524</v>
      </c>
      <c r="AR182" s="215"/>
      <c r="AS182" s="216"/>
      <c r="AT182" s="224"/>
      <c r="AU182" s="399" t="s">
        <v>924</v>
      </c>
      <c r="AV182" s="385" t="s">
        <v>925</v>
      </c>
      <c r="AW182" s="468"/>
      <c r="AY182" s="226"/>
      <c r="AZ182" s="226"/>
      <c r="BA182" s="285"/>
    </row>
    <row r="183" spans="1:53" ht="39" customHeight="1">
      <c r="A183" s="286">
        <v>3</v>
      </c>
      <c r="B183" s="464" t="s">
        <v>926</v>
      </c>
      <c r="C183" s="464"/>
      <c r="D183" s="464"/>
      <c r="E183" s="464"/>
      <c r="F183" s="464"/>
      <c r="G183" s="465" t="s">
        <v>395</v>
      </c>
      <c r="H183" s="397">
        <v>2019</v>
      </c>
      <c r="I183" s="397"/>
      <c r="J183" s="397">
        <v>2021</v>
      </c>
      <c r="K183" s="397"/>
      <c r="L183" s="397"/>
      <c r="M183" s="469" t="s">
        <v>927</v>
      </c>
      <c r="N183" s="467">
        <v>5500</v>
      </c>
      <c r="O183" s="467"/>
      <c r="P183" s="467">
        <v>5500</v>
      </c>
      <c r="Q183" s="467"/>
      <c r="R183" s="467"/>
      <c r="S183" s="467"/>
      <c r="T183" s="467"/>
      <c r="U183" s="467"/>
      <c r="V183" s="467"/>
      <c r="W183" s="467"/>
      <c r="X183" s="467"/>
      <c r="Y183" s="467"/>
      <c r="Z183" s="245">
        <f t="shared" si="85"/>
        <v>0</v>
      </c>
      <c r="AA183" s="467"/>
      <c r="AB183" s="467"/>
      <c r="AC183" s="467"/>
      <c r="AD183" s="290">
        <f>P183*0.6</f>
        <v>3300</v>
      </c>
      <c r="AE183" s="290">
        <f t="shared" si="86"/>
        <v>3300</v>
      </c>
      <c r="AF183" s="245">
        <v>1650</v>
      </c>
      <c r="AG183" s="245">
        <f t="shared" si="91"/>
        <v>50</v>
      </c>
      <c r="AH183" s="459"/>
      <c r="AI183" s="245">
        <f t="shared" si="92"/>
        <v>1650</v>
      </c>
      <c r="AJ183" s="245">
        <f t="shared" si="93"/>
        <v>1650</v>
      </c>
      <c r="AK183" s="245">
        <f t="shared" si="94"/>
        <v>1650</v>
      </c>
      <c r="AL183" s="245">
        <f t="shared" si="84"/>
        <v>3300</v>
      </c>
      <c r="AM183" s="245">
        <f t="shared" si="95"/>
        <v>1650</v>
      </c>
      <c r="AN183" s="460"/>
      <c r="AQ183" s="215" t="s">
        <v>571</v>
      </c>
      <c r="AR183" s="215"/>
      <c r="AS183" s="216" t="s">
        <v>572</v>
      </c>
      <c r="AT183" s="224" t="s">
        <v>307</v>
      </c>
      <c r="AU183" s="470" t="s">
        <v>928</v>
      </c>
      <c r="AV183" s="385"/>
      <c r="AW183" s="471" t="s">
        <v>929</v>
      </c>
      <c r="AY183" s="226"/>
      <c r="AZ183" s="226"/>
      <c r="BA183" s="285"/>
    </row>
    <row r="184" spans="1:53" ht="51.75" customHeight="1">
      <c r="A184" s="286">
        <v>4</v>
      </c>
      <c r="B184" s="457" t="s">
        <v>930</v>
      </c>
      <c r="C184" s="457"/>
      <c r="D184" s="457"/>
      <c r="E184" s="457"/>
      <c r="F184" s="457"/>
      <c r="G184" s="288" t="s">
        <v>395</v>
      </c>
      <c r="H184" s="286">
        <v>2020</v>
      </c>
      <c r="I184" s="286"/>
      <c r="J184" s="286">
        <v>2022</v>
      </c>
      <c r="K184" s="286"/>
      <c r="L184" s="286"/>
      <c r="M184" s="288" t="s">
        <v>931</v>
      </c>
      <c r="N184" s="458">
        <v>4000</v>
      </c>
      <c r="O184" s="458"/>
      <c r="P184" s="458">
        <v>4000</v>
      </c>
      <c r="Q184" s="458"/>
      <c r="R184" s="458"/>
      <c r="S184" s="458"/>
      <c r="T184" s="458">
        <f>P184*0.3</f>
        <v>1200</v>
      </c>
      <c r="U184" s="458"/>
      <c r="V184" s="458"/>
      <c r="W184" s="458"/>
      <c r="X184" s="458"/>
      <c r="Y184" s="458"/>
      <c r="Z184" s="245">
        <f t="shared" si="85"/>
        <v>0</v>
      </c>
      <c r="AA184" s="458"/>
      <c r="AB184" s="458"/>
      <c r="AC184" s="458"/>
      <c r="AD184" s="290">
        <f>P184*0.3</f>
        <v>1200</v>
      </c>
      <c r="AE184" s="290">
        <f t="shared" ref="AE184" si="96">AD184</f>
        <v>1200</v>
      </c>
      <c r="AF184" s="458"/>
      <c r="AG184" s="472"/>
      <c r="AH184" s="473"/>
      <c r="AI184" s="473"/>
      <c r="AJ184" s="245">
        <f t="shared" ref="AJ184" si="97">AA184+AI184</f>
        <v>0</v>
      </c>
      <c r="AK184" s="245">
        <f t="shared" ref="AK184" si="98">AC184+AI184</f>
        <v>0</v>
      </c>
      <c r="AL184" s="245">
        <f t="shared" ref="AL184" si="99">AD184</f>
        <v>1200</v>
      </c>
      <c r="AM184" s="245">
        <f t="shared" ref="AM184" si="100">AE184-AI184</f>
        <v>1200</v>
      </c>
      <c r="AN184" s="460" t="s">
        <v>932</v>
      </c>
      <c r="AQ184" s="215" t="s">
        <v>792</v>
      </c>
      <c r="AR184" s="215"/>
      <c r="AS184" s="216"/>
      <c r="AT184" s="224"/>
      <c r="AU184" s="288" t="s">
        <v>933</v>
      </c>
      <c r="AV184" s="226" t="s">
        <v>360</v>
      </c>
      <c r="AW184" s="461" t="s">
        <v>934</v>
      </c>
      <c r="AX184" s="474"/>
      <c r="AY184" s="226"/>
      <c r="AZ184" s="226"/>
      <c r="BA184" s="285"/>
    </row>
    <row r="185" spans="1:53" ht="38.25">
      <c r="A185" s="286">
        <v>5</v>
      </c>
      <c r="B185" s="402" t="s">
        <v>935</v>
      </c>
      <c r="C185" s="402"/>
      <c r="D185" s="402"/>
      <c r="E185" s="402"/>
      <c r="F185" s="402"/>
      <c r="G185" s="403" t="s">
        <v>333</v>
      </c>
      <c r="H185" s="404">
        <v>2019</v>
      </c>
      <c r="I185" s="404"/>
      <c r="J185" s="404">
        <v>2021</v>
      </c>
      <c r="K185" s="404"/>
      <c r="L185" s="404"/>
      <c r="M185" s="393" t="s">
        <v>936</v>
      </c>
      <c r="N185" s="442">
        <v>5000</v>
      </c>
      <c r="O185" s="442"/>
      <c r="P185" s="442">
        <v>5000</v>
      </c>
      <c r="Q185" s="442"/>
      <c r="R185" s="442"/>
      <c r="S185" s="442"/>
      <c r="T185" s="442"/>
      <c r="U185" s="442"/>
      <c r="V185" s="442"/>
      <c r="W185" s="442"/>
      <c r="X185" s="442"/>
      <c r="Y185" s="442"/>
      <c r="Z185" s="245">
        <f>V185+Y185</f>
        <v>0</v>
      </c>
      <c r="AA185" s="442"/>
      <c r="AB185" s="442"/>
      <c r="AC185" s="442"/>
      <c r="AD185" s="290"/>
      <c r="AE185" s="290"/>
      <c r="AF185" s="290"/>
      <c r="AG185" s="475"/>
      <c r="AH185" s="476"/>
      <c r="AI185" s="476"/>
      <c r="AJ185" s="476"/>
      <c r="AK185" s="476"/>
      <c r="AL185" s="476"/>
      <c r="AM185" s="476"/>
      <c r="AN185" s="460" t="s">
        <v>937</v>
      </c>
      <c r="AQ185" s="215" t="s">
        <v>524</v>
      </c>
      <c r="AR185" s="215"/>
      <c r="AS185" s="216"/>
      <c r="AT185" s="224"/>
      <c r="AU185" s="399" t="s">
        <v>938</v>
      </c>
      <c r="AV185" s="385" t="s">
        <v>836</v>
      </c>
      <c r="AW185" s="396" t="s">
        <v>939</v>
      </c>
      <c r="AY185" s="226"/>
      <c r="AZ185" s="226"/>
      <c r="BA185" s="285"/>
    </row>
    <row r="186" spans="1:53" ht="57" customHeight="1">
      <c r="A186" s="295" t="s">
        <v>139</v>
      </c>
      <c r="B186" s="477" t="s">
        <v>940</v>
      </c>
      <c r="C186" s="477"/>
      <c r="D186" s="477"/>
      <c r="E186" s="477"/>
      <c r="F186" s="477"/>
      <c r="G186" s="280"/>
      <c r="H186" s="295"/>
      <c r="I186" s="295"/>
      <c r="J186" s="295"/>
      <c r="K186" s="295"/>
      <c r="L186" s="295"/>
      <c r="M186" s="295"/>
      <c r="N186" s="478">
        <f t="shared" ref="N186:AC186" si="101">SUBTOTAL(109,N190:N220)</f>
        <v>143761</v>
      </c>
      <c r="O186" s="478">
        <f t="shared" si="101"/>
        <v>0</v>
      </c>
      <c r="P186" s="478">
        <f t="shared" si="101"/>
        <v>84980</v>
      </c>
      <c r="Q186" s="478">
        <f t="shared" si="101"/>
        <v>0</v>
      </c>
      <c r="R186" s="478">
        <f t="shared" si="101"/>
        <v>0</v>
      </c>
      <c r="S186" s="478">
        <f t="shared" si="101"/>
        <v>0</v>
      </c>
      <c r="T186" s="478">
        <f t="shared" si="101"/>
        <v>40840</v>
      </c>
      <c r="U186" s="478">
        <f t="shared" si="101"/>
        <v>0</v>
      </c>
      <c r="V186" s="478">
        <f t="shared" si="101"/>
        <v>0</v>
      </c>
      <c r="W186" s="478">
        <f t="shared" si="101"/>
        <v>0</v>
      </c>
      <c r="X186" s="478">
        <f t="shared" si="101"/>
        <v>0</v>
      </c>
      <c r="Y186" s="478">
        <f t="shared" si="101"/>
        <v>0</v>
      </c>
      <c r="Z186" s="478">
        <f t="shared" si="101"/>
        <v>0</v>
      </c>
      <c r="AA186" s="478">
        <f t="shared" si="101"/>
        <v>0</v>
      </c>
      <c r="AB186" s="478">
        <f t="shared" si="101"/>
        <v>0</v>
      </c>
      <c r="AC186" s="478">
        <f t="shared" si="101"/>
        <v>0</v>
      </c>
      <c r="AD186" s="478">
        <f>SUBTOTAL(109,AD187:AD220)</f>
        <v>43720</v>
      </c>
      <c r="AE186" s="478">
        <f>SUBTOTAL(109,AE187:AE220)</f>
        <v>43720</v>
      </c>
      <c r="AF186" s="478"/>
      <c r="AG186" s="295"/>
      <c r="AH186" s="295"/>
      <c r="AI186" s="295"/>
      <c r="AJ186" s="295"/>
      <c r="AK186" s="295"/>
      <c r="AL186" s="295"/>
      <c r="AM186" s="295"/>
      <c r="AN186" s="295"/>
      <c r="AQ186" s="215"/>
      <c r="AR186" s="215"/>
      <c r="AS186" s="216"/>
      <c r="AT186" s="224"/>
      <c r="AU186" s="295"/>
      <c r="AV186" s="226"/>
      <c r="AW186" s="479"/>
      <c r="AY186" s="226"/>
      <c r="AZ186" s="226"/>
      <c r="BA186" s="285"/>
    </row>
    <row r="187" spans="1:53" s="483" customFormat="1" ht="41.25" customHeight="1">
      <c r="A187" s="423" t="s">
        <v>36</v>
      </c>
      <c r="B187" s="480" t="s">
        <v>892</v>
      </c>
      <c r="C187" s="480"/>
      <c r="D187" s="480"/>
      <c r="E187" s="480"/>
      <c r="F187" s="480"/>
      <c r="G187" s="481"/>
      <c r="H187" s="423"/>
      <c r="I187" s="423"/>
      <c r="J187" s="423"/>
      <c r="K187" s="423"/>
      <c r="L187" s="423"/>
      <c r="M187" s="423"/>
      <c r="N187" s="482"/>
      <c r="O187" s="482"/>
      <c r="P187" s="482"/>
      <c r="Q187" s="482"/>
      <c r="R187" s="482"/>
      <c r="S187" s="482"/>
      <c r="T187" s="482"/>
      <c r="U187" s="482"/>
      <c r="V187" s="482"/>
      <c r="W187" s="482"/>
      <c r="X187" s="482"/>
      <c r="Y187" s="482"/>
      <c r="Z187" s="482"/>
      <c r="AA187" s="482"/>
      <c r="AB187" s="482"/>
      <c r="AC187" s="482"/>
      <c r="AD187" s="482"/>
      <c r="AE187" s="482"/>
      <c r="AF187" s="482"/>
      <c r="AG187" s="423"/>
      <c r="AH187" s="423"/>
      <c r="AI187" s="423"/>
      <c r="AJ187" s="423"/>
      <c r="AK187" s="423"/>
      <c r="AL187" s="423"/>
      <c r="AM187" s="423"/>
      <c r="AN187" s="423"/>
      <c r="AQ187" s="484"/>
      <c r="AR187" s="484"/>
      <c r="AS187" s="485"/>
      <c r="AT187" s="224"/>
      <c r="AU187" s="423"/>
      <c r="AV187" s="486"/>
      <c r="AW187" s="487"/>
      <c r="AY187" s="486"/>
      <c r="AZ187" s="486"/>
      <c r="BA187" s="488"/>
    </row>
    <row r="188" spans="1:53" ht="36.75" customHeight="1">
      <c r="A188" s="286">
        <v>1</v>
      </c>
      <c r="B188" s="457" t="s">
        <v>941</v>
      </c>
      <c r="C188" s="457"/>
      <c r="D188" s="457"/>
      <c r="E188" s="457"/>
      <c r="F188" s="457"/>
      <c r="G188" s="288" t="s">
        <v>395</v>
      </c>
      <c r="H188" s="286">
        <v>2019</v>
      </c>
      <c r="I188" s="286"/>
      <c r="J188" s="286">
        <v>2021</v>
      </c>
      <c r="K188" s="286"/>
      <c r="L188" s="286"/>
      <c r="M188" s="489" t="s">
        <v>942</v>
      </c>
      <c r="N188" s="458">
        <v>2955</v>
      </c>
      <c r="O188" s="458"/>
      <c r="P188" s="458">
        <v>1800</v>
      </c>
      <c r="Q188" s="458"/>
      <c r="R188" s="458"/>
      <c r="S188" s="458"/>
      <c r="T188" s="458">
        <f>P188*0.5</f>
        <v>900</v>
      </c>
      <c r="U188" s="458"/>
      <c r="V188" s="458"/>
      <c r="W188" s="458"/>
      <c r="X188" s="458"/>
      <c r="Y188" s="458"/>
      <c r="Z188" s="245">
        <f>V188+Y188</f>
        <v>0</v>
      </c>
      <c r="AA188" s="458"/>
      <c r="AB188" s="458"/>
      <c r="AC188" s="458"/>
      <c r="AD188" s="290">
        <f>T188</f>
        <v>900</v>
      </c>
      <c r="AE188" s="290">
        <f t="shared" ref="AE188:AE246" si="102">AD188</f>
        <v>900</v>
      </c>
      <c r="AF188" s="245"/>
      <c r="AG188" s="472"/>
      <c r="AH188" s="472"/>
      <c r="AI188" s="472"/>
      <c r="AJ188" s="472"/>
      <c r="AK188" s="472"/>
      <c r="AL188" s="472">
        <f>P188*0.5</f>
        <v>900</v>
      </c>
      <c r="AM188" s="472">
        <f>AD188-AI188</f>
        <v>900</v>
      </c>
      <c r="AN188" s="472"/>
      <c r="AQ188" s="215" t="s">
        <v>943</v>
      </c>
      <c r="AR188" s="215"/>
      <c r="AS188" s="216"/>
      <c r="AT188" s="224" t="s">
        <v>307</v>
      </c>
      <c r="AU188" s="288" t="s">
        <v>944</v>
      </c>
      <c r="AV188" s="226" t="s">
        <v>945</v>
      </c>
      <c r="AW188" s="461" t="s">
        <v>946</v>
      </c>
      <c r="AY188" s="285">
        <f>AZ188+BA188</f>
        <v>720</v>
      </c>
      <c r="AZ188" s="226"/>
      <c r="BA188" s="285">
        <v>720</v>
      </c>
    </row>
    <row r="189" spans="1:53" s="434" customFormat="1" ht="21.75" customHeight="1">
      <c r="A189" s="423" t="s">
        <v>43</v>
      </c>
      <c r="B189" s="490" t="s">
        <v>898</v>
      </c>
      <c r="C189" s="490"/>
      <c r="D189" s="490"/>
      <c r="E189" s="490"/>
      <c r="F189" s="490"/>
      <c r="G189" s="427"/>
      <c r="H189" s="423"/>
      <c r="I189" s="423"/>
      <c r="J189" s="423"/>
      <c r="K189" s="423"/>
      <c r="L189" s="423"/>
      <c r="M189" s="427"/>
      <c r="N189" s="491"/>
      <c r="O189" s="491"/>
      <c r="P189" s="491"/>
      <c r="Q189" s="491"/>
      <c r="R189" s="491"/>
      <c r="S189" s="491"/>
      <c r="T189" s="491"/>
      <c r="U189" s="491"/>
      <c r="V189" s="491"/>
      <c r="W189" s="491"/>
      <c r="X189" s="491"/>
      <c r="Y189" s="491"/>
      <c r="Z189" s="430"/>
      <c r="AA189" s="491"/>
      <c r="AB189" s="491"/>
      <c r="AC189" s="491"/>
      <c r="AD189" s="491"/>
      <c r="AE189" s="491"/>
      <c r="AF189" s="491"/>
      <c r="AG189" s="449"/>
      <c r="AH189" s="449"/>
      <c r="AI189" s="449"/>
      <c r="AJ189" s="449"/>
      <c r="AK189" s="449"/>
      <c r="AL189" s="449"/>
      <c r="AM189" s="449"/>
      <c r="AN189" s="449"/>
      <c r="AQ189" s="435"/>
      <c r="AR189" s="435"/>
      <c r="AS189" s="436"/>
      <c r="AT189" s="224"/>
      <c r="AU189" s="427"/>
      <c r="AV189" s="440"/>
      <c r="AW189" s="492"/>
      <c r="AY189" s="440"/>
      <c r="AZ189" s="440"/>
      <c r="BA189" s="441"/>
    </row>
    <row r="190" spans="1:53" ht="38.25">
      <c r="A190" s="475">
        <v>1</v>
      </c>
      <c r="B190" s="464" t="s">
        <v>947</v>
      </c>
      <c r="C190" s="464"/>
      <c r="D190" s="464"/>
      <c r="E190" s="464"/>
      <c r="F190" s="464"/>
      <c r="G190" s="465" t="s">
        <v>373</v>
      </c>
      <c r="H190" s="397">
        <v>2019</v>
      </c>
      <c r="I190" s="397"/>
      <c r="J190" s="397">
        <v>2021</v>
      </c>
      <c r="K190" s="397"/>
      <c r="L190" s="397"/>
      <c r="M190" s="466" t="s">
        <v>948</v>
      </c>
      <c r="N190" s="467">
        <v>5638</v>
      </c>
      <c r="O190" s="467"/>
      <c r="P190" s="467">
        <v>3600</v>
      </c>
      <c r="Q190" s="467"/>
      <c r="R190" s="467"/>
      <c r="S190" s="467"/>
      <c r="T190" s="467">
        <f>P190*0.5</f>
        <v>1800</v>
      </c>
      <c r="U190" s="467"/>
      <c r="V190" s="467"/>
      <c r="W190" s="467"/>
      <c r="X190" s="467"/>
      <c r="Y190" s="467"/>
      <c r="Z190" s="245">
        <f t="shared" si="85"/>
        <v>0</v>
      </c>
      <c r="AA190" s="467"/>
      <c r="AB190" s="467"/>
      <c r="AC190" s="467"/>
      <c r="AD190" s="290">
        <f>T190</f>
        <v>1800</v>
      </c>
      <c r="AE190" s="290">
        <f t="shared" si="102"/>
        <v>1800</v>
      </c>
      <c r="AF190" s="245"/>
      <c r="AG190" s="475"/>
      <c r="AH190" s="475"/>
      <c r="AI190" s="475"/>
      <c r="AJ190" s="475"/>
      <c r="AK190" s="475"/>
      <c r="AL190" s="472">
        <f>P190*0.5</f>
        <v>1800</v>
      </c>
      <c r="AM190" s="472">
        <f>AD190-AI190</f>
        <v>1800</v>
      </c>
      <c r="AN190" s="493"/>
      <c r="AQ190" s="215" t="s">
        <v>949</v>
      </c>
      <c r="AR190" s="215"/>
      <c r="AS190" s="216" t="s">
        <v>496</v>
      </c>
      <c r="AT190" s="224" t="s">
        <v>307</v>
      </c>
      <c r="AU190" s="470" t="s">
        <v>950</v>
      </c>
      <c r="AV190" s="226" t="s">
        <v>360</v>
      </c>
      <c r="AW190" s="471" t="s">
        <v>951</v>
      </c>
      <c r="AY190" s="285">
        <f>AZ190+BA190</f>
        <v>1680</v>
      </c>
      <c r="AZ190" s="226"/>
      <c r="BA190" s="285">
        <v>1680</v>
      </c>
    </row>
    <row r="191" spans="1:53" ht="25.5">
      <c r="A191" s="286">
        <v>2</v>
      </c>
      <c r="B191" s="336" t="s">
        <v>952</v>
      </c>
      <c r="C191" s="336"/>
      <c r="D191" s="336"/>
      <c r="E191" s="336"/>
      <c r="F191" s="336"/>
      <c r="G191" s="494" t="s">
        <v>341</v>
      </c>
      <c r="H191" s="288">
        <v>2019</v>
      </c>
      <c r="I191" s="288"/>
      <c r="J191" s="288">
        <v>2021</v>
      </c>
      <c r="K191" s="288"/>
      <c r="L191" s="288"/>
      <c r="M191" s="495" t="s">
        <v>953</v>
      </c>
      <c r="N191" s="496">
        <v>4192</v>
      </c>
      <c r="O191" s="496"/>
      <c r="P191" s="497">
        <v>2520</v>
      </c>
      <c r="Q191" s="497"/>
      <c r="R191" s="497"/>
      <c r="S191" s="497"/>
      <c r="T191" s="458">
        <f>P191*0.5</f>
        <v>1260</v>
      </c>
      <c r="U191" s="497"/>
      <c r="V191" s="497"/>
      <c r="W191" s="497"/>
      <c r="X191" s="497"/>
      <c r="Y191" s="497"/>
      <c r="Z191" s="245">
        <f t="shared" si="85"/>
        <v>0</v>
      </c>
      <c r="AA191" s="497"/>
      <c r="AB191" s="497"/>
      <c r="AC191" s="497"/>
      <c r="AD191" s="290">
        <f>T191</f>
        <v>1260</v>
      </c>
      <c r="AE191" s="290">
        <f t="shared" si="102"/>
        <v>1260</v>
      </c>
      <c r="AF191" s="245"/>
      <c r="AG191" s="498"/>
      <c r="AH191" s="498"/>
      <c r="AI191" s="498"/>
      <c r="AJ191" s="498"/>
      <c r="AK191" s="498"/>
      <c r="AL191" s="472">
        <f>P191*0.5</f>
        <v>1260</v>
      </c>
      <c r="AM191" s="472">
        <f>AD191-AI191</f>
        <v>1260</v>
      </c>
      <c r="AN191" s="499" t="s">
        <v>954</v>
      </c>
      <c r="AQ191" s="215" t="s">
        <v>955</v>
      </c>
      <c r="AR191" s="215"/>
      <c r="AS191" s="216"/>
      <c r="AT191" s="224" t="s">
        <v>307</v>
      </c>
      <c r="AU191" s="399" t="s">
        <v>631</v>
      </c>
      <c r="AV191" s="226" t="s">
        <v>957</v>
      </c>
      <c r="AW191" s="292"/>
      <c r="AX191" s="474"/>
      <c r="AY191" s="226"/>
      <c r="AZ191" s="226"/>
      <c r="BA191" s="285"/>
    </row>
    <row r="192" spans="1:53" ht="38.25">
      <c r="A192" s="475">
        <v>3</v>
      </c>
      <c r="B192" s="464" t="s">
        <v>958</v>
      </c>
      <c r="C192" s="464"/>
      <c r="D192" s="464"/>
      <c r="E192" s="464"/>
      <c r="F192" s="464"/>
      <c r="G192" s="465" t="s">
        <v>373</v>
      </c>
      <c r="H192" s="397">
        <v>2019</v>
      </c>
      <c r="I192" s="397"/>
      <c r="J192" s="397">
        <v>2021</v>
      </c>
      <c r="K192" s="397"/>
      <c r="L192" s="397"/>
      <c r="M192" s="500" t="s">
        <v>959</v>
      </c>
      <c r="N192" s="467">
        <v>3000</v>
      </c>
      <c r="O192" s="467"/>
      <c r="P192" s="467">
        <v>1800</v>
      </c>
      <c r="Q192" s="467"/>
      <c r="R192" s="467"/>
      <c r="S192" s="467"/>
      <c r="T192" s="467">
        <f>P192*0.5</f>
        <v>900</v>
      </c>
      <c r="U192" s="467"/>
      <c r="V192" s="467"/>
      <c r="W192" s="467"/>
      <c r="X192" s="467"/>
      <c r="Y192" s="467"/>
      <c r="Z192" s="245">
        <f t="shared" si="85"/>
        <v>0</v>
      </c>
      <c r="AA192" s="467"/>
      <c r="AB192" s="467"/>
      <c r="AC192" s="467"/>
      <c r="AD192" s="290">
        <f>T192</f>
        <v>900</v>
      </c>
      <c r="AE192" s="290">
        <f t="shared" si="102"/>
        <v>900</v>
      </c>
      <c r="AF192" s="245"/>
      <c r="AG192" s="475"/>
      <c r="AH192" s="475"/>
      <c r="AI192" s="475"/>
      <c r="AJ192" s="475"/>
      <c r="AK192" s="475"/>
      <c r="AL192" s="475">
        <f>AD192</f>
        <v>900</v>
      </c>
      <c r="AM192" s="475">
        <f>AE192-AI192</f>
        <v>900</v>
      </c>
      <c r="AN192" s="493"/>
      <c r="AQ192" s="215" t="s">
        <v>718</v>
      </c>
      <c r="AR192" s="215"/>
      <c r="AS192" s="216"/>
      <c r="AT192" s="224" t="s">
        <v>307</v>
      </c>
      <c r="AU192" s="470" t="s">
        <v>719</v>
      </c>
      <c r="AV192" s="226" t="s">
        <v>960</v>
      </c>
      <c r="AW192" s="471" t="s">
        <v>961</v>
      </c>
      <c r="AY192" s="285">
        <f>AZ192+BA192</f>
        <v>900</v>
      </c>
      <c r="AZ192" s="226"/>
      <c r="BA192" s="285">
        <v>900</v>
      </c>
    </row>
    <row r="193" spans="1:53" ht="38.25">
      <c r="A193" s="286">
        <v>4</v>
      </c>
      <c r="B193" s="464" t="s">
        <v>962</v>
      </c>
      <c r="C193" s="464"/>
      <c r="D193" s="464"/>
      <c r="E193" s="464"/>
      <c r="F193" s="464"/>
      <c r="G193" s="465" t="s">
        <v>382</v>
      </c>
      <c r="H193" s="397">
        <v>2019</v>
      </c>
      <c r="I193" s="397"/>
      <c r="J193" s="397">
        <v>2021</v>
      </c>
      <c r="K193" s="397"/>
      <c r="L193" s="397"/>
      <c r="M193" s="469" t="s">
        <v>963</v>
      </c>
      <c r="N193" s="467">
        <v>4401</v>
      </c>
      <c r="O193" s="467"/>
      <c r="P193" s="467">
        <v>2700</v>
      </c>
      <c r="Q193" s="467"/>
      <c r="R193" s="467"/>
      <c r="S193" s="467"/>
      <c r="T193" s="467">
        <f>P193*0.5</f>
        <v>1350</v>
      </c>
      <c r="U193" s="467"/>
      <c r="V193" s="467"/>
      <c r="W193" s="467"/>
      <c r="X193" s="467"/>
      <c r="Y193" s="467"/>
      <c r="Z193" s="245">
        <f t="shared" si="85"/>
        <v>0</v>
      </c>
      <c r="AA193" s="467"/>
      <c r="AB193" s="467"/>
      <c r="AC193" s="467"/>
      <c r="AD193" s="290">
        <f>T193</f>
        <v>1350</v>
      </c>
      <c r="AE193" s="290">
        <f t="shared" si="102"/>
        <v>1350</v>
      </c>
      <c r="AF193" s="245"/>
      <c r="AG193" s="475"/>
      <c r="AH193" s="475"/>
      <c r="AI193" s="475"/>
      <c r="AJ193" s="475"/>
      <c r="AK193" s="475"/>
      <c r="AL193" s="475">
        <f>AD193</f>
        <v>1350</v>
      </c>
      <c r="AM193" s="475">
        <f>AE193-AI193</f>
        <v>1350</v>
      </c>
      <c r="AN193" s="493"/>
      <c r="AQ193" s="215" t="s">
        <v>590</v>
      </c>
      <c r="AR193" s="215"/>
      <c r="AS193" s="216"/>
      <c r="AT193" s="224"/>
      <c r="AU193" s="470" t="s">
        <v>591</v>
      </c>
      <c r="AV193" s="226" t="s">
        <v>360</v>
      </c>
      <c r="AW193" s="471" t="s">
        <v>964</v>
      </c>
      <c r="AY193" s="285">
        <f>AZ193+BA193</f>
        <v>1350</v>
      </c>
      <c r="AZ193" s="226"/>
      <c r="BA193" s="285">
        <v>1350</v>
      </c>
    </row>
    <row r="194" spans="1:53" ht="38.25">
      <c r="A194" s="475">
        <v>5</v>
      </c>
      <c r="B194" s="464" t="s">
        <v>965</v>
      </c>
      <c r="C194" s="464"/>
      <c r="D194" s="464"/>
      <c r="E194" s="464"/>
      <c r="F194" s="464"/>
      <c r="G194" s="465" t="s">
        <v>382</v>
      </c>
      <c r="H194" s="397">
        <v>2019</v>
      </c>
      <c r="I194" s="397"/>
      <c r="J194" s="397">
        <v>2021</v>
      </c>
      <c r="K194" s="397"/>
      <c r="L194" s="397"/>
      <c r="M194" s="466" t="s">
        <v>966</v>
      </c>
      <c r="N194" s="467">
        <v>5500</v>
      </c>
      <c r="O194" s="467"/>
      <c r="P194" s="467">
        <v>3300</v>
      </c>
      <c r="Q194" s="467"/>
      <c r="R194" s="467"/>
      <c r="S194" s="467"/>
      <c r="T194" s="467"/>
      <c r="U194" s="467"/>
      <c r="V194" s="467"/>
      <c r="W194" s="467"/>
      <c r="X194" s="467"/>
      <c r="Y194" s="467"/>
      <c r="Z194" s="245">
        <f t="shared" si="85"/>
        <v>0</v>
      </c>
      <c r="AA194" s="467"/>
      <c r="AB194" s="467"/>
      <c r="AC194" s="467"/>
      <c r="AD194" s="290">
        <f>P194*0.6</f>
        <v>1980</v>
      </c>
      <c r="AE194" s="290">
        <f t="shared" si="102"/>
        <v>1980</v>
      </c>
      <c r="AF194" s="245">
        <v>990</v>
      </c>
      <c r="AG194" s="245">
        <f t="shared" ref="AG194" si="103">AF194/AE194*100</f>
        <v>50</v>
      </c>
      <c r="AH194" s="245"/>
      <c r="AI194" s="245">
        <f t="shared" ref="AI194" si="104">AF194+AH194</f>
        <v>990</v>
      </c>
      <c r="AJ194" s="245">
        <f t="shared" ref="AJ194" si="105">AA194+AI194</f>
        <v>990</v>
      </c>
      <c r="AK194" s="245">
        <f t="shared" ref="AK194" si="106">AC194+AI194</f>
        <v>990</v>
      </c>
      <c r="AL194" s="245">
        <f t="shared" ref="AL194" si="107">AD194</f>
        <v>1980</v>
      </c>
      <c r="AM194" s="245">
        <f t="shared" ref="AM194" si="108">AE194-AI194</f>
        <v>990</v>
      </c>
      <c r="AN194" s="493"/>
      <c r="AQ194" s="215" t="s">
        <v>767</v>
      </c>
      <c r="AR194" s="215"/>
      <c r="AS194" s="216"/>
      <c r="AT194" s="224" t="s">
        <v>307</v>
      </c>
      <c r="AU194" s="470" t="s">
        <v>768</v>
      </c>
      <c r="AV194" s="226" t="s">
        <v>967</v>
      </c>
      <c r="AW194" s="471" t="s">
        <v>968</v>
      </c>
      <c r="AY194" s="226"/>
      <c r="AZ194" s="226"/>
      <c r="BA194" s="285"/>
    </row>
    <row r="195" spans="1:53" ht="38.25">
      <c r="A195" s="286">
        <v>6</v>
      </c>
      <c r="B195" s="464" t="s">
        <v>969</v>
      </c>
      <c r="C195" s="464"/>
      <c r="D195" s="464"/>
      <c r="E195" s="464"/>
      <c r="F195" s="464"/>
      <c r="G195" s="465" t="s">
        <v>382</v>
      </c>
      <c r="H195" s="397">
        <v>2019</v>
      </c>
      <c r="I195" s="397"/>
      <c r="J195" s="397">
        <v>2021</v>
      </c>
      <c r="K195" s="397"/>
      <c r="L195" s="397"/>
      <c r="M195" s="466" t="s">
        <v>970</v>
      </c>
      <c r="N195" s="467">
        <v>3427</v>
      </c>
      <c r="O195" s="467"/>
      <c r="P195" s="467">
        <v>2100</v>
      </c>
      <c r="Q195" s="467"/>
      <c r="R195" s="467"/>
      <c r="S195" s="467"/>
      <c r="T195" s="467">
        <f t="shared" ref="T195:T223" si="109">P195*0.5</f>
        <v>1050</v>
      </c>
      <c r="U195" s="467"/>
      <c r="V195" s="467"/>
      <c r="W195" s="467"/>
      <c r="X195" s="467"/>
      <c r="Y195" s="467"/>
      <c r="Z195" s="245">
        <f t="shared" si="85"/>
        <v>0</v>
      </c>
      <c r="AA195" s="467"/>
      <c r="AB195" s="467"/>
      <c r="AC195" s="467"/>
      <c r="AD195" s="290">
        <f t="shared" ref="AD195:AD223" si="110">T195</f>
        <v>1050</v>
      </c>
      <c r="AE195" s="290">
        <f t="shared" si="102"/>
        <v>1050</v>
      </c>
      <c r="AF195" s="245"/>
      <c r="AG195" s="475"/>
      <c r="AH195" s="475"/>
      <c r="AI195" s="475"/>
      <c r="AJ195" s="475"/>
      <c r="AK195" s="475"/>
      <c r="AL195" s="475">
        <f t="shared" ref="AL195:AL202" si="111">P195*0.5</f>
        <v>1050</v>
      </c>
      <c r="AM195" s="475">
        <f t="shared" ref="AM195:AM202" si="112">AD195-AI195</f>
        <v>1050</v>
      </c>
      <c r="AN195" s="493"/>
      <c r="AQ195" s="215" t="s">
        <v>382</v>
      </c>
      <c r="AR195" s="215"/>
      <c r="AS195" s="216"/>
      <c r="AT195" s="224"/>
      <c r="AU195" s="470" t="s">
        <v>971</v>
      </c>
      <c r="AV195" s="226" t="s">
        <v>945</v>
      </c>
      <c r="AW195" s="471" t="s">
        <v>972</v>
      </c>
      <c r="AY195" s="285">
        <f t="shared" ref="AY195:AY201" si="113">AZ195+BA195</f>
        <v>1050</v>
      </c>
      <c r="AZ195" s="226"/>
      <c r="BA195" s="285">
        <v>1050</v>
      </c>
    </row>
    <row r="196" spans="1:53" ht="31.5">
      <c r="A196" s="475">
        <v>7</v>
      </c>
      <c r="B196" s="464" t="s">
        <v>973</v>
      </c>
      <c r="C196" s="464"/>
      <c r="D196" s="464"/>
      <c r="E196" s="464"/>
      <c r="F196" s="464"/>
      <c r="G196" s="465" t="s">
        <v>382</v>
      </c>
      <c r="H196" s="397">
        <v>2019</v>
      </c>
      <c r="I196" s="397"/>
      <c r="J196" s="397">
        <v>2021</v>
      </c>
      <c r="K196" s="397"/>
      <c r="L196" s="397"/>
      <c r="M196" s="500" t="s">
        <v>974</v>
      </c>
      <c r="N196" s="467">
        <v>5500</v>
      </c>
      <c r="O196" s="467"/>
      <c r="P196" s="467">
        <v>3600</v>
      </c>
      <c r="Q196" s="467"/>
      <c r="R196" s="467"/>
      <c r="S196" s="467"/>
      <c r="T196" s="467">
        <f t="shared" si="109"/>
        <v>1800</v>
      </c>
      <c r="U196" s="467"/>
      <c r="V196" s="467"/>
      <c r="W196" s="467"/>
      <c r="X196" s="467"/>
      <c r="Y196" s="467"/>
      <c r="Z196" s="245">
        <f t="shared" si="85"/>
        <v>0</v>
      </c>
      <c r="AA196" s="467"/>
      <c r="AB196" s="467"/>
      <c r="AC196" s="467"/>
      <c r="AD196" s="290">
        <f t="shared" si="110"/>
        <v>1800</v>
      </c>
      <c r="AE196" s="290">
        <f t="shared" si="102"/>
        <v>1800</v>
      </c>
      <c r="AF196" s="245"/>
      <c r="AG196" s="475"/>
      <c r="AH196" s="475"/>
      <c r="AI196" s="475"/>
      <c r="AJ196" s="475"/>
      <c r="AK196" s="475"/>
      <c r="AL196" s="475">
        <f t="shared" si="111"/>
        <v>1800</v>
      </c>
      <c r="AM196" s="475">
        <f t="shared" si="112"/>
        <v>1800</v>
      </c>
      <c r="AN196" s="493"/>
      <c r="AQ196" s="215" t="s">
        <v>975</v>
      </c>
      <c r="AR196" s="215"/>
      <c r="AS196" s="216"/>
      <c r="AT196" s="224" t="s">
        <v>307</v>
      </c>
      <c r="AU196" s="470" t="s">
        <v>976</v>
      </c>
      <c r="AV196" s="226" t="s">
        <v>360</v>
      </c>
      <c r="AW196" s="471"/>
      <c r="AY196" s="285">
        <f t="shared" si="113"/>
        <v>1650</v>
      </c>
      <c r="AZ196" s="226"/>
      <c r="BA196" s="285">
        <v>1650</v>
      </c>
    </row>
    <row r="197" spans="1:53" ht="38.25">
      <c r="A197" s="286">
        <v>8</v>
      </c>
      <c r="B197" s="464" t="s">
        <v>977</v>
      </c>
      <c r="C197" s="464"/>
      <c r="D197" s="464"/>
      <c r="E197" s="464"/>
      <c r="F197" s="464"/>
      <c r="G197" s="465" t="s">
        <v>382</v>
      </c>
      <c r="H197" s="397">
        <v>2019</v>
      </c>
      <c r="I197" s="397"/>
      <c r="J197" s="397">
        <v>2021</v>
      </c>
      <c r="K197" s="397"/>
      <c r="L197" s="397"/>
      <c r="M197" s="466" t="s">
        <v>978</v>
      </c>
      <c r="N197" s="467">
        <v>3000</v>
      </c>
      <c r="O197" s="467"/>
      <c r="P197" s="467">
        <v>1800</v>
      </c>
      <c r="Q197" s="467"/>
      <c r="R197" s="467"/>
      <c r="S197" s="467"/>
      <c r="T197" s="467">
        <f t="shared" si="109"/>
        <v>900</v>
      </c>
      <c r="U197" s="467"/>
      <c r="V197" s="467"/>
      <c r="W197" s="467"/>
      <c r="X197" s="467"/>
      <c r="Y197" s="467"/>
      <c r="Z197" s="245">
        <f t="shared" si="85"/>
        <v>0</v>
      </c>
      <c r="AA197" s="467"/>
      <c r="AB197" s="467"/>
      <c r="AC197" s="467"/>
      <c r="AD197" s="290">
        <f t="shared" si="110"/>
        <v>900</v>
      </c>
      <c r="AE197" s="290">
        <f t="shared" si="102"/>
        <v>900</v>
      </c>
      <c r="AF197" s="245"/>
      <c r="AG197" s="475"/>
      <c r="AH197" s="475"/>
      <c r="AI197" s="475"/>
      <c r="AJ197" s="475"/>
      <c r="AK197" s="475"/>
      <c r="AL197" s="475">
        <f t="shared" si="111"/>
        <v>900</v>
      </c>
      <c r="AM197" s="475">
        <f t="shared" si="112"/>
        <v>900</v>
      </c>
      <c r="AN197" s="493"/>
      <c r="AQ197" s="215" t="s">
        <v>783</v>
      </c>
      <c r="AR197" s="215"/>
      <c r="AS197" s="216"/>
      <c r="AT197" s="224" t="s">
        <v>307</v>
      </c>
      <c r="AU197" s="470" t="s">
        <v>979</v>
      </c>
      <c r="AV197" s="226" t="s">
        <v>360</v>
      </c>
      <c r="AW197" s="471" t="s">
        <v>980</v>
      </c>
      <c r="AY197" s="285">
        <f t="shared" si="113"/>
        <v>1200</v>
      </c>
      <c r="AZ197" s="226"/>
      <c r="BA197" s="285">
        <v>1200</v>
      </c>
    </row>
    <row r="198" spans="1:53" ht="38.25">
      <c r="A198" s="475">
        <v>9</v>
      </c>
      <c r="B198" s="464" t="s">
        <v>981</v>
      </c>
      <c r="C198" s="464"/>
      <c r="D198" s="464"/>
      <c r="E198" s="464"/>
      <c r="F198" s="464"/>
      <c r="G198" s="465" t="s">
        <v>435</v>
      </c>
      <c r="H198" s="397">
        <v>2019</v>
      </c>
      <c r="I198" s="397"/>
      <c r="J198" s="397">
        <v>2021</v>
      </c>
      <c r="K198" s="397"/>
      <c r="L198" s="397"/>
      <c r="M198" s="466" t="s">
        <v>982</v>
      </c>
      <c r="N198" s="467">
        <v>4600</v>
      </c>
      <c r="O198" s="467"/>
      <c r="P198" s="467">
        <v>2760</v>
      </c>
      <c r="Q198" s="467"/>
      <c r="R198" s="467"/>
      <c r="S198" s="467"/>
      <c r="T198" s="467">
        <f t="shared" si="109"/>
        <v>1380</v>
      </c>
      <c r="U198" s="467"/>
      <c r="V198" s="467"/>
      <c r="W198" s="467"/>
      <c r="X198" s="467"/>
      <c r="Y198" s="467"/>
      <c r="Z198" s="245">
        <f t="shared" si="85"/>
        <v>0</v>
      </c>
      <c r="AA198" s="467"/>
      <c r="AB198" s="467"/>
      <c r="AC198" s="467"/>
      <c r="AD198" s="290">
        <f t="shared" si="110"/>
        <v>1380</v>
      </c>
      <c r="AE198" s="290">
        <f t="shared" si="102"/>
        <v>1380</v>
      </c>
      <c r="AF198" s="245"/>
      <c r="AG198" s="475"/>
      <c r="AH198" s="475"/>
      <c r="AI198" s="475"/>
      <c r="AJ198" s="475"/>
      <c r="AK198" s="475"/>
      <c r="AL198" s="475">
        <f t="shared" si="111"/>
        <v>1380</v>
      </c>
      <c r="AM198" s="475">
        <f t="shared" si="112"/>
        <v>1380</v>
      </c>
      <c r="AN198" s="493"/>
      <c r="AQ198" s="215" t="s">
        <v>600</v>
      </c>
      <c r="AR198" s="215"/>
      <c r="AS198" s="216"/>
      <c r="AT198" s="224" t="s">
        <v>307</v>
      </c>
      <c r="AU198" s="470" t="s">
        <v>983</v>
      </c>
      <c r="AV198" s="226" t="s">
        <v>360</v>
      </c>
      <c r="AW198" s="471" t="s">
        <v>984</v>
      </c>
      <c r="AY198" s="285">
        <f t="shared" si="113"/>
        <v>1400</v>
      </c>
      <c r="AZ198" s="226"/>
      <c r="BA198" s="285">
        <v>1400</v>
      </c>
    </row>
    <row r="199" spans="1:53" ht="38.25">
      <c r="A199" s="286">
        <v>10</v>
      </c>
      <c r="B199" s="464" t="s">
        <v>985</v>
      </c>
      <c r="C199" s="464"/>
      <c r="D199" s="464"/>
      <c r="E199" s="464"/>
      <c r="F199" s="464"/>
      <c r="G199" s="465" t="s">
        <v>435</v>
      </c>
      <c r="H199" s="397">
        <v>2019</v>
      </c>
      <c r="I199" s="397"/>
      <c r="J199" s="397">
        <v>2021</v>
      </c>
      <c r="K199" s="397"/>
      <c r="L199" s="397"/>
      <c r="M199" s="466" t="s">
        <v>986</v>
      </c>
      <c r="N199" s="467">
        <v>3289</v>
      </c>
      <c r="O199" s="467"/>
      <c r="P199" s="467">
        <v>1980</v>
      </c>
      <c r="Q199" s="467"/>
      <c r="R199" s="467"/>
      <c r="S199" s="467"/>
      <c r="T199" s="467">
        <f t="shared" si="109"/>
        <v>990</v>
      </c>
      <c r="U199" s="467"/>
      <c r="V199" s="467"/>
      <c r="W199" s="467"/>
      <c r="X199" s="467"/>
      <c r="Y199" s="467"/>
      <c r="Z199" s="245">
        <f t="shared" si="85"/>
        <v>0</v>
      </c>
      <c r="AA199" s="467"/>
      <c r="AB199" s="467"/>
      <c r="AC199" s="467"/>
      <c r="AD199" s="290">
        <f t="shared" si="110"/>
        <v>990</v>
      </c>
      <c r="AE199" s="290">
        <f t="shared" si="102"/>
        <v>990</v>
      </c>
      <c r="AF199" s="245"/>
      <c r="AG199" s="475"/>
      <c r="AH199" s="475"/>
      <c r="AI199" s="475"/>
      <c r="AJ199" s="475"/>
      <c r="AK199" s="475"/>
      <c r="AL199" s="475">
        <f t="shared" si="111"/>
        <v>990</v>
      </c>
      <c r="AM199" s="475">
        <f t="shared" si="112"/>
        <v>990</v>
      </c>
      <c r="AN199" s="493"/>
      <c r="AQ199" s="215" t="s">
        <v>600</v>
      </c>
      <c r="AR199" s="215"/>
      <c r="AS199" s="216"/>
      <c r="AT199" s="224" t="s">
        <v>307</v>
      </c>
      <c r="AU199" s="470" t="s">
        <v>983</v>
      </c>
      <c r="AV199" s="226" t="s">
        <v>360</v>
      </c>
      <c r="AW199" s="471" t="s">
        <v>987</v>
      </c>
      <c r="AY199" s="285">
        <f t="shared" si="113"/>
        <v>1000</v>
      </c>
      <c r="AZ199" s="226"/>
      <c r="BA199" s="285">
        <v>1000</v>
      </c>
    </row>
    <row r="200" spans="1:53" ht="38.25">
      <c r="A200" s="475">
        <v>11</v>
      </c>
      <c r="B200" s="464" t="s">
        <v>988</v>
      </c>
      <c r="C200" s="464"/>
      <c r="D200" s="464"/>
      <c r="E200" s="464"/>
      <c r="F200" s="464"/>
      <c r="G200" s="465" t="s">
        <v>435</v>
      </c>
      <c r="H200" s="397">
        <v>2019</v>
      </c>
      <c r="I200" s="397"/>
      <c r="J200" s="397">
        <v>2021</v>
      </c>
      <c r="K200" s="397"/>
      <c r="L200" s="397"/>
      <c r="M200" s="469" t="s">
        <v>989</v>
      </c>
      <c r="N200" s="467">
        <v>4500</v>
      </c>
      <c r="O200" s="467"/>
      <c r="P200" s="467">
        <v>2700</v>
      </c>
      <c r="Q200" s="467"/>
      <c r="R200" s="467"/>
      <c r="S200" s="467"/>
      <c r="T200" s="467">
        <f t="shared" si="109"/>
        <v>1350</v>
      </c>
      <c r="U200" s="467"/>
      <c r="V200" s="467"/>
      <c r="W200" s="467"/>
      <c r="X200" s="467"/>
      <c r="Y200" s="467"/>
      <c r="Z200" s="245">
        <f t="shared" si="85"/>
        <v>0</v>
      </c>
      <c r="AA200" s="467"/>
      <c r="AB200" s="467"/>
      <c r="AC200" s="467"/>
      <c r="AD200" s="290">
        <f t="shared" si="110"/>
        <v>1350</v>
      </c>
      <c r="AE200" s="290">
        <f t="shared" si="102"/>
        <v>1350</v>
      </c>
      <c r="AF200" s="245"/>
      <c r="AG200" s="475"/>
      <c r="AH200" s="475"/>
      <c r="AI200" s="475"/>
      <c r="AJ200" s="475"/>
      <c r="AK200" s="475"/>
      <c r="AL200" s="475">
        <f t="shared" si="111"/>
        <v>1350</v>
      </c>
      <c r="AM200" s="475">
        <f t="shared" si="112"/>
        <v>1350</v>
      </c>
      <c r="AN200" s="493"/>
      <c r="AQ200" s="215" t="s">
        <v>732</v>
      </c>
      <c r="AR200" s="215"/>
      <c r="AS200" s="216"/>
      <c r="AT200" s="224" t="s">
        <v>307</v>
      </c>
      <c r="AU200" s="470" t="s">
        <v>733</v>
      </c>
      <c r="AV200" s="226" t="s">
        <v>360</v>
      </c>
      <c r="AW200" s="471" t="s">
        <v>990</v>
      </c>
      <c r="AY200" s="285">
        <f t="shared" si="113"/>
        <v>900</v>
      </c>
      <c r="AZ200" s="226"/>
      <c r="BA200" s="285">
        <v>900</v>
      </c>
    </row>
    <row r="201" spans="1:53" ht="38.25">
      <c r="A201" s="286">
        <v>12</v>
      </c>
      <c r="B201" s="464" t="s">
        <v>991</v>
      </c>
      <c r="C201" s="464"/>
      <c r="D201" s="464"/>
      <c r="E201" s="464"/>
      <c r="F201" s="464"/>
      <c r="G201" s="465" t="s">
        <v>435</v>
      </c>
      <c r="H201" s="397">
        <v>2019</v>
      </c>
      <c r="I201" s="397"/>
      <c r="J201" s="397">
        <v>2021</v>
      </c>
      <c r="K201" s="397"/>
      <c r="L201" s="397"/>
      <c r="M201" s="466" t="s">
        <v>992</v>
      </c>
      <c r="N201" s="467">
        <v>4500</v>
      </c>
      <c r="O201" s="467"/>
      <c r="P201" s="467">
        <v>2700</v>
      </c>
      <c r="Q201" s="467"/>
      <c r="R201" s="467"/>
      <c r="S201" s="467"/>
      <c r="T201" s="467">
        <f t="shared" si="109"/>
        <v>1350</v>
      </c>
      <c r="U201" s="467"/>
      <c r="V201" s="467"/>
      <c r="W201" s="467"/>
      <c r="X201" s="467"/>
      <c r="Y201" s="467"/>
      <c r="Z201" s="245">
        <f t="shared" si="85"/>
        <v>0</v>
      </c>
      <c r="AA201" s="467"/>
      <c r="AB201" s="467"/>
      <c r="AC201" s="467"/>
      <c r="AD201" s="290">
        <f t="shared" si="110"/>
        <v>1350</v>
      </c>
      <c r="AE201" s="290">
        <f t="shared" si="102"/>
        <v>1350</v>
      </c>
      <c r="AF201" s="245"/>
      <c r="AG201" s="475"/>
      <c r="AH201" s="475"/>
      <c r="AI201" s="475"/>
      <c r="AJ201" s="475"/>
      <c r="AK201" s="475"/>
      <c r="AL201" s="475">
        <f t="shared" si="111"/>
        <v>1350</v>
      </c>
      <c r="AM201" s="475">
        <f t="shared" si="112"/>
        <v>1350</v>
      </c>
      <c r="AN201" s="493"/>
      <c r="AQ201" s="215" t="s">
        <v>993</v>
      </c>
      <c r="AR201" s="215"/>
      <c r="AS201" s="216" t="s">
        <v>496</v>
      </c>
      <c r="AT201" s="224" t="s">
        <v>307</v>
      </c>
      <c r="AU201" s="470" t="s">
        <v>994</v>
      </c>
      <c r="AV201" s="226" t="s">
        <v>360</v>
      </c>
      <c r="AW201" s="471" t="s">
        <v>995</v>
      </c>
      <c r="AY201" s="285">
        <f t="shared" si="113"/>
        <v>900</v>
      </c>
      <c r="AZ201" s="226"/>
      <c r="BA201" s="285">
        <v>900</v>
      </c>
    </row>
    <row r="202" spans="1:53" ht="31.5">
      <c r="A202" s="475">
        <v>13</v>
      </c>
      <c r="B202" s="464" t="s">
        <v>996</v>
      </c>
      <c r="C202" s="464"/>
      <c r="D202" s="464"/>
      <c r="E202" s="464"/>
      <c r="F202" s="464"/>
      <c r="G202" s="465" t="s">
        <v>378</v>
      </c>
      <c r="H202" s="397">
        <v>2019</v>
      </c>
      <c r="I202" s="397"/>
      <c r="J202" s="397">
        <v>2021</v>
      </c>
      <c r="K202" s="397"/>
      <c r="L202" s="397"/>
      <c r="M202" s="501" t="s">
        <v>997</v>
      </c>
      <c r="N202" s="467">
        <v>6000</v>
      </c>
      <c r="O202" s="467"/>
      <c r="P202" s="467">
        <v>3600</v>
      </c>
      <c r="Q202" s="467"/>
      <c r="R202" s="467"/>
      <c r="S202" s="467"/>
      <c r="T202" s="467">
        <f t="shared" si="109"/>
        <v>1800</v>
      </c>
      <c r="U202" s="467"/>
      <c r="V202" s="467"/>
      <c r="W202" s="467"/>
      <c r="X202" s="467"/>
      <c r="Y202" s="467"/>
      <c r="Z202" s="245">
        <f t="shared" si="85"/>
        <v>0</v>
      </c>
      <c r="AA202" s="467"/>
      <c r="AB202" s="467"/>
      <c r="AC202" s="467"/>
      <c r="AD202" s="290">
        <f t="shared" si="110"/>
        <v>1800</v>
      </c>
      <c r="AE202" s="290">
        <f t="shared" si="102"/>
        <v>1800</v>
      </c>
      <c r="AF202" s="245"/>
      <c r="AG202" s="475"/>
      <c r="AH202" s="475"/>
      <c r="AI202" s="475"/>
      <c r="AJ202" s="475"/>
      <c r="AK202" s="475"/>
      <c r="AL202" s="475">
        <f t="shared" si="111"/>
        <v>1800</v>
      </c>
      <c r="AM202" s="475">
        <f t="shared" si="112"/>
        <v>1800</v>
      </c>
      <c r="AN202" s="493"/>
      <c r="AQ202" s="215" t="s">
        <v>998</v>
      </c>
      <c r="AR202" s="215"/>
      <c r="AS202" s="216"/>
      <c r="AT202" s="224" t="s">
        <v>307</v>
      </c>
      <c r="AU202" s="470" t="s">
        <v>999</v>
      </c>
      <c r="AV202" s="226" t="s">
        <v>360</v>
      </c>
      <c r="AW202" s="471"/>
      <c r="AY202" s="226"/>
      <c r="AZ202" s="226"/>
      <c r="BA202" s="285"/>
    </row>
    <row r="203" spans="1:53" ht="31.5">
      <c r="A203" s="286">
        <v>14</v>
      </c>
      <c r="B203" s="464" t="s">
        <v>1000</v>
      </c>
      <c r="C203" s="464"/>
      <c r="D203" s="464"/>
      <c r="E203" s="464"/>
      <c r="F203" s="464"/>
      <c r="G203" s="465" t="s">
        <v>378</v>
      </c>
      <c r="H203" s="397">
        <v>2019</v>
      </c>
      <c r="I203" s="397"/>
      <c r="J203" s="397">
        <v>2021</v>
      </c>
      <c r="K203" s="397"/>
      <c r="L203" s="397"/>
      <c r="M203" s="501" t="s">
        <v>1001</v>
      </c>
      <c r="N203" s="467">
        <v>3200</v>
      </c>
      <c r="O203" s="467"/>
      <c r="P203" s="467">
        <v>1800</v>
      </c>
      <c r="Q203" s="467"/>
      <c r="R203" s="467"/>
      <c r="S203" s="467"/>
      <c r="T203" s="467">
        <f t="shared" si="109"/>
        <v>900</v>
      </c>
      <c r="U203" s="467"/>
      <c r="V203" s="467"/>
      <c r="W203" s="467"/>
      <c r="X203" s="467"/>
      <c r="Y203" s="467"/>
      <c r="Z203" s="245">
        <f t="shared" si="85"/>
        <v>0</v>
      </c>
      <c r="AA203" s="467"/>
      <c r="AB203" s="467"/>
      <c r="AC203" s="467"/>
      <c r="AD203" s="290">
        <f t="shared" si="110"/>
        <v>900</v>
      </c>
      <c r="AE203" s="290">
        <f t="shared" si="102"/>
        <v>900</v>
      </c>
      <c r="AF203" s="245"/>
      <c r="AG203" s="475"/>
      <c r="AH203" s="475"/>
      <c r="AI203" s="475"/>
      <c r="AJ203" s="475"/>
      <c r="AK203" s="475"/>
      <c r="AL203" s="475">
        <f t="shared" ref="AL203:AL223" si="114">AD203</f>
        <v>900</v>
      </c>
      <c r="AM203" s="475">
        <f t="shared" ref="AM203:AM223" si="115">AE203-AI203</f>
        <v>900</v>
      </c>
      <c r="AN203" s="493"/>
      <c r="AQ203" s="215" t="s">
        <v>998</v>
      </c>
      <c r="AR203" s="215"/>
      <c r="AS203" s="216"/>
      <c r="AT203" s="224" t="s">
        <v>307</v>
      </c>
      <c r="AU203" s="470" t="s">
        <v>1002</v>
      </c>
      <c r="AV203" s="502" t="s">
        <v>1003</v>
      </c>
      <c r="AW203" s="503"/>
      <c r="AX203" s="504"/>
      <c r="AY203" s="502"/>
      <c r="AZ203" s="502"/>
      <c r="BA203" s="505"/>
    </row>
    <row r="204" spans="1:53" ht="38.25">
      <c r="A204" s="475">
        <v>15</v>
      </c>
      <c r="B204" s="464" t="s">
        <v>1004</v>
      </c>
      <c r="C204" s="464"/>
      <c r="D204" s="464"/>
      <c r="E204" s="464"/>
      <c r="F204" s="464"/>
      <c r="G204" s="465" t="s">
        <v>378</v>
      </c>
      <c r="H204" s="397">
        <v>2019</v>
      </c>
      <c r="I204" s="397"/>
      <c r="J204" s="397">
        <v>2021</v>
      </c>
      <c r="K204" s="397"/>
      <c r="L204" s="397"/>
      <c r="M204" s="500" t="s">
        <v>1005</v>
      </c>
      <c r="N204" s="467">
        <v>4508</v>
      </c>
      <c r="O204" s="467"/>
      <c r="P204" s="467">
        <v>2760</v>
      </c>
      <c r="Q204" s="467"/>
      <c r="R204" s="467"/>
      <c r="S204" s="467"/>
      <c r="T204" s="467">
        <f t="shared" si="109"/>
        <v>1380</v>
      </c>
      <c r="U204" s="467"/>
      <c r="V204" s="467"/>
      <c r="W204" s="467"/>
      <c r="X204" s="467"/>
      <c r="Y204" s="467"/>
      <c r="Z204" s="245">
        <f t="shared" si="85"/>
        <v>0</v>
      </c>
      <c r="AA204" s="467"/>
      <c r="AB204" s="467"/>
      <c r="AC204" s="467"/>
      <c r="AD204" s="290">
        <f t="shared" si="110"/>
        <v>1380</v>
      </c>
      <c r="AE204" s="290">
        <f t="shared" si="102"/>
        <v>1380</v>
      </c>
      <c r="AF204" s="245"/>
      <c r="AG204" s="475"/>
      <c r="AH204" s="475"/>
      <c r="AI204" s="475"/>
      <c r="AJ204" s="475"/>
      <c r="AK204" s="475"/>
      <c r="AL204" s="475">
        <f t="shared" si="114"/>
        <v>1380</v>
      </c>
      <c r="AM204" s="475">
        <f t="shared" si="115"/>
        <v>1380</v>
      </c>
      <c r="AN204" s="493"/>
      <c r="AQ204" s="215" t="s">
        <v>1006</v>
      </c>
      <c r="AR204" s="215"/>
      <c r="AS204" s="216"/>
      <c r="AT204" s="224" t="s">
        <v>307</v>
      </c>
      <c r="AU204" s="470" t="s">
        <v>999</v>
      </c>
      <c r="AV204" s="506" t="s">
        <v>1007</v>
      </c>
      <c r="AW204" s="471" t="s">
        <v>1008</v>
      </c>
      <c r="AY204" s="226"/>
      <c r="AZ204" s="226"/>
      <c r="BA204" s="285"/>
    </row>
    <row r="205" spans="1:53" ht="38.25">
      <c r="A205" s="286">
        <v>16</v>
      </c>
      <c r="B205" s="464" t="s">
        <v>1009</v>
      </c>
      <c r="C205" s="464"/>
      <c r="D205" s="464"/>
      <c r="E205" s="464"/>
      <c r="F205" s="464"/>
      <c r="G205" s="465" t="s">
        <v>378</v>
      </c>
      <c r="H205" s="397">
        <v>2019</v>
      </c>
      <c r="I205" s="397"/>
      <c r="J205" s="397">
        <v>2021</v>
      </c>
      <c r="K205" s="397"/>
      <c r="L205" s="397"/>
      <c r="M205" s="500" t="s">
        <v>1010</v>
      </c>
      <c r="N205" s="467">
        <v>5000</v>
      </c>
      <c r="O205" s="467"/>
      <c r="P205" s="467">
        <v>3000</v>
      </c>
      <c r="Q205" s="467"/>
      <c r="R205" s="467"/>
      <c r="S205" s="467"/>
      <c r="T205" s="467">
        <f t="shared" si="109"/>
        <v>1500</v>
      </c>
      <c r="U205" s="467"/>
      <c r="V205" s="467"/>
      <c r="W205" s="467"/>
      <c r="X205" s="467"/>
      <c r="Y205" s="467"/>
      <c r="Z205" s="245">
        <f t="shared" si="85"/>
        <v>0</v>
      </c>
      <c r="AA205" s="467"/>
      <c r="AB205" s="467"/>
      <c r="AC205" s="467"/>
      <c r="AD205" s="290">
        <f t="shared" si="110"/>
        <v>1500</v>
      </c>
      <c r="AE205" s="290">
        <f t="shared" si="102"/>
        <v>1500</v>
      </c>
      <c r="AF205" s="245"/>
      <c r="AG205" s="475"/>
      <c r="AH205" s="475"/>
      <c r="AI205" s="475"/>
      <c r="AJ205" s="475"/>
      <c r="AK205" s="475"/>
      <c r="AL205" s="475">
        <f t="shared" si="114"/>
        <v>1500</v>
      </c>
      <c r="AM205" s="475">
        <f t="shared" si="115"/>
        <v>1500</v>
      </c>
      <c r="AN205" s="493"/>
      <c r="AQ205" s="215" t="s">
        <v>1011</v>
      </c>
      <c r="AR205" s="215"/>
      <c r="AS205" s="216" t="s">
        <v>496</v>
      </c>
      <c r="AT205" s="224" t="s">
        <v>307</v>
      </c>
      <c r="AU205" s="470" t="s">
        <v>1012</v>
      </c>
      <c r="AV205" s="388" t="s">
        <v>1013</v>
      </c>
      <c r="AW205" s="471"/>
      <c r="AY205" s="226"/>
      <c r="AZ205" s="226"/>
      <c r="BA205" s="285"/>
    </row>
    <row r="206" spans="1:53" ht="34.5" customHeight="1">
      <c r="A206" s="475">
        <v>17</v>
      </c>
      <c r="B206" s="464" t="s">
        <v>1014</v>
      </c>
      <c r="C206" s="464"/>
      <c r="D206" s="464"/>
      <c r="E206" s="464"/>
      <c r="F206" s="464"/>
      <c r="G206" s="465" t="s">
        <v>378</v>
      </c>
      <c r="H206" s="397">
        <v>2019</v>
      </c>
      <c r="I206" s="397"/>
      <c r="J206" s="397">
        <v>2021</v>
      </c>
      <c r="K206" s="397"/>
      <c r="L206" s="397"/>
      <c r="M206" s="466" t="s">
        <v>1015</v>
      </c>
      <c r="N206" s="467">
        <v>3424</v>
      </c>
      <c r="O206" s="467"/>
      <c r="P206" s="467">
        <v>2100</v>
      </c>
      <c r="Q206" s="467"/>
      <c r="R206" s="467"/>
      <c r="S206" s="467"/>
      <c r="T206" s="467">
        <f t="shared" si="109"/>
        <v>1050</v>
      </c>
      <c r="U206" s="467"/>
      <c r="V206" s="467"/>
      <c r="W206" s="467"/>
      <c r="X206" s="467"/>
      <c r="Y206" s="467"/>
      <c r="Z206" s="245">
        <f t="shared" si="85"/>
        <v>0</v>
      </c>
      <c r="AA206" s="467"/>
      <c r="AB206" s="467"/>
      <c r="AC206" s="467"/>
      <c r="AD206" s="290">
        <f t="shared" si="110"/>
        <v>1050</v>
      </c>
      <c r="AE206" s="290">
        <f t="shared" si="102"/>
        <v>1050</v>
      </c>
      <c r="AF206" s="245"/>
      <c r="AG206" s="475"/>
      <c r="AH206" s="475"/>
      <c r="AI206" s="475"/>
      <c r="AJ206" s="475"/>
      <c r="AK206" s="475"/>
      <c r="AL206" s="475">
        <f t="shared" si="114"/>
        <v>1050</v>
      </c>
      <c r="AM206" s="475">
        <f t="shared" si="115"/>
        <v>1050</v>
      </c>
      <c r="AN206" s="493"/>
      <c r="AQ206" s="215" t="s">
        <v>380</v>
      </c>
      <c r="AR206" s="215"/>
      <c r="AS206" s="216"/>
      <c r="AT206" s="224" t="s">
        <v>307</v>
      </c>
      <c r="AU206" s="470" t="s">
        <v>999</v>
      </c>
      <c r="AV206" s="226" t="s">
        <v>360</v>
      </c>
      <c r="AW206" s="471"/>
      <c r="AY206" s="226"/>
      <c r="AZ206" s="226"/>
      <c r="BA206" s="285"/>
    </row>
    <row r="207" spans="1:53" ht="63.75">
      <c r="A207" s="286">
        <v>18</v>
      </c>
      <c r="B207" s="464" t="s">
        <v>1016</v>
      </c>
      <c r="C207" s="464"/>
      <c r="D207" s="464"/>
      <c r="E207" s="464"/>
      <c r="F207" s="464"/>
      <c r="G207" s="465" t="s">
        <v>378</v>
      </c>
      <c r="H207" s="397">
        <v>2019</v>
      </c>
      <c r="I207" s="397"/>
      <c r="J207" s="397">
        <v>2021</v>
      </c>
      <c r="K207" s="397"/>
      <c r="L207" s="397"/>
      <c r="M207" s="466" t="s">
        <v>1017</v>
      </c>
      <c r="N207" s="467">
        <v>3000</v>
      </c>
      <c r="O207" s="467"/>
      <c r="P207" s="467">
        <v>1800</v>
      </c>
      <c r="Q207" s="467"/>
      <c r="R207" s="467"/>
      <c r="S207" s="467"/>
      <c r="T207" s="467">
        <f t="shared" si="109"/>
        <v>900</v>
      </c>
      <c r="U207" s="467"/>
      <c r="V207" s="467"/>
      <c r="W207" s="467"/>
      <c r="X207" s="467"/>
      <c r="Y207" s="467"/>
      <c r="Z207" s="245">
        <f t="shared" si="85"/>
        <v>0</v>
      </c>
      <c r="AA207" s="467"/>
      <c r="AB207" s="467"/>
      <c r="AC207" s="467"/>
      <c r="AD207" s="290">
        <f t="shared" si="110"/>
        <v>900</v>
      </c>
      <c r="AE207" s="290">
        <f t="shared" si="102"/>
        <v>900</v>
      </c>
      <c r="AF207" s="245"/>
      <c r="AG207" s="475"/>
      <c r="AH207" s="475"/>
      <c r="AI207" s="475"/>
      <c r="AJ207" s="475"/>
      <c r="AK207" s="475"/>
      <c r="AL207" s="475">
        <f t="shared" si="114"/>
        <v>900</v>
      </c>
      <c r="AM207" s="475">
        <f t="shared" si="115"/>
        <v>900</v>
      </c>
      <c r="AN207" s="493"/>
      <c r="AQ207" s="215" t="s">
        <v>834</v>
      </c>
      <c r="AR207" s="215"/>
      <c r="AS207" s="216"/>
      <c r="AT207" s="224" t="s">
        <v>307</v>
      </c>
      <c r="AU207" s="470" t="s">
        <v>835</v>
      </c>
      <c r="AV207" s="401" t="s">
        <v>1018</v>
      </c>
      <c r="AW207" s="471"/>
      <c r="AY207" s="285">
        <f>AZ207+BA207</f>
        <v>500</v>
      </c>
      <c r="AZ207" s="226"/>
      <c r="BA207" s="285">
        <v>500</v>
      </c>
    </row>
    <row r="208" spans="1:53" ht="25.5">
      <c r="A208" s="475">
        <v>19</v>
      </c>
      <c r="B208" s="464" t="s">
        <v>1019</v>
      </c>
      <c r="C208" s="464"/>
      <c r="D208" s="464"/>
      <c r="E208" s="464"/>
      <c r="F208" s="464"/>
      <c r="G208" s="465" t="s">
        <v>378</v>
      </c>
      <c r="H208" s="397">
        <v>2019</v>
      </c>
      <c r="I208" s="397"/>
      <c r="J208" s="397">
        <v>2021</v>
      </c>
      <c r="K208" s="397"/>
      <c r="L208" s="397"/>
      <c r="M208" s="466" t="s">
        <v>1020</v>
      </c>
      <c r="N208" s="467">
        <v>5500</v>
      </c>
      <c r="O208" s="467"/>
      <c r="P208" s="467">
        <v>3300</v>
      </c>
      <c r="Q208" s="467"/>
      <c r="R208" s="467"/>
      <c r="S208" s="467"/>
      <c r="T208" s="467">
        <f t="shared" si="109"/>
        <v>1650</v>
      </c>
      <c r="U208" s="467"/>
      <c r="V208" s="467"/>
      <c r="W208" s="467"/>
      <c r="X208" s="467"/>
      <c r="Y208" s="467"/>
      <c r="Z208" s="245">
        <f t="shared" si="85"/>
        <v>0</v>
      </c>
      <c r="AA208" s="467"/>
      <c r="AB208" s="467"/>
      <c r="AC208" s="467"/>
      <c r="AD208" s="290">
        <f t="shared" si="110"/>
        <v>1650</v>
      </c>
      <c r="AE208" s="290">
        <f t="shared" si="102"/>
        <v>1650</v>
      </c>
      <c r="AF208" s="245"/>
      <c r="AG208" s="475"/>
      <c r="AH208" s="475"/>
      <c r="AI208" s="475"/>
      <c r="AJ208" s="475"/>
      <c r="AK208" s="475"/>
      <c r="AL208" s="475">
        <f t="shared" si="114"/>
        <v>1650</v>
      </c>
      <c r="AM208" s="475">
        <f t="shared" si="115"/>
        <v>1650</v>
      </c>
      <c r="AN208" s="493"/>
      <c r="AQ208" s="215" t="s">
        <v>1021</v>
      </c>
      <c r="AR208" s="215"/>
      <c r="AS208" s="216"/>
      <c r="AT208" s="224" t="s">
        <v>307</v>
      </c>
      <c r="AU208" s="470" t="s">
        <v>1022</v>
      </c>
      <c r="AV208" s="226" t="s">
        <v>360</v>
      </c>
      <c r="AW208" s="471"/>
      <c r="AY208" s="285">
        <f>AZ208+BA208</f>
        <v>1730</v>
      </c>
      <c r="AZ208" s="226"/>
      <c r="BA208" s="285">
        <v>1730</v>
      </c>
    </row>
    <row r="209" spans="1:57" ht="25.5">
      <c r="A209" s="286">
        <v>20</v>
      </c>
      <c r="B209" s="464" t="s">
        <v>1023</v>
      </c>
      <c r="C209" s="464"/>
      <c r="D209" s="464"/>
      <c r="E209" s="464"/>
      <c r="F209" s="464"/>
      <c r="G209" s="465" t="s">
        <v>378</v>
      </c>
      <c r="H209" s="397">
        <v>2019</v>
      </c>
      <c r="I209" s="397"/>
      <c r="J209" s="397">
        <v>2021</v>
      </c>
      <c r="K209" s="397"/>
      <c r="L209" s="397"/>
      <c r="M209" s="466" t="s">
        <v>1024</v>
      </c>
      <c r="N209" s="467">
        <v>4800</v>
      </c>
      <c r="O209" s="467"/>
      <c r="P209" s="467">
        <v>2880</v>
      </c>
      <c r="Q209" s="467"/>
      <c r="R209" s="467"/>
      <c r="S209" s="467"/>
      <c r="T209" s="467">
        <f t="shared" si="109"/>
        <v>1440</v>
      </c>
      <c r="U209" s="467"/>
      <c r="V209" s="467"/>
      <c r="W209" s="467"/>
      <c r="X209" s="467"/>
      <c r="Y209" s="467"/>
      <c r="Z209" s="245">
        <f t="shared" si="85"/>
        <v>0</v>
      </c>
      <c r="AA209" s="467"/>
      <c r="AB209" s="467"/>
      <c r="AC209" s="467"/>
      <c r="AD209" s="290">
        <f t="shared" si="110"/>
        <v>1440</v>
      </c>
      <c r="AE209" s="290">
        <f t="shared" si="102"/>
        <v>1440</v>
      </c>
      <c r="AF209" s="245"/>
      <c r="AG209" s="475"/>
      <c r="AH209" s="475"/>
      <c r="AI209" s="475"/>
      <c r="AJ209" s="475"/>
      <c r="AK209" s="475"/>
      <c r="AL209" s="475">
        <f t="shared" si="114"/>
        <v>1440</v>
      </c>
      <c r="AM209" s="475">
        <f t="shared" si="115"/>
        <v>1440</v>
      </c>
      <c r="AN209" s="493"/>
      <c r="AQ209" s="215" t="s">
        <v>1025</v>
      </c>
      <c r="AR209" s="215"/>
      <c r="AS209" s="216"/>
      <c r="AT209" s="224" t="s">
        <v>307</v>
      </c>
      <c r="AU209" s="470" t="s">
        <v>1859</v>
      </c>
      <c r="AV209" s="226" t="s">
        <v>360</v>
      </c>
      <c r="AW209" s="471"/>
      <c r="AY209" s="226"/>
      <c r="AZ209" s="226"/>
      <c r="BA209" s="285"/>
    </row>
    <row r="210" spans="1:57" ht="25.5">
      <c r="A210" s="475">
        <v>21</v>
      </c>
      <c r="B210" s="464" t="s">
        <v>1026</v>
      </c>
      <c r="C210" s="464"/>
      <c r="D210" s="464"/>
      <c r="E210" s="464"/>
      <c r="F210" s="464"/>
      <c r="G210" s="465" t="s">
        <v>378</v>
      </c>
      <c r="H210" s="397">
        <v>2019</v>
      </c>
      <c r="I210" s="397"/>
      <c r="J210" s="397">
        <v>2021</v>
      </c>
      <c r="K210" s="397"/>
      <c r="L210" s="397"/>
      <c r="M210" s="466" t="s">
        <v>1027</v>
      </c>
      <c r="N210" s="467">
        <v>4500</v>
      </c>
      <c r="O210" s="467"/>
      <c r="P210" s="467">
        <v>2700</v>
      </c>
      <c r="Q210" s="467"/>
      <c r="R210" s="467"/>
      <c r="S210" s="467"/>
      <c r="T210" s="467">
        <f t="shared" si="109"/>
        <v>1350</v>
      </c>
      <c r="U210" s="467"/>
      <c r="V210" s="467"/>
      <c r="W210" s="467"/>
      <c r="X210" s="467"/>
      <c r="Y210" s="467"/>
      <c r="Z210" s="245">
        <f t="shared" si="85"/>
        <v>0</v>
      </c>
      <c r="AA210" s="467"/>
      <c r="AB210" s="467"/>
      <c r="AC210" s="467"/>
      <c r="AD210" s="290">
        <f t="shared" si="110"/>
        <v>1350</v>
      </c>
      <c r="AE210" s="290">
        <f t="shared" si="102"/>
        <v>1350</v>
      </c>
      <c r="AF210" s="245"/>
      <c r="AG210" s="475"/>
      <c r="AH210" s="475"/>
      <c r="AI210" s="475"/>
      <c r="AJ210" s="475"/>
      <c r="AK210" s="475"/>
      <c r="AL210" s="475">
        <f t="shared" si="114"/>
        <v>1350</v>
      </c>
      <c r="AM210" s="475">
        <f t="shared" si="115"/>
        <v>1350</v>
      </c>
      <c r="AN210" s="493"/>
      <c r="AQ210" s="215" t="s">
        <v>550</v>
      </c>
      <c r="AR210" s="215"/>
      <c r="AS210" s="216"/>
      <c r="AT210" s="224" t="s">
        <v>307</v>
      </c>
      <c r="AU210" s="470" t="s">
        <v>551</v>
      </c>
      <c r="AV210" s="226" t="s">
        <v>360</v>
      </c>
      <c r="AW210" s="471"/>
      <c r="AY210" s="285">
        <f t="shared" ref="AY210:AY215" si="116">AZ210+BA210</f>
        <v>1376</v>
      </c>
      <c r="AZ210" s="226"/>
      <c r="BA210" s="285">
        <v>1376</v>
      </c>
    </row>
    <row r="211" spans="1:57" ht="38.25">
      <c r="A211" s="286">
        <v>22</v>
      </c>
      <c r="B211" s="457" t="s">
        <v>1028</v>
      </c>
      <c r="C211" s="457"/>
      <c r="D211" s="457"/>
      <c r="E211" s="457"/>
      <c r="F211" s="457"/>
      <c r="G211" s="288" t="s">
        <v>395</v>
      </c>
      <c r="H211" s="286">
        <v>2019</v>
      </c>
      <c r="I211" s="286"/>
      <c r="J211" s="286">
        <v>2021</v>
      </c>
      <c r="K211" s="286"/>
      <c r="L211" s="286"/>
      <c r="M211" s="466" t="s">
        <v>1029</v>
      </c>
      <c r="N211" s="458">
        <v>4482</v>
      </c>
      <c r="O211" s="458"/>
      <c r="P211" s="458">
        <v>2700</v>
      </c>
      <c r="Q211" s="458"/>
      <c r="R211" s="458"/>
      <c r="S211" s="458"/>
      <c r="T211" s="467">
        <f t="shared" si="109"/>
        <v>1350</v>
      </c>
      <c r="U211" s="458"/>
      <c r="V211" s="458"/>
      <c r="W211" s="458"/>
      <c r="X211" s="458"/>
      <c r="Y211" s="458"/>
      <c r="Z211" s="245">
        <f t="shared" si="85"/>
        <v>0</v>
      </c>
      <c r="AA211" s="458"/>
      <c r="AB211" s="458"/>
      <c r="AC211" s="458"/>
      <c r="AD211" s="290">
        <f t="shared" si="110"/>
        <v>1350</v>
      </c>
      <c r="AE211" s="290">
        <f t="shared" si="102"/>
        <v>1350</v>
      </c>
      <c r="AF211" s="245"/>
      <c r="AG211" s="472"/>
      <c r="AH211" s="472"/>
      <c r="AI211" s="472"/>
      <c r="AJ211" s="472"/>
      <c r="AK211" s="472"/>
      <c r="AL211" s="475">
        <f t="shared" si="114"/>
        <v>1350</v>
      </c>
      <c r="AM211" s="475">
        <f t="shared" si="115"/>
        <v>1350</v>
      </c>
      <c r="AN211" s="472"/>
      <c r="AQ211" s="215" t="s">
        <v>648</v>
      </c>
      <c r="AR211" s="215"/>
      <c r="AS211" s="216"/>
      <c r="AT211" s="224" t="s">
        <v>307</v>
      </c>
      <c r="AU211" s="288" t="s">
        <v>1030</v>
      </c>
      <c r="AV211" s="226" t="s">
        <v>1003</v>
      </c>
      <c r="AW211" s="461" t="s">
        <v>1031</v>
      </c>
      <c r="AY211" s="285">
        <f t="shared" si="116"/>
        <v>500</v>
      </c>
      <c r="AZ211" s="226"/>
      <c r="BA211" s="285">
        <v>500</v>
      </c>
    </row>
    <row r="212" spans="1:57" ht="51">
      <c r="A212" s="475">
        <v>23</v>
      </c>
      <c r="B212" s="457" t="s">
        <v>1032</v>
      </c>
      <c r="C212" s="457"/>
      <c r="D212" s="457"/>
      <c r="E212" s="457"/>
      <c r="F212" s="457"/>
      <c r="G212" s="288" t="s">
        <v>341</v>
      </c>
      <c r="H212" s="286">
        <v>2019</v>
      </c>
      <c r="I212" s="286"/>
      <c r="J212" s="286">
        <v>2021</v>
      </c>
      <c r="K212" s="286"/>
      <c r="L212" s="286"/>
      <c r="M212" s="466" t="s">
        <v>1033</v>
      </c>
      <c r="N212" s="1534">
        <v>2738</v>
      </c>
      <c r="O212" s="458"/>
      <c r="P212" s="458">
        <v>1800</v>
      </c>
      <c r="Q212" s="458"/>
      <c r="R212" s="458"/>
      <c r="S212" s="458"/>
      <c r="T212" s="467">
        <f t="shared" si="109"/>
        <v>900</v>
      </c>
      <c r="U212" s="458"/>
      <c r="V212" s="458"/>
      <c r="W212" s="458"/>
      <c r="X212" s="458"/>
      <c r="Y212" s="458"/>
      <c r="Z212" s="245">
        <f t="shared" si="85"/>
        <v>0</v>
      </c>
      <c r="AA212" s="458"/>
      <c r="AB212" s="458"/>
      <c r="AC212" s="458"/>
      <c r="AD212" s="290">
        <f t="shared" si="110"/>
        <v>900</v>
      </c>
      <c r="AE212" s="290">
        <f t="shared" si="102"/>
        <v>900</v>
      </c>
      <c r="AF212" s="245"/>
      <c r="AG212" s="472"/>
      <c r="AH212" s="472"/>
      <c r="AI212" s="472"/>
      <c r="AJ212" s="472"/>
      <c r="AK212" s="472"/>
      <c r="AL212" s="475">
        <f t="shared" si="114"/>
        <v>900</v>
      </c>
      <c r="AM212" s="475">
        <f t="shared" si="115"/>
        <v>900</v>
      </c>
      <c r="AN212" s="472"/>
      <c r="AQ212" s="215" t="s">
        <v>1034</v>
      </c>
      <c r="AR212" s="215"/>
      <c r="AS212" s="216" t="s">
        <v>496</v>
      </c>
      <c r="AT212" s="224" t="s">
        <v>307</v>
      </c>
      <c r="AU212" s="288" t="s">
        <v>1035</v>
      </c>
      <c r="AV212" s="226" t="s">
        <v>360</v>
      </c>
      <c r="AW212" s="461" t="s">
        <v>1036</v>
      </c>
      <c r="AY212" s="285">
        <f t="shared" si="116"/>
        <v>500</v>
      </c>
      <c r="AZ212" s="226"/>
      <c r="BA212" s="285">
        <v>500</v>
      </c>
    </row>
    <row r="213" spans="1:57" ht="38.25">
      <c r="A213" s="286">
        <v>24</v>
      </c>
      <c r="B213" s="457" t="s">
        <v>1037</v>
      </c>
      <c r="C213" s="457"/>
      <c r="D213" s="457"/>
      <c r="E213" s="457"/>
      <c r="F213" s="457"/>
      <c r="G213" s="288" t="s">
        <v>341</v>
      </c>
      <c r="H213" s="286">
        <v>2019</v>
      </c>
      <c r="I213" s="286"/>
      <c r="J213" s="286">
        <v>2021</v>
      </c>
      <c r="K213" s="286"/>
      <c r="L213" s="286"/>
      <c r="M213" s="466" t="s">
        <v>1038</v>
      </c>
      <c r="N213" s="458">
        <v>3703</v>
      </c>
      <c r="O213" s="458"/>
      <c r="P213" s="458">
        <v>2400</v>
      </c>
      <c r="Q213" s="458"/>
      <c r="R213" s="458"/>
      <c r="S213" s="458"/>
      <c r="T213" s="467">
        <f t="shared" si="109"/>
        <v>1200</v>
      </c>
      <c r="U213" s="458"/>
      <c r="V213" s="458"/>
      <c r="W213" s="458"/>
      <c r="X213" s="458"/>
      <c r="Y213" s="458"/>
      <c r="Z213" s="245">
        <f t="shared" si="85"/>
        <v>0</v>
      </c>
      <c r="AA213" s="458"/>
      <c r="AB213" s="458"/>
      <c r="AC213" s="458"/>
      <c r="AD213" s="290">
        <f t="shared" si="110"/>
        <v>1200</v>
      </c>
      <c r="AE213" s="290">
        <f t="shared" si="102"/>
        <v>1200</v>
      </c>
      <c r="AF213" s="245"/>
      <c r="AG213" s="472"/>
      <c r="AH213" s="472"/>
      <c r="AI213" s="472"/>
      <c r="AJ213" s="472"/>
      <c r="AK213" s="472"/>
      <c r="AL213" s="475">
        <f t="shared" si="114"/>
        <v>1200</v>
      </c>
      <c r="AM213" s="475">
        <f t="shared" si="115"/>
        <v>1200</v>
      </c>
      <c r="AN213" s="472"/>
      <c r="AQ213" s="215" t="s">
        <v>1039</v>
      </c>
      <c r="AR213" s="215"/>
      <c r="AS213" s="216"/>
      <c r="AT213" s="224" t="s">
        <v>307</v>
      </c>
      <c r="AU213" s="288" t="s">
        <v>1040</v>
      </c>
      <c r="AV213" s="226" t="s">
        <v>360</v>
      </c>
      <c r="AW213" s="461" t="s">
        <v>1041</v>
      </c>
      <c r="AY213" s="285">
        <f t="shared" si="116"/>
        <v>1200</v>
      </c>
      <c r="AZ213" s="226"/>
      <c r="BA213" s="285">
        <v>1200</v>
      </c>
    </row>
    <row r="214" spans="1:57" ht="38.25">
      <c r="A214" s="475">
        <v>25</v>
      </c>
      <c r="B214" s="457" t="s">
        <v>2542</v>
      </c>
      <c r="C214" s="457"/>
      <c r="D214" s="457"/>
      <c r="E214" s="457"/>
      <c r="F214" s="457"/>
      <c r="G214" s="288" t="s">
        <v>341</v>
      </c>
      <c r="H214" s="286">
        <v>2019</v>
      </c>
      <c r="I214" s="286"/>
      <c r="J214" s="286">
        <v>2021</v>
      </c>
      <c r="K214" s="286"/>
      <c r="L214" s="286"/>
      <c r="M214" s="500" t="s">
        <v>2068</v>
      </c>
      <c r="N214" s="458">
        <v>4910</v>
      </c>
      <c r="O214" s="458"/>
      <c r="P214" s="458">
        <v>3000</v>
      </c>
      <c r="Q214" s="458"/>
      <c r="R214" s="458"/>
      <c r="S214" s="458"/>
      <c r="T214" s="467">
        <f t="shared" si="109"/>
        <v>1500</v>
      </c>
      <c r="U214" s="458"/>
      <c r="V214" s="458"/>
      <c r="W214" s="458"/>
      <c r="X214" s="458"/>
      <c r="Y214" s="458"/>
      <c r="Z214" s="245">
        <f t="shared" si="85"/>
        <v>0</v>
      </c>
      <c r="AA214" s="458"/>
      <c r="AB214" s="458"/>
      <c r="AC214" s="458"/>
      <c r="AD214" s="290">
        <f t="shared" si="110"/>
        <v>1500</v>
      </c>
      <c r="AE214" s="290">
        <f t="shared" si="102"/>
        <v>1500</v>
      </c>
      <c r="AF214" s="245"/>
      <c r="AG214" s="472"/>
      <c r="AH214" s="472"/>
      <c r="AI214" s="472"/>
      <c r="AJ214" s="472"/>
      <c r="AK214" s="472"/>
      <c r="AL214" s="475">
        <f t="shared" si="114"/>
        <v>1500</v>
      </c>
      <c r="AM214" s="475">
        <f t="shared" si="115"/>
        <v>1500</v>
      </c>
      <c r="AN214" s="472"/>
      <c r="AQ214" s="215" t="s">
        <v>515</v>
      </c>
      <c r="AR214" s="215"/>
      <c r="AS214" s="216"/>
      <c r="AT214" s="224" t="s">
        <v>307</v>
      </c>
      <c r="AU214" s="288" t="s">
        <v>581</v>
      </c>
      <c r="AV214" s="226" t="s">
        <v>360</v>
      </c>
      <c r="AW214" s="461" t="s">
        <v>1042</v>
      </c>
      <c r="AY214" s="285">
        <f t="shared" si="116"/>
        <v>1500</v>
      </c>
      <c r="AZ214" s="226"/>
      <c r="BA214" s="285">
        <v>1500</v>
      </c>
    </row>
    <row r="215" spans="1:57" ht="38.25">
      <c r="A215" s="286">
        <v>26</v>
      </c>
      <c r="B215" s="457" t="s">
        <v>1043</v>
      </c>
      <c r="C215" s="457"/>
      <c r="D215" s="457"/>
      <c r="E215" s="457"/>
      <c r="F215" s="457"/>
      <c r="G215" s="288" t="s">
        <v>341</v>
      </c>
      <c r="H215" s="286">
        <v>2019</v>
      </c>
      <c r="I215" s="286"/>
      <c r="J215" s="286">
        <v>2021</v>
      </c>
      <c r="K215" s="286"/>
      <c r="L215" s="286"/>
      <c r="M215" s="500" t="s">
        <v>1044</v>
      </c>
      <c r="N215" s="458">
        <v>5000</v>
      </c>
      <c r="O215" s="458"/>
      <c r="P215" s="458">
        <v>3000</v>
      </c>
      <c r="Q215" s="458"/>
      <c r="R215" s="458"/>
      <c r="S215" s="458"/>
      <c r="T215" s="467">
        <f t="shared" si="109"/>
        <v>1500</v>
      </c>
      <c r="U215" s="458"/>
      <c r="V215" s="458"/>
      <c r="W215" s="458"/>
      <c r="X215" s="458"/>
      <c r="Y215" s="458"/>
      <c r="Z215" s="245">
        <f t="shared" si="85"/>
        <v>0</v>
      </c>
      <c r="AA215" s="458"/>
      <c r="AB215" s="458"/>
      <c r="AC215" s="458"/>
      <c r="AD215" s="290">
        <f t="shared" si="110"/>
        <v>1500</v>
      </c>
      <c r="AE215" s="290">
        <f t="shared" si="102"/>
        <v>1500</v>
      </c>
      <c r="AF215" s="245"/>
      <c r="AG215" s="472"/>
      <c r="AH215" s="472"/>
      <c r="AI215" s="472"/>
      <c r="AJ215" s="472"/>
      <c r="AK215" s="472"/>
      <c r="AL215" s="475">
        <f t="shared" si="114"/>
        <v>1500</v>
      </c>
      <c r="AM215" s="475">
        <f t="shared" si="115"/>
        <v>1500</v>
      </c>
      <c r="AN215" s="472"/>
      <c r="AQ215" s="215" t="s">
        <v>746</v>
      </c>
      <c r="AR215" s="215"/>
      <c r="AS215" s="216"/>
      <c r="AT215" s="224" t="s">
        <v>307</v>
      </c>
      <c r="AU215" s="288" t="s">
        <v>747</v>
      </c>
      <c r="AV215" s="226" t="s">
        <v>960</v>
      </c>
      <c r="AW215" s="461" t="s">
        <v>1045</v>
      </c>
      <c r="AY215" s="285">
        <f t="shared" si="116"/>
        <v>1500</v>
      </c>
      <c r="AZ215" s="226"/>
      <c r="BA215" s="285">
        <v>1500</v>
      </c>
    </row>
    <row r="216" spans="1:57" ht="38.25">
      <c r="A216" s="475">
        <v>27</v>
      </c>
      <c r="B216" s="457" t="s">
        <v>2541</v>
      </c>
      <c r="C216" s="457"/>
      <c r="D216" s="457"/>
      <c r="E216" s="457"/>
      <c r="F216" s="457"/>
      <c r="G216" s="288" t="s">
        <v>341</v>
      </c>
      <c r="H216" s="286">
        <v>2019</v>
      </c>
      <c r="I216" s="286"/>
      <c r="J216" s="286">
        <v>2021</v>
      </c>
      <c r="K216" s="286"/>
      <c r="L216" s="286"/>
      <c r="M216" s="501" t="s">
        <v>1046</v>
      </c>
      <c r="N216" s="458">
        <v>4489</v>
      </c>
      <c r="O216" s="458"/>
      <c r="P216" s="458">
        <v>2700</v>
      </c>
      <c r="Q216" s="458"/>
      <c r="R216" s="458"/>
      <c r="S216" s="458"/>
      <c r="T216" s="467">
        <f t="shared" si="109"/>
        <v>1350</v>
      </c>
      <c r="U216" s="458"/>
      <c r="V216" s="458"/>
      <c r="W216" s="458"/>
      <c r="X216" s="458"/>
      <c r="Y216" s="458"/>
      <c r="Z216" s="245">
        <f t="shared" si="85"/>
        <v>0</v>
      </c>
      <c r="AA216" s="458"/>
      <c r="AB216" s="458"/>
      <c r="AC216" s="458"/>
      <c r="AD216" s="290">
        <f t="shared" si="110"/>
        <v>1350</v>
      </c>
      <c r="AE216" s="290">
        <f t="shared" si="102"/>
        <v>1350</v>
      </c>
      <c r="AF216" s="245"/>
      <c r="AG216" s="472"/>
      <c r="AH216" s="472"/>
      <c r="AI216" s="472"/>
      <c r="AJ216" s="472"/>
      <c r="AK216" s="472"/>
      <c r="AL216" s="475">
        <f t="shared" si="114"/>
        <v>1350</v>
      </c>
      <c r="AM216" s="475">
        <f t="shared" si="115"/>
        <v>1350</v>
      </c>
      <c r="AN216" s="472"/>
      <c r="AQ216" s="215" t="s">
        <v>918</v>
      </c>
      <c r="AR216" s="215"/>
      <c r="AS216" s="216"/>
      <c r="AT216" s="224" t="s">
        <v>307</v>
      </c>
      <c r="AU216" s="288" t="s">
        <v>631</v>
      </c>
      <c r="AV216" s="226" t="s">
        <v>1047</v>
      </c>
      <c r="AW216" s="461" t="s">
        <v>1048</v>
      </c>
      <c r="AY216" s="226"/>
      <c r="AZ216" s="226"/>
      <c r="BA216" s="285"/>
    </row>
    <row r="217" spans="1:57" ht="36" customHeight="1">
      <c r="A217" s="286">
        <v>28</v>
      </c>
      <c r="B217" s="457" t="s">
        <v>2540</v>
      </c>
      <c r="C217" s="457"/>
      <c r="D217" s="457"/>
      <c r="E217" s="457"/>
      <c r="F217" s="457"/>
      <c r="G217" s="288" t="s">
        <v>341</v>
      </c>
      <c r="H217" s="286">
        <v>2019</v>
      </c>
      <c r="I217" s="286"/>
      <c r="J217" s="286">
        <v>2021</v>
      </c>
      <c r="K217" s="286"/>
      <c r="L217" s="286"/>
      <c r="M217" s="288" t="s">
        <v>1049</v>
      </c>
      <c r="N217" s="458">
        <v>3717</v>
      </c>
      <c r="O217" s="458"/>
      <c r="P217" s="458">
        <v>2400</v>
      </c>
      <c r="Q217" s="458"/>
      <c r="R217" s="458"/>
      <c r="S217" s="458"/>
      <c r="T217" s="467">
        <f t="shared" si="109"/>
        <v>1200</v>
      </c>
      <c r="U217" s="458"/>
      <c r="V217" s="458"/>
      <c r="W217" s="458"/>
      <c r="X217" s="458"/>
      <c r="Y217" s="458"/>
      <c r="Z217" s="245">
        <f t="shared" si="85"/>
        <v>0</v>
      </c>
      <c r="AA217" s="458"/>
      <c r="AB217" s="458"/>
      <c r="AC217" s="458"/>
      <c r="AD217" s="290">
        <f t="shared" si="110"/>
        <v>1200</v>
      </c>
      <c r="AE217" s="290">
        <f t="shared" si="102"/>
        <v>1200</v>
      </c>
      <c r="AF217" s="245"/>
      <c r="AG217" s="472"/>
      <c r="AH217" s="472"/>
      <c r="AI217" s="472"/>
      <c r="AJ217" s="472"/>
      <c r="AK217" s="472"/>
      <c r="AL217" s="475">
        <f t="shared" si="114"/>
        <v>1200</v>
      </c>
      <c r="AM217" s="475">
        <f t="shared" si="115"/>
        <v>1200</v>
      </c>
      <c r="AN217" s="472"/>
      <c r="AQ217" s="215" t="s">
        <v>955</v>
      </c>
      <c r="AR217" s="215"/>
      <c r="AS217" s="216"/>
      <c r="AT217" s="224" t="s">
        <v>307</v>
      </c>
      <c r="AU217" s="288" t="s">
        <v>956</v>
      </c>
      <c r="AV217" s="226" t="s">
        <v>945</v>
      </c>
      <c r="AW217" s="461"/>
      <c r="AY217" s="285">
        <f>AZ217+BA217</f>
        <v>1200</v>
      </c>
      <c r="AZ217" s="226"/>
      <c r="BA217" s="285">
        <v>1200</v>
      </c>
    </row>
    <row r="218" spans="1:57" ht="38.25">
      <c r="A218" s="475">
        <v>29</v>
      </c>
      <c r="B218" s="457" t="s">
        <v>1050</v>
      </c>
      <c r="C218" s="457"/>
      <c r="D218" s="457"/>
      <c r="E218" s="457"/>
      <c r="F218" s="457"/>
      <c r="G218" s="288" t="s">
        <v>333</v>
      </c>
      <c r="H218" s="286">
        <v>2019</v>
      </c>
      <c r="I218" s="286"/>
      <c r="J218" s="286">
        <v>2021</v>
      </c>
      <c r="K218" s="286"/>
      <c r="L218" s="286"/>
      <c r="M218" s="500" t="s">
        <v>1051</v>
      </c>
      <c r="N218" s="458">
        <v>12500</v>
      </c>
      <c r="O218" s="458"/>
      <c r="P218" s="458">
        <v>5000</v>
      </c>
      <c r="Q218" s="458"/>
      <c r="R218" s="458"/>
      <c r="S218" s="458"/>
      <c r="T218" s="467">
        <f t="shared" si="109"/>
        <v>2500</v>
      </c>
      <c r="U218" s="458"/>
      <c r="V218" s="458"/>
      <c r="W218" s="458"/>
      <c r="X218" s="458"/>
      <c r="Y218" s="458"/>
      <c r="Z218" s="245">
        <f t="shared" si="85"/>
        <v>0</v>
      </c>
      <c r="AA218" s="458"/>
      <c r="AB218" s="458"/>
      <c r="AC218" s="458"/>
      <c r="AD218" s="290">
        <f t="shared" si="110"/>
        <v>2500</v>
      </c>
      <c r="AE218" s="290">
        <f t="shared" si="102"/>
        <v>2500</v>
      </c>
      <c r="AF218" s="245"/>
      <c r="AG218" s="472"/>
      <c r="AH218" s="472"/>
      <c r="AI218" s="472"/>
      <c r="AJ218" s="472"/>
      <c r="AK218" s="472"/>
      <c r="AL218" s="475">
        <f t="shared" si="114"/>
        <v>2500</v>
      </c>
      <c r="AM218" s="475">
        <f t="shared" si="115"/>
        <v>2500</v>
      </c>
      <c r="AN218" s="472"/>
      <c r="AQ218" s="215" t="s">
        <v>1052</v>
      </c>
      <c r="AR218" s="215"/>
      <c r="AS218" s="216"/>
      <c r="AT218" s="224"/>
      <c r="AU218" s="288" t="s">
        <v>1053</v>
      </c>
      <c r="AV218" s="226" t="s">
        <v>1054</v>
      </c>
      <c r="AW218" s="461" t="s">
        <v>1055</v>
      </c>
      <c r="AY218" s="226"/>
      <c r="AZ218" s="226"/>
      <c r="BA218" s="285"/>
    </row>
    <row r="219" spans="1:57" ht="31.5">
      <c r="A219" s="286">
        <v>30</v>
      </c>
      <c r="B219" s="457" t="s">
        <v>2510</v>
      </c>
      <c r="C219" s="457"/>
      <c r="D219" s="457"/>
      <c r="E219" s="457"/>
      <c r="F219" s="457"/>
      <c r="G219" s="288" t="s">
        <v>341</v>
      </c>
      <c r="H219" s="286">
        <v>2019</v>
      </c>
      <c r="I219" s="286"/>
      <c r="J219" s="286">
        <v>2021</v>
      </c>
      <c r="K219" s="286"/>
      <c r="L219" s="286"/>
      <c r="M219" s="500" t="s">
        <v>1056</v>
      </c>
      <c r="N219" s="458">
        <v>4800</v>
      </c>
      <c r="O219" s="458"/>
      <c r="P219" s="458">
        <v>2880</v>
      </c>
      <c r="Q219" s="458"/>
      <c r="R219" s="458"/>
      <c r="S219" s="458"/>
      <c r="T219" s="467">
        <f t="shared" si="109"/>
        <v>1440</v>
      </c>
      <c r="U219" s="458"/>
      <c r="V219" s="458"/>
      <c r="W219" s="458"/>
      <c r="X219" s="458"/>
      <c r="Y219" s="458"/>
      <c r="Z219" s="245">
        <f t="shared" si="85"/>
        <v>0</v>
      </c>
      <c r="AA219" s="458"/>
      <c r="AB219" s="458"/>
      <c r="AC219" s="458"/>
      <c r="AD219" s="290">
        <f t="shared" si="110"/>
        <v>1440</v>
      </c>
      <c r="AE219" s="290">
        <f t="shared" si="102"/>
        <v>1440</v>
      </c>
      <c r="AF219" s="245"/>
      <c r="AG219" s="472"/>
      <c r="AH219" s="472"/>
      <c r="AI219" s="472"/>
      <c r="AJ219" s="472"/>
      <c r="AK219" s="472"/>
      <c r="AL219" s="475">
        <f t="shared" si="114"/>
        <v>1440</v>
      </c>
      <c r="AM219" s="475">
        <f t="shared" si="115"/>
        <v>1440</v>
      </c>
      <c r="AN219" s="472"/>
      <c r="AQ219" s="215" t="s">
        <v>626</v>
      </c>
      <c r="AR219" s="215"/>
      <c r="AS219" s="216"/>
      <c r="AT219" s="224" t="s">
        <v>307</v>
      </c>
      <c r="AU219" s="288" t="s">
        <v>631</v>
      </c>
      <c r="AV219" s="226" t="s">
        <v>360</v>
      </c>
      <c r="AW219" s="461" t="s">
        <v>1057</v>
      </c>
      <c r="AY219" s="285">
        <f>AZ219+BA219</f>
        <v>500</v>
      </c>
      <c r="AZ219" s="226"/>
      <c r="BA219" s="285">
        <v>500</v>
      </c>
    </row>
    <row r="220" spans="1:57" s="515" customFormat="1" ht="25.5">
      <c r="A220" s="507">
        <v>31</v>
      </c>
      <c r="B220" s="508" t="s">
        <v>1058</v>
      </c>
      <c r="C220" s="508"/>
      <c r="D220" s="508"/>
      <c r="E220" s="508"/>
      <c r="F220" s="508"/>
      <c r="G220" s="509" t="s">
        <v>395</v>
      </c>
      <c r="H220" s="510">
        <v>2019</v>
      </c>
      <c r="I220" s="510"/>
      <c r="J220" s="510">
        <v>2021</v>
      </c>
      <c r="K220" s="510"/>
      <c r="L220" s="510"/>
      <c r="M220" s="509" t="s">
        <v>1059</v>
      </c>
      <c r="N220" s="511">
        <v>5943</v>
      </c>
      <c r="O220" s="511"/>
      <c r="P220" s="511">
        <v>3600</v>
      </c>
      <c r="Q220" s="511"/>
      <c r="R220" s="511"/>
      <c r="S220" s="511"/>
      <c r="T220" s="467">
        <f t="shared" si="109"/>
        <v>1800</v>
      </c>
      <c r="U220" s="511"/>
      <c r="V220" s="511"/>
      <c r="W220" s="511"/>
      <c r="X220" s="511"/>
      <c r="Y220" s="511"/>
      <c r="Z220" s="512">
        <f t="shared" si="85"/>
        <v>0</v>
      </c>
      <c r="AA220" s="511"/>
      <c r="AB220" s="511"/>
      <c r="AC220" s="511"/>
      <c r="AD220" s="290">
        <f t="shared" si="110"/>
        <v>1800</v>
      </c>
      <c r="AE220" s="513">
        <f t="shared" si="102"/>
        <v>1800</v>
      </c>
      <c r="AF220" s="245"/>
      <c r="AG220" s="514"/>
      <c r="AH220" s="514"/>
      <c r="AI220" s="514"/>
      <c r="AJ220" s="514"/>
      <c r="AK220" s="514"/>
      <c r="AL220" s="475">
        <f t="shared" si="114"/>
        <v>1800</v>
      </c>
      <c r="AM220" s="475">
        <f t="shared" si="115"/>
        <v>1800</v>
      </c>
      <c r="AN220" s="514"/>
      <c r="AQ220" s="516" t="s">
        <v>644</v>
      </c>
      <c r="AR220" s="516"/>
      <c r="AS220" s="517"/>
      <c r="AT220" s="515" t="s">
        <v>307</v>
      </c>
      <c r="AU220" s="509" t="s">
        <v>645</v>
      </c>
      <c r="AV220" s="517" t="s">
        <v>360</v>
      </c>
      <c r="AW220" s="509" t="s">
        <v>1057</v>
      </c>
      <c r="AY220" s="518">
        <f>AZ220+BA220</f>
        <v>1200</v>
      </c>
      <c r="AZ220" s="517"/>
      <c r="BA220" s="518">
        <v>1200</v>
      </c>
    </row>
    <row r="221" spans="1:57" s="224" customFormat="1" ht="52.5" customHeight="1">
      <c r="A221" s="364">
        <v>32</v>
      </c>
      <c r="B221" s="519" t="s">
        <v>1060</v>
      </c>
      <c r="C221" s="519"/>
      <c r="D221" s="519"/>
      <c r="E221" s="519"/>
      <c r="F221" s="519"/>
      <c r="G221" s="520" t="s">
        <v>378</v>
      </c>
      <c r="H221" s="521">
        <v>2019</v>
      </c>
      <c r="I221" s="521"/>
      <c r="J221" s="521">
        <v>2021</v>
      </c>
      <c r="K221" s="521"/>
      <c r="L221" s="521"/>
      <c r="M221" s="500" t="s">
        <v>1061</v>
      </c>
      <c r="N221" s="522">
        <v>8157</v>
      </c>
      <c r="O221" s="522"/>
      <c r="P221" s="523">
        <v>6000</v>
      </c>
      <c r="Q221" s="523"/>
      <c r="R221" s="523"/>
      <c r="S221" s="523"/>
      <c r="T221" s="467">
        <f t="shared" si="109"/>
        <v>3000</v>
      </c>
      <c r="U221" s="523"/>
      <c r="V221" s="523"/>
      <c r="W221" s="523"/>
      <c r="X221" s="523"/>
      <c r="Y221" s="523"/>
      <c r="Z221" s="245">
        <f t="shared" si="85"/>
        <v>0</v>
      </c>
      <c r="AA221" s="226"/>
      <c r="AB221" s="226"/>
      <c r="AC221" s="226"/>
      <c r="AD221" s="290">
        <f t="shared" si="110"/>
        <v>3000</v>
      </c>
      <c r="AE221" s="524">
        <f t="shared" si="102"/>
        <v>3000</v>
      </c>
      <c r="AF221" s="226"/>
      <c r="AG221" s="226"/>
      <c r="AH221" s="226"/>
      <c r="AI221" s="226"/>
      <c r="AJ221" s="226"/>
      <c r="AK221" s="226"/>
      <c r="AL221" s="475">
        <f t="shared" si="114"/>
        <v>3000</v>
      </c>
      <c r="AM221" s="475">
        <f t="shared" si="115"/>
        <v>3000</v>
      </c>
      <c r="AN221" s="525"/>
      <c r="AO221" s="224" t="s">
        <v>1062</v>
      </c>
      <c r="AQ221" s="225" t="s">
        <v>387</v>
      </c>
      <c r="AR221" s="225"/>
      <c r="AS221" s="226"/>
      <c r="AT221" s="224" t="s">
        <v>307</v>
      </c>
      <c r="AU221" s="526" t="s">
        <v>1063</v>
      </c>
      <c r="AV221" s="292" t="s">
        <v>1064</v>
      </c>
      <c r="AW221" s="321"/>
      <c r="AY221" s="226"/>
      <c r="AZ221" s="226"/>
      <c r="BA221" s="285"/>
      <c r="BC221" s="321"/>
      <c r="BD221" s="321"/>
      <c r="BE221" s="322"/>
    </row>
    <row r="222" spans="1:57" s="224" customFormat="1" ht="52.5" customHeight="1">
      <c r="A222" s="364">
        <v>33</v>
      </c>
      <c r="B222" s="519" t="s">
        <v>1065</v>
      </c>
      <c r="C222" s="519"/>
      <c r="D222" s="519"/>
      <c r="E222" s="519"/>
      <c r="F222" s="519"/>
      <c r="G222" s="520" t="s">
        <v>341</v>
      </c>
      <c r="H222" s="521">
        <v>2019</v>
      </c>
      <c r="I222" s="521"/>
      <c r="J222" s="521">
        <v>2021</v>
      </c>
      <c r="K222" s="521"/>
      <c r="L222" s="521"/>
      <c r="M222" s="500" t="s">
        <v>1066</v>
      </c>
      <c r="N222" s="522">
        <v>3976</v>
      </c>
      <c r="O222" s="522"/>
      <c r="P222" s="523">
        <v>2400</v>
      </c>
      <c r="Q222" s="523"/>
      <c r="R222" s="523"/>
      <c r="S222" s="523"/>
      <c r="T222" s="467">
        <f t="shared" si="109"/>
        <v>1200</v>
      </c>
      <c r="U222" s="523"/>
      <c r="V222" s="523"/>
      <c r="W222" s="523"/>
      <c r="X222" s="523"/>
      <c r="Y222" s="523"/>
      <c r="Z222" s="245"/>
      <c r="AA222" s="226"/>
      <c r="AB222" s="226"/>
      <c r="AC222" s="226"/>
      <c r="AD222" s="290">
        <f t="shared" si="110"/>
        <v>1200</v>
      </c>
      <c r="AE222" s="524">
        <f t="shared" si="102"/>
        <v>1200</v>
      </c>
      <c r="AF222" s="226"/>
      <c r="AG222" s="226"/>
      <c r="AH222" s="226"/>
      <c r="AI222" s="226"/>
      <c r="AJ222" s="226"/>
      <c r="AK222" s="226"/>
      <c r="AL222" s="475">
        <f t="shared" si="114"/>
        <v>1200</v>
      </c>
      <c r="AM222" s="475">
        <f t="shared" si="115"/>
        <v>1200</v>
      </c>
      <c r="AN222" s="525"/>
      <c r="AQ222" s="225" t="s">
        <v>630</v>
      </c>
      <c r="AR222" s="225"/>
      <c r="AS222" s="226" t="s">
        <v>572</v>
      </c>
      <c r="AT222" s="224" t="s">
        <v>307</v>
      </c>
      <c r="AU222" s="527" t="s">
        <v>631</v>
      </c>
      <c r="AV222" s="528"/>
      <c r="AW222" s="321"/>
      <c r="AY222" s="285">
        <f>AZ222+BA222</f>
        <v>700</v>
      </c>
      <c r="AZ222" s="226"/>
      <c r="BA222" s="285">
        <v>700</v>
      </c>
      <c r="BC222" s="321"/>
      <c r="BD222" s="321"/>
      <c r="BE222" s="322"/>
    </row>
    <row r="223" spans="1:57" s="224" customFormat="1" ht="52.5" customHeight="1">
      <c r="A223" s="364">
        <v>34</v>
      </c>
      <c r="B223" s="519" t="s">
        <v>1067</v>
      </c>
      <c r="C223" s="519"/>
      <c r="D223" s="519"/>
      <c r="E223" s="519"/>
      <c r="F223" s="519"/>
      <c r="G223" s="520" t="s">
        <v>395</v>
      </c>
      <c r="H223" s="521">
        <v>2019</v>
      </c>
      <c r="I223" s="521"/>
      <c r="J223" s="521">
        <v>2021</v>
      </c>
      <c r="K223" s="521"/>
      <c r="L223" s="521"/>
      <c r="M223" s="529" t="s">
        <v>1068</v>
      </c>
      <c r="N223" s="522">
        <v>6000</v>
      </c>
      <c r="O223" s="522"/>
      <c r="P223" s="523">
        <v>3600</v>
      </c>
      <c r="Q223" s="523"/>
      <c r="R223" s="523"/>
      <c r="S223" s="523"/>
      <c r="T223" s="467">
        <f t="shared" si="109"/>
        <v>1800</v>
      </c>
      <c r="U223" s="523"/>
      <c r="V223" s="523"/>
      <c r="W223" s="523"/>
      <c r="X223" s="523"/>
      <c r="Y223" s="523"/>
      <c r="Z223" s="245"/>
      <c r="AA223" s="226"/>
      <c r="AB223" s="226"/>
      <c r="AC223" s="226"/>
      <c r="AD223" s="290">
        <f t="shared" si="110"/>
        <v>1800</v>
      </c>
      <c r="AE223" s="524">
        <f t="shared" si="102"/>
        <v>1800</v>
      </c>
      <c r="AF223" s="226"/>
      <c r="AG223" s="226"/>
      <c r="AH223" s="226"/>
      <c r="AI223" s="226"/>
      <c r="AJ223" s="226"/>
      <c r="AK223" s="226"/>
      <c r="AL223" s="475">
        <f t="shared" si="114"/>
        <v>1800</v>
      </c>
      <c r="AM223" s="475">
        <f t="shared" si="115"/>
        <v>1800</v>
      </c>
      <c r="AN223" s="525"/>
      <c r="AQ223" s="225" t="s">
        <v>850</v>
      </c>
      <c r="AR223" s="225"/>
      <c r="AS223" s="226"/>
      <c r="AT223" s="224" t="s">
        <v>307</v>
      </c>
      <c r="AU223" s="288" t="s">
        <v>851</v>
      </c>
      <c r="AV223" s="528"/>
      <c r="AW223" s="321"/>
      <c r="AY223" s="285">
        <f>AZ223+BA223</f>
        <v>1440</v>
      </c>
      <c r="AZ223" s="226"/>
      <c r="BA223" s="285">
        <v>1440</v>
      </c>
      <c r="BC223" s="321"/>
      <c r="BD223" s="321"/>
      <c r="BE223" s="322"/>
    </row>
    <row r="224" spans="1:57" s="539" customFormat="1" ht="52.5" customHeight="1">
      <c r="A224" s="530"/>
      <c r="B224" s="531" t="s">
        <v>1069</v>
      </c>
      <c r="C224" s="532"/>
      <c r="D224" s="532"/>
      <c r="E224" s="532"/>
      <c r="F224" s="532"/>
      <c r="G224" s="533"/>
      <c r="H224" s="294"/>
      <c r="I224" s="294"/>
      <c r="J224" s="294"/>
      <c r="K224" s="294"/>
      <c r="L224" s="294"/>
      <c r="M224" s="534"/>
      <c r="N224" s="535"/>
      <c r="O224" s="535"/>
      <c r="P224" s="535"/>
      <c r="Q224" s="536"/>
      <c r="R224" s="536"/>
      <c r="S224" s="536"/>
      <c r="T224" s="482"/>
      <c r="U224" s="536"/>
      <c r="V224" s="536"/>
      <c r="W224" s="536"/>
      <c r="X224" s="536"/>
      <c r="Y224" s="536"/>
      <c r="Z224" s="430"/>
      <c r="AA224" s="440"/>
      <c r="AB224" s="440"/>
      <c r="AC224" s="440"/>
      <c r="AD224" s="432"/>
      <c r="AE224" s="537"/>
      <c r="AF224" s="440"/>
      <c r="AG224" s="440"/>
      <c r="AH224" s="440"/>
      <c r="AI224" s="440"/>
      <c r="AJ224" s="440"/>
      <c r="AK224" s="440"/>
      <c r="AL224" s="433"/>
      <c r="AM224" s="433"/>
      <c r="AN224" s="538"/>
      <c r="AQ224" s="540"/>
      <c r="AR224" s="540"/>
      <c r="AS224" s="440"/>
      <c r="AU224" s="541"/>
      <c r="AV224" s="542"/>
      <c r="AW224" s="543"/>
      <c r="AY224" s="440"/>
      <c r="AZ224" s="440"/>
      <c r="BA224" s="441"/>
      <c r="BC224" s="543"/>
      <c r="BD224" s="543"/>
      <c r="BE224" s="544"/>
    </row>
    <row r="225" spans="1:57" s="224" customFormat="1" ht="52.5" customHeight="1">
      <c r="A225" s="364"/>
      <c r="B225" s="545" t="s">
        <v>2403</v>
      </c>
      <c r="C225" s="519"/>
      <c r="D225" s="519"/>
      <c r="E225" s="519"/>
      <c r="F225" s="519"/>
      <c r="G225" s="520" t="s">
        <v>333</v>
      </c>
      <c r="H225" s="521">
        <v>2020</v>
      </c>
      <c r="I225" s="521"/>
      <c r="J225" s="521">
        <v>2022</v>
      </c>
      <c r="K225" s="521"/>
      <c r="L225" s="521"/>
      <c r="M225" s="1446" t="s">
        <v>2320</v>
      </c>
      <c r="N225" s="546">
        <v>4200</v>
      </c>
      <c r="O225" s="546">
        <v>4200</v>
      </c>
      <c r="P225" s="546">
        <v>4200</v>
      </c>
      <c r="Q225" s="523"/>
      <c r="R225" s="523"/>
      <c r="S225" s="523"/>
      <c r="T225" s="467">
        <f>P225*0.3</f>
        <v>1260</v>
      </c>
      <c r="U225" s="523"/>
      <c r="V225" s="523"/>
      <c r="W225" s="523"/>
      <c r="X225" s="523"/>
      <c r="Y225" s="523"/>
      <c r="Z225" s="245"/>
      <c r="AA225" s="226"/>
      <c r="AB225" s="226"/>
      <c r="AC225" s="226"/>
      <c r="AD225" s="290">
        <f t="shared" ref="AD225:AD246" si="117">T225</f>
        <v>1260</v>
      </c>
      <c r="AE225" s="524">
        <f t="shared" ref="AE225" si="118">AD225</f>
        <v>1260</v>
      </c>
      <c r="AF225" s="226"/>
      <c r="AG225" s="226"/>
      <c r="AH225" s="226"/>
      <c r="AI225" s="226"/>
      <c r="AJ225" s="226"/>
      <c r="AK225" s="226"/>
      <c r="AL225" s="475">
        <f>AD225</f>
        <v>1260</v>
      </c>
      <c r="AM225" s="475">
        <f>AE225-AI225</f>
        <v>1260</v>
      </c>
      <c r="AN225" s="525"/>
      <c r="AQ225" s="225"/>
      <c r="AR225" s="225"/>
      <c r="AS225" s="226"/>
      <c r="AU225" s="1222" t="s">
        <v>1995</v>
      </c>
      <c r="AV225" s="528"/>
      <c r="AW225" s="321"/>
      <c r="AY225" s="226"/>
      <c r="AZ225" s="226"/>
      <c r="BA225" s="285"/>
      <c r="BC225" s="321"/>
      <c r="BD225" s="321"/>
      <c r="BE225" s="322"/>
    </row>
    <row r="226" spans="1:57" s="224" customFormat="1" ht="52.5" customHeight="1">
      <c r="A226" s="364"/>
      <c r="B226" s="547" t="s">
        <v>1070</v>
      </c>
      <c r="C226" s="519"/>
      <c r="D226" s="519"/>
      <c r="E226" s="519"/>
      <c r="F226" s="519"/>
      <c r="G226" s="520" t="s">
        <v>373</v>
      </c>
      <c r="H226" s="521">
        <v>2020</v>
      </c>
      <c r="I226" s="521"/>
      <c r="J226" s="521">
        <v>2022</v>
      </c>
      <c r="K226" s="521"/>
      <c r="L226" s="521"/>
      <c r="M226" s="529" t="s">
        <v>2069</v>
      </c>
      <c r="N226" s="522">
        <v>2458</v>
      </c>
      <c r="O226" s="522"/>
      <c r="P226" s="523">
        <v>2458</v>
      </c>
      <c r="Q226" s="523"/>
      <c r="R226" s="523"/>
      <c r="S226" s="523"/>
      <c r="T226" s="467">
        <f>P226*0.3</f>
        <v>737.4</v>
      </c>
      <c r="U226" s="523"/>
      <c r="V226" s="523"/>
      <c r="W226" s="523"/>
      <c r="X226" s="523"/>
      <c r="Y226" s="523"/>
      <c r="Z226" s="245"/>
      <c r="AA226" s="226"/>
      <c r="AB226" s="226"/>
      <c r="AC226" s="226"/>
      <c r="AD226" s="290">
        <f t="shared" si="117"/>
        <v>737.4</v>
      </c>
      <c r="AE226" s="524">
        <f t="shared" si="102"/>
        <v>737.4</v>
      </c>
      <c r="AF226" s="226"/>
      <c r="AG226" s="226"/>
      <c r="AH226" s="226"/>
      <c r="AI226" s="226"/>
      <c r="AJ226" s="226"/>
      <c r="AK226" s="226"/>
      <c r="AL226" s="475">
        <f>AD226</f>
        <v>737.4</v>
      </c>
      <c r="AM226" s="475">
        <f>AE226-AI226</f>
        <v>737.4</v>
      </c>
      <c r="AN226" s="525"/>
      <c r="AQ226" s="225"/>
      <c r="AR226" s="225"/>
      <c r="AS226" s="226"/>
      <c r="AU226" s="1224" t="s">
        <v>697</v>
      </c>
      <c r="AV226" s="528"/>
      <c r="AW226" s="321"/>
      <c r="AY226" s="226"/>
      <c r="AZ226" s="226"/>
      <c r="BA226" s="285"/>
      <c r="BC226" s="321"/>
      <c r="BD226" s="321"/>
      <c r="BE226" s="322"/>
    </row>
    <row r="227" spans="1:57" s="224" customFormat="1" ht="52.5" customHeight="1">
      <c r="A227" s="364"/>
      <c r="B227" s="547" t="s">
        <v>935</v>
      </c>
      <c r="C227" s="519"/>
      <c r="D227" s="519"/>
      <c r="E227" s="519"/>
      <c r="F227" s="519"/>
      <c r="G227" s="520" t="s">
        <v>333</v>
      </c>
      <c r="H227" s="521">
        <v>2020</v>
      </c>
      <c r="I227" s="521"/>
      <c r="J227" s="521">
        <v>2022</v>
      </c>
      <c r="K227" s="521"/>
      <c r="L227" s="521"/>
      <c r="M227" s="529"/>
      <c r="N227" s="316">
        <v>5000</v>
      </c>
      <c r="O227" s="522"/>
      <c r="P227" s="316">
        <v>5000</v>
      </c>
      <c r="Q227" s="523"/>
      <c r="R227" s="523"/>
      <c r="S227" s="523"/>
      <c r="T227" s="467">
        <f t="shared" ref="T227:T266" si="119">P227*0.3</f>
        <v>1500</v>
      </c>
      <c r="U227" s="523"/>
      <c r="V227" s="523"/>
      <c r="W227" s="523"/>
      <c r="X227" s="523"/>
      <c r="Y227" s="523"/>
      <c r="Z227" s="245"/>
      <c r="AA227" s="226"/>
      <c r="AB227" s="226"/>
      <c r="AC227" s="226"/>
      <c r="AD227" s="290">
        <f t="shared" si="117"/>
        <v>1500</v>
      </c>
      <c r="AE227" s="524">
        <f t="shared" si="102"/>
        <v>1500</v>
      </c>
      <c r="AF227" s="226"/>
      <c r="AG227" s="226"/>
      <c r="AH227" s="226"/>
      <c r="AI227" s="226"/>
      <c r="AJ227" s="226"/>
      <c r="AK227" s="226"/>
      <c r="AL227" s="475">
        <f>AD227</f>
        <v>1500</v>
      </c>
      <c r="AM227" s="475">
        <f>AE227-AI227</f>
        <v>1500</v>
      </c>
      <c r="AN227" s="525"/>
      <c r="AQ227" s="225"/>
      <c r="AR227" s="225"/>
      <c r="AS227" s="226"/>
      <c r="AU227" s="1222" t="s">
        <v>1994</v>
      </c>
      <c r="AV227" s="528"/>
      <c r="AW227" s="321"/>
      <c r="AY227" s="226"/>
      <c r="AZ227" s="226"/>
      <c r="BA227" s="285"/>
      <c r="BC227" s="321"/>
      <c r="BD227" s="321"/>
      <c r="BE227" s="322"/>
    </row>
    <row r="228" spans="1:57" s="224" customFormat="1" ht="52.5" customHeight="1">
      <c r="A228" s="364"/>
      <c r="B228" s="547" t="s">
        <v>1071</v>
      </c>
      <c r="C228" s="519"/>
      <c r="D228" s="519"/>
      <c r="E228" s="519"/>
      <c r="F228" s="519"/>
      <c r="G228" s="520" t="s">
        <v>333</v>
      </c>
      <c r="H228" s="521">
        <v>2020</v>
      </c>
      <c r="I228" s="521"/>
      <c r="J228" s="521">
        <v>2022</v>
      </c>
      <c r="K228" s="521"/>
      <c r="L228" s="521"/>
      <c r="M228" s="1446" t="s">
        <v>2506</v>
      </c>
      <c r="N228" s="548">
        <v>6000</v>
      </c>
      <c r="O228" s="522"/>
      <c r="P228" s="548">
        <v>6000</v>
      </c>
      <c r="Q228" s="523"/>
      <c r="R228" s="523"/>
      <c r="S228" s="523"/>
      <c r="T228" s="467">
        <f t="shared" si="119"/>
        <v>1800</v>
      </c>
      <c r="U228" s="523"/>
      <c r="V228" s="523"/>
      <c r="W228" s="523"/>
      <c r="X228" s="523"/>
      <c r="Y228" s="523"/>
      <c r="Z228" s="245"/>
      <c r="AA228" s="226"/>
      <c r="AB228" s="226"/>
      <c r="AC228" s="226"/>
      <c r="AD228" s="290">
        <f t="shared" si="117"/>
        <v>1800</v>
      </c>
      <c r="AE228" s="524">
        <f t="shared" si="102"/>
        <v>1800</v>
      </c>
      <c r="AF228" s="226"/>
      <c r="AG228" s="226"/>
      <c r="AH228" s="226"/>
      <c r="AI228" s="226"/>
      <c r="AJ228" s="226"/>
      <c r="AK228" s="226"/>
      <c r="AL228" s="475">
        <f t="shared" ref="AL228" si="120">AD228</f>
        <v>1800</v>
      </c>
      <c r="AM228" s="475">
        <f t="shared" ref="AM228" si="121">AE228-AI228</f>
        <v>1800</v>
      </c>
      <c r="AN228" s="525"/>
      <c r="AQ228" s="225"/>
      <c r="AR228" s="225"/>
      <c r="AS228" s="226"/>
      <c r="AU228" s="1222" t="s">
        <v>1993</v>
      </c>
      <c r="AV228" s="528"/>
      <c r="AW228" s="321"/>
      <c r="AY228" s="226"/>
      <c r="AZ228" s="226"/>
      <c r="BA228" s="285"/>
      <c r="BC228" s="321"/>
      <c r="BD228" s="321"/>
      <c r="BE228" s="322"/>
    </row>
    <row r="229" spans="1:57" s="224" customFormat="1" ht="52.5" customHeight="1">
      <c r="A229" s="364"/>
      <c r="B229" s="310" t="s">
        <v>1072</v>
      </c>
      <c r="C229" s="519"/>
      <c r="D229" s="519"/>
      <c r="E229" s="519"/>
      <c r="F229" s="519"/>
      <c r="G229" s="520" t="s">
        <v>373</v>
      </c>
      <c r="H229" s="521">
        <v>2020</v>
      </c>
      <c r="I229" s="521"/>
      <c r="J229" s="521">
        <v>2022</v>
      </c>
      <c r="K229" s="521"/>
      <c r="L229" s="521"/>
      <c r="M229" s="549" t="s">
        <v>2543</v>
      </c>
      <c r="N229" s="522">
        <v>4500</v>
      </c>
      <c r="O229" s="522"/>
      <c r="P229" s="523">
        <v>4500</v>
      </c>
      <c r="Q229" s="523"/>
      <c r="R229" s="523"/>
      <c r="S229" s="523"/>
      <c r="T229" s="467">
        <f t="shared" si="119"/>
        <v>1350</v>
      </c>
      <c r="U229" s="523"/>
      <c r="V229" s="523"/>
      <c r="W229" s="523"/>
      <c r="X229" s="523"/>
      <c r="Y229" s="523"/>
      <c r="Z229" s="245"/>
      <c r="AA229" s="226"/>
      <c r="AB229" s="226"/>
      <c r="AC229" s="226"/>
      <c r="AD229" s="290">
        <f t="shared" si="117"/>
        <v>1350</v>
      </c>
      <c r="AE229" s="524">
        <f t="shared" si="102"/>
        <v>1350</v>
      </c>
      <c r="AF229" s="226"/>
      <c r="AG229" s="226"/>
      <c r="AH229" s="226"/>
      <c r="AI229" s="226"/>
      <c r="AJ229" s="226"/>
      <c r="AK229" s="226"/>
      <c r="AL229" s="475">
        <f>AD229</f>
        <v>1350</v>
      </c>
      <c r="AM229" s="475">
        <f>AE229-AI229</f>
        <v>1350</v>
      </c>
      <c r="AN229" s="525"/>
      <c r="AQ229" s="225"/>
      <c r="AR229" s="225"/>
      <c r="AS229" s="226"/>
      <c r="AU229" s="1224" t="s">
        <v>697</v>
      </c>
      <c r="AV229" s="528"/>
      <c r="AW229" s="321"/>
      <c r="AY229" s="226"/>
      <c r="AZ229" s="226"/>
      <c r="BA229" s="285"/>
      <c r="BC229" s="321"/>
      <c r="BD229" s="321"/>
      <c r="BE229" s="322"/>
    </row>
    <row r="230" spans="1:57" s="224" customFormat="1" ht="52.5" customHeight="1">
      <c r="A230" s="364"/>
      <c r="B230" s="310" t="s">
        <v>2405</v>
      </c>
      <c r="C230" s="519"/>
      <c r="D230" s="519"/>
      <c r="E230" s="519"/>
      <c r="F230" s="519"/>
      <c r="G230" s="520" t="s">
        <v>373</v>
      </c>
      <c r="H230" s="521">
        <v>2020</v>
      </c>
      <c r="I230" s="521"/>
      <c r="J230" s="521">
        <v>2022</v>
      </c>
      <c r="K230" s="521"/>
      <c r="L230" s="521"/>
      <c r="M230" s="549" t="s">
        <v>2406</v>
      </c>
      <c r="N230" s="316">
        <v>6500</v>
      </c>
      <c r="O230" s="316">
        <v>7500</v>
      </c>
      <c r="P230" s="316">
        <v>6500</v>
      </c>
      <c r="Q230" s="523"/>
      <c r="R230" s="523"/>
      <c r="S230" s="523"/>
      <c r="T230" s="467">
        <f t="shared" si="119"/>
        <v>1950</v>
      </c>
      <c r="U230" s="523"/>
      <c r="V230" s="523"/>
      <c r="W230" s="523"/>
      <c r="X230" s="523"/>
      <c r="Y230" s="523"/>
      <c r="Z230" s="245"/>
      <c r="AA230" s="226"/>
      <c r="AB230" s="226"/>
      <c r="AC230" s="226"/>
      <c r="AD230" s="290">
        <f t="shared" si="117"/>
        <v>1950</v>
      </c>
      <c r="AE230" s="524">
        <f t="shared" si="102"/>
        <v>1950</v>
      </c>
      <c r="AF230" s="226"/>
      <c r="AG230" s="226"/>
      <c r="AH230" s="226"/>
      <c r="AI230" s="226"/>
      <c r="AJ230" s="226"/>
      <c r="AK230" s="226"/>
      <c r="AL230" s="475">
        <f>AD230</f>
        <v>1950</v>
      </c>
      <c r="AM230" s="475">
        <f>AE230-AI230</f>
        <v>1950</v>
      </c>
      <c r="AN230" s="525"/>
      <c r="AQ230" s="225"/>
      <c r="AR230" s="225"/>
      <c r="AS230" s="226"/>
      <c r="AU230" s="1224" t="s">
        <v>1997</v>
      </c>
      <c r="AV230" s="528"/>
      <c r="AW230" s="321"/>
      <c r="AY230" s="226"/>
      <c r="AZ230" s="226"/>
      <c r="BA230" s="285"/>
      <c r="BC230" s="321"/>
      <c r="BD230" s="321"/>
      <c r="BE230" s="322"/>
    </row>
    <row r="231" spans="1:57" s="224" customFormat="1" ht="52.5" customHeight="1">
      <c r="A231" s="364"/>
      <c r="B231" s="310" t="s">
        <v>2404</v>
      </c>
      <c r="C231" s="519"/>
      <c r="D231" s="519"/>
      <c r="E231" s="519"/>
      <c r="F231" s="519"/>
      <c r="G231" s="520" t="s">
        <v>373</v>
      </c>
      <c r="H231" s="521">
        <v>2020</v>
      </c>
      <c r="I231" s="521"/>
      <c r="J231" s="521">
        <v>2022</v>
      </c>
      <c r="K231" s="521"/>
      <c r="L231" s="521"/>
      <c r="M231" s="1446" t="s">
        <v>2316</v>
      </c>
      <c r="N231" s="1364">
        <v>6993.7</v>
      </c>
      <c r="O231" s="316"/>
      <c r="P231" s="1364">
        <v>6993.7</v>
      </c>
      <c r="Q231" s="523"/>
      <c r="R231" s="523"/>
      <c r="S231" s="523"/>
      <c r="T231" s="467">
        <f t="shared" si="119"/>
        <v>2098.1099999999997</v>
      </c>
      <c r="U231" s="523"/>
      <c r="V231" s="523"/>
      <c r="W231" s="523"/>
      <c r="X231" s="523"/>
      <c r="Y231" s="523"/>
      <c r="Z231" s="245"/>
      <c r="AA231" s="226"/>
      <c r="AB231" s="226"/>
      <c r="AC231" s="226"/>
      <c r="AD231" s="290">
        <f t="shared" si="117"/>
        <v>2098.1099999999997</v>
      </c>
      <c r="AE231" s="524">
        <f t="shared" si="102"/>
        <v>2098.1099999999997</v>
      </c>
      <c r="AF231" s="226"/>
      <c r="AG231" s="226"/>
      <c r="AH231" s="226"/>
      <c r="AI231" s="226"/>
      <c r="AJ231" s="226"/>
      <c r="AK231" s="226"/>
      <c r="AL231" s="475">
        <f>AD231</f>
        <v>2098.1099999999997</v>
      </c>
      <c r="AM231" s="475">
        <f>AE231-AI231</f>
        <v>2098.1099999999997</v>
      </c>
      <c r="AN231" s="525"/>
      <c r="AQ231" s="225"/>
      <c r="AR231" s="225"/>
      <c r="AS231" s="226"/>
      <c r="AU231" s="1224" t="s">
        <v>1996</v>
      </c>
      <c r="AV231" s="528"/>
      <c r="AW231" s="321"/>
      <c r="AY231" s="226"/>
      <c r="AZ231" s="226"/>
      <c r="BA231" s="285"/>
      <c r="BC231" s="321"/>
      <c r="BD231" s="321"/>
      <c r="BE231" s="322"/>
    </row>
    <row r="232" spans="1:57" s="224" customFormat="1" ht="52.5" customHeight="1">
      <c r="A232" s="364"/>
      <c r="B232" s="310" t="s">
        <v>1073</v>
      </c>
      <c r="C232" s="519"/>
      <c r="D232" s="519"/>
      <c r="E232" s="519"/>
      <c r="F232" s="519"/>
      <c r="G232" s="520" t="s">
        <v>435</v>
      </c>
      <c r="H232" s="521">
        <v>2020</v>
      </c>
      <c r="I232" s="521"/>
      <c r="J232" s="521">
        <v>2022</v>
      </c>
      <c r="K232" s="521"/>
      <c r="L232" s="521"/>
      <c r="M232" s="1446" t="s">
        <v>2317</v>
      </c>
      <c r="N232" s="316">
        <v>1988</v>
      </c>
      <c r="O232" s="316"/>
      <c r="P232" s="316">
        <v>1988</v>
      </c>
      <c r="Q232" s="523"/>
      <c r="R232" s="523"/>
      <c r="S232" s="523"/>
      <c r="T232" s="467">
        <f t="shared" si="119"/>
        <v>596.4</v>
      </c>
      <c r="U232" s="523"/>
      <c r="V232" s="523"/>
      <c r="W232" s="523"/>
      <c r="X232" s="523"/>
      <c r="Y232" s="523"/>
      <c r="Z232" s="245"/>
      <c r="AA232" s="226"/>
      <c r="AB232" s="226"/>
      <c r="AC232" s="226"/>
      <c r="AD232" s="290">
        <f t="shared" si="117"/>
        <v>596.4</v>
      </c>
      <c r="AE232" s="524">
        <f t="shared" si="102"/>
        <v>596.4</v>
      </c>
      <c r="AF232" s="226"/>
      <c r="AG232" s="226"/>
      <c r="AH232" s="226"/>
      <c r="AI232" s="226"/>
      <c r="AJ232" s="226"/>
      <c r="AK232" s="226"/>
      <c r="AL232" s="475">
        <f t="shared" ref="AL232:AL246" si="122">AD232</f>
        <v>596.4</v>
      </c>
      <c r="AM232" s="475">
        <f t="shared" ref="AM232:AM246" si="123">AE232-AI232</f>
        <v>596.4</v>
      </c>
      <c r="AN232" s="525"/>
      <c r="AQ232" s="225"/>
      <c r="AR232" s="225"/>
      <c r="AS232" s="226"/>
      <c r="AU232" s="372" t="s">
        <v>805</v>
      </c>
      <c r="AV232" s="528"/>
      <c r="AW232" s="321"/>
      <c r="AY232" s="226"/>
      <c r="AZ232" s="226"/>
      <c r="BA232" s="285"/>
      <c r="BC232" s="321"/>
      <c r="BD232" s="321"/>
      <c r="BE232" s="322"/>
    </row>
    <row r="233" spans="1:57" s="224" customFormat="1" ht="52.5" customHeight="1">
      <c r="A233" s="364"/>
      <c r="B233" s="547" t="s">
        <v>1074</v>
      </c>
      <c r="C233" s="519"/>
      <c r="D233" s="519"/>
      <c r="E233" s="519"/>
      <c r="F233" s="519"/>
      <c r="G233" s="520" t="s">
        <v>341</v>
      </c>
      <c r="H233" s="521">
        <v>2020</v>
      </c>
      <c r="I233" s="521"/>
      <c r="J233" s="521">
        <v>2022</v>
      </c>
      <c r="K233" s="521"/>
      <c r="L233" s="521"/>
      <c r="M233" s="1446" t="s">
        <v>2318</v>
      </c>
      <c r="N233" s="1364">
        <v>5815</v>
      </c>
      <c r="O233" s="316"/>
      <c r="P233" s="1364">
        <v>5815</v>
      </c>
      <c r="Q233" s="523"/>
      <c r="R233" s="523"/>
      <c r="S233" s="523"/>
      <c r="T233" s="467">
        <f t="shared" si="119"/>
        <v>1744.5</v>
      </c>
      <c r="U233" s="523"/>
      <c r="V233" s="523"/>
      <c r="W233" s="523"/>
      <c r="X233" s="523"/>
      <c r="Y233" s="523"/>
      <c r="Z233" s="245"/>
      <c r="AA233" s="226"/>
      <c r="AB233" s="226"/>
      <c r="AC233" s="226"/>
      <c r="AD233" s="290">
        <f t="shared" si="117"/>
        <v>1744.5</v>
      </c>
      <c r="AE233" s="524">
        <f t="shared" si="102"/>
        <v>1744.5</v>
      </c>
      <c r="AF233" s="226"/>
      <c r="AG233" s="226"/>
      <c r="AH233" s="226"/>
      <c r="AI233" s="226"/>
      <c r="AJ233" s="226"/>
      <c r="AK233" s="226"/>
      <c r="AL233" s="475">
        <f t="shared" si="122"/>
        <v>1744.5</v>
      </c>
      <c r="AM233" s="475">
        <f t="shared" si="123"/>
        <v>1744.5</v>
      </c>
      <c r="AN233" s="525"/>
      <c r="AQ233" s="225"/>
      <c r="AR233" s="225"/>
      <c r="AS233" s="226"/>
      <c r="AU233" s="1224" t="s">
        <v>1998</v>
      </c>
      <c r="AV233" s="528"/>
      <c r="AW233" s="321"/>
      <c r="AY233" s="226"/>
      <c r="AZ233" s="226"/>
      <c r="BA233" s="285"/>
      <c r="BC233" s="321"/>
      <c r="BD233" s="321"/>
      <c r="BE233" s="322"/>
    </row>
    <row r="234" spans="1:57" s="224" customFormat="1" ht="63.75" customHeight="1">
      <c r="A234" s="364"/>
      <c r="B234" s="310" t="s">
        <v>2294</v>
      </c>
      <c r="C234" s="519"/>
      <c r="D234" s="519"/>
      <c r="E234" s="519"/>
      <c r="F234" s="519"/>
      <c r="G234" s="520" t="s">
        <v>401</v>
      </c>
      <c r="H234" s="521">
        <v>2020</v>
      </c>
      <c r="I234" s="521"/>
      <c r="J234" s="521">
        <v>2022</v>
      </c>
      <c r="K234" s="521"/>
      <c r="L234" s="521"/>
      <c r="M234" s="1446" t="s">
        <v>2295</v>
      </c>
      <c r="N234" s="316">
        <v>7000</v>
      </c>
      <c r="O234" s="316"/>
      <c r="P234" s="316">
        <v>7000</v>
      </c>
      <c r="Q234" s="523"/>
      <c r="R234" s="523"/>
      <c r="S234" s="523"/>
      <c r="T234" s="467">
        <f t="shared" si="119"/>
        <v>2100</v>
      </c>
      <c r="U234" s="523"/>
      <c r="V234" s="523"/>
      <c r="W234" s="523"/>
      <c r="X234" s="523"/>
      <c r="Y234" s="523"/>
      <c r="Z234" s="245"/>
      <c r="AA234" s="226"/>
      <c r="AB234" s="226"/>
      <c r="AC234" s="226"/>
      <c r="AD234" s="290">
        <f t="shared" si="117"/>
        <v>2100</v>
      </c>
      <c r="AE234" s="524">
        <f t="shared" si="102"/>
        <v>2100</v>
      </c>
      <c r="AF234" s="226"/>
      <c r="AG234" s="226"/>
      <c r="AH234" s="226"/>
      <c r="AI234" s="226"/>
      <c r="AJ234" s="226"/>
      <c r="AK234" s="226"/>
      <c r="AL234" s="475">
        <f t="shared" si="122"/>
        <v>2100</v>
      </c>
      <c r="AM234" s="475">
        <f t="shared" si="123"/>
        <v>2100</v>
      </c>
      <c r="AN234" s="525"/>
      <c r="AQ234" s="225"/>
      <c r="AR234" s="225"/>
      <c r="AS234" s="226"/>
      <c r="AU234" s="1224" t="s">
        <v>1999</v>
      </c>
      <c r="AV234" s="528"/>
      <c r="AW234" s="321"/>
      <c r="AY234" s="226"/>
      <c r="AZ234" s="226"/>
      <c r="BA234" s="285"/>
      <c r="BC234" s="321"/>
      <c r="BD234" s="321"/>
      <c r="BE234" s="322"/>
    </row>
    <row r="235" spans="1:57" s="224" customFormat="1" ht="52.5" customHeight="1">
      <c r="A235" s="364"/>
      <c r="B235" s="552" t="s">
        <v>1075</v>
      </c>
      <c r="C235" s="519"/>
      <c r="D235" s="519"/>
      <c r="E235" s="519"/>
      <c r="F235" s="519"/>
      <c r="G235" s="520" t="s">
        <v>395</v>
      </c>
      <c r="H235" s="521">
        <v>2020</v>
      </c>
      <c r="I235" s="521"/>
      <c r="J235" s="521">
        <v>2022</v>
      </c>
      <c r="K235" s="521"/>
      <c r="L235" s="521"/>
      <c r="M235" s="549" t="s">
        <v>931</v>
      </c>
      <c r="N235" s="316">
        <v>4000</v>
      </c>
      <c r="O235" s="316"/>
      <c r="P235" s="316">
        <v>4000</v>
      </c>
      <c r="Q235" s="523"/>
      <c r="R235" s="523"/>
      <c r="S235" s="523"/>
      <c r="T235" s="467">
        <f t="shared" si="119"/>
        <v>1200</v>
      </c>
      <c r="U235" s="523"/>
      <c r="V235" s="523"/>
      <c r="W235" s="523"/>
      <c r="X235" s="523"/>
      <c r="Y235" s="523"/>
      <c r="Z235" s="245"/>
      <c r="AA235" s="226"/>
      <c r="AB235" s="226"/>
      <c r="AC235" s="226"/>
      <c r="AD235" s="290">
        <f t="shared" si="117"/>
        <v>1200</v>
      </c>
      <c r="AE235" s="524">
        <f t="shared" si="102"/>
        <v>1200</v>
      </c>
      <c r="AF235" s="226"/>
      <c r="AG235" s="226"/>
      <c r="AH235" s="226"/>
      <c r="AI235" s="226"/>
      <c r="AJ235" s="226"/>
      <c r="AK235" s="226"/>
      <c r="AL235" s="475">
        <f t="shared" si="122"/>
        <v>1200</v>
      </c>
      <c r="AM235" s="475">
        <f t="shared" si="123"/>
        <v>1200</v>
      </c>
      <c r="AN235" s="525"/>
      <c r="AQ235" s="225"/>
      <c r="AR235" s="225"/>
      <c r="AS235" s="226"/>
      <c r="AU235" s="1222" t="s">
        <v>933</v>
      </c>
      <c r="AV235" s="528"/>
      <c r="AW235" s="321"/>
      <c r="AY235" s="226"/>
      <c r="AZ235" s="226"/>
      <c r="BA235" s="285"/>
      <c r="BC235" s="321"/>
      <c r="BD235" s="321"/>
      <c r="BE235" s="322"/>
    </row>
    <row r="236" spans="1:57" s="224" customFormat="1" ht="52.5" customHeight="1">
      <c r="A236" s="364"/>
      <c r="B236" s="547" t="s">
        <v>1076</v>
      </c>
      <c r="C236" s="519"/>
      <c r="D236" s="519"/>
      <c r="E236" s="519"/>
      <c r="F236" s="519"/>
      <c r="G236" s="520" t="s">
        <v>395</v>
      </c>
      <c r="H236" s="521">
        <v>2020</v>
      </c>
      <c r="I236" s="521"/>
      <c r="J236" s="521">
        <v>2022</v>
      </c>
      <c r="K236" s="521"/>
      <c r="L236" s="521"/>
      <c r="M236" s="549" t="s">
        <v>2475</v>
      </c>
      <c r="N236" s="548">
        <v>6000</v>
      </c>
      <c r="O236" s="316"/>
      <c r="P236" s="548">
        <v>6000</v>
      </c>
      <c r="Q236" s="523"/>
      <c r="R236" s="523"/>
      <c r="S236" s="523"/>
      <c r="T236" s="467">
        <f t="shared" si="119"/>
        <v>1800</v>
      </c>
      <c r="U236" s="523"/>
      <c r="V236" s="523"/>
      <c r="W236" s="523"/>
      <c r="X236" s="523"/>
      <c r="Y236" s="523"/>
      <c r="Z236" s="245"/>
      <c r="AA236" s="226"/>
      <c r="AB236" s="226"/>
      <c r="AC236" s="226"/>
      <c r="AD236" s="290">
        <f t="shared" si="117"/>
        <v>1800</v>
      </c>
      <c r="AE236" s="524">
        <f t="shared" si="102"/>
        <v>1800</v>
      </c>
      <c r="AF236" s="226"/>
      <c r="AG236" s="226"/>
      <c r="AH236" s="226"/>
      <c r="AI236" s="226"/>
      <c r="AJ236" s="226"/>
      <c r="AK236" s="226"/>
      <c r="AL236" s="475">
        <f t="shared" si="122"/>
        <v>1800</v>
      </c>
      <c r="AM236" s="475">
        <f t="shared" si="123"/>
        <v>1800</v>
      </c>
      <c r="AN236" s="525"/>
      <c r="AQ236" s="225"/>
      <c r="AR236" s="225"/>
      <c r="AS236" s="226"/>
      <c r="AU236" s="1222" t="s">
        <v>933</v>
      </c>
      <c r="AV236" s="528"/>
      <c r="AW236" s="321"/>
      <c r="AY236" s="226"/>
      <c r="AZ236" s="226"/>
      <c r="BA236" s="285"/>
      <c r="BC236" s="321"/>
      <c r="BD236" s="321"/>
      <c r="BE236" s="322"/>
    </row>
    <row r="237" spans="1:57" s="224" customFormat="1" ht="52.5" customHeight="1">
      <c r="A237" s="364"/>
      <c r="B237" s="310" t="s">
        <v>1077</v>
      </c>
      <c r="C237" s="519"/>
      <c r="D237" s="519"/>
      <c r="E237" s="519"/>
      <c r="F237" s="519"/>
      <c r="G237" s="520" t="s">
        <v>378</v>
      </c>
      <c r="H237" s="521">
        <v>2020</v>
      </c>
      <c r="I237" s="521"/>
      <c r="J237" s="521">
        <v>2022</v>
      </c>
      <c r="K237" s="521"/>
      <c r="L237" s="521"/>
      <c r="M237" s="549" t="s">
        <v>2385</v>
      </c>
      <c r="N237" s="548">
        <v>4000</v>
      </c>
      <c r="O237" s="316"/>
      <c r="P237" s="548">
        <v>4000</v>
      </c>
      <c r="Q237" s="523"/>
      <c r="R237" s="523"/>
      <c r="S237" s="523"/>
      <c r="T237" s="467">
        <f t="shared" si="119"/>
        <v>1200</v>
      </c>
      <c r="U237" s="523"/>
      <c r="V237" s="523"/>
      <c r="W237" s="523"/>
      <c r="X237" s="523"/>
      <c r="Y237" s="523"/>
      <c r="Z237" s="245"/>
      <c r="AA237" s="226"/>
      <c r="AB237" s="226"/>
      <c r="AC237" s="226"/>
      <c r="AD237" s="290">
        <f t="shared" si="117"/>
        <v>1200</v>
      </c>
      <c r="AE237" s="524">
        <f t="shared" si="102"/>
        <v>1200</v>
      </c>
      <c r="AF237" s="226"/>
      <c r="AG237" s="226"/>
      <c r="AH237" s="226"/>
      <c r="AI237" s="226"/>
      <c r="AJ237" s="226"/>
      <c r="AK237" s="226"/>
      <c r="AL237" s="475">
        <f t="shared" si="122"/>
        <v>1200</v>
      </c>
      <c r="AM237" s="475">
        <f t="shared" si="123"/>
        <v>1200</v>
      </c>
      <c r="AN237" s="525"/>
      <c r="AQ237" s="225"/>
      <c r="AR237" s="225"/>
      <c r="AS237" s="226"/>
      <c r="AU237" s="1223" t="s">
        <v>2000</v>
      </c>
      <c r="AV237" s="528"/>
      <c r="AW237" s="321"/>
      <c r="AY237" s="226"/>
      <c r="AZ237" s="226"/>
      <c r="BA237" s="285"/>
      <c r="BC237" s="321"/>
      <c r="BD237" s="321"/>
      <c r="BE237" s="322"/>
    </row>
    <row r="238" spans="1:57" s="224" customFormat="1" ht="52.5" customHeight="1">
      <c r="A238" s="364"/>
      <c r="B238" s="310" t="s">
        <v>2407</v>
      </c>
      <c r="C238" s="519"/>
      <c r="D238" s="519"/>
      <c r="E238" s="519"/>
      <c r="F238" s="519"/>
      <c r="G238" s="520" t="s">
        <v>378</v>
      </c>
      <c r="H238" s="521">
        <v>2020</v>
      </c>
      <c r="I238" s="521"/>
      <c r="J238" s="521">
        <v>2022</v>
      </c>
      <c r="K238" s="521"/>
      <c r="L238" s="521"/>
      <c r="M238" s="1446" t="s">
        <v>2319</v>
      </c>
      <c r="N238" s="550">
        <v>5757</v>
      </c>
      <c r="O238" s="316"/>
      <c r="P238" s="550">
        <v>5757</v>
      </c>
      <c r="Q238" s="523"/>
      <c r="R238" s="523"/>
      <c r="S238" s="523"/>
      <c r="T238" s="467">
        <f t="shared" si="119"/>
        <v>1727.1</v>
      </c>
      <c r="U238" s="523"/>
      <c r="V238" s="523"/>
      <c r="W238" s="523"/>
      <c r="X238" s="523"/>
      <c r="Y238" s="523"/>
      <c r="Z238" s="245"/>
      <c r="AA238" s="226"/>
      <c r="AB238" s="226"/>
      <c r="AC238" s="226"/>
      <c r="AD238" s="290">
        <f t="shared" si="117"/>
        <v>1727.1</v>
      </c>
      <c r="AE238" s="524">
        <f t="shared" si="102"/>
        <v>1727.1</v>
      </c>
      <c r="AF238" s="226"/>
      <c r="AG238" s="226"/>
      <c r="AH238" s="226"/>
      <c r="AI238" s="226"/>
      <c r="AJ238" s="226"/>
      <c r="AK238" s="226"/>
      <c r="AL238" s="475">
        <f t="shared" si="122"/>
        <v>1727.1</v>
      </c>
      <c r="AM238" s="475">
        <f t="shared" si="123"/>
        <v>1727.1</v>
      </c>
      <c r="AN238" s="525"/>
      <c r="AQ238" s="225"/>
      <c r="AR238" s="225"/>
      <c r="AS238" s="226"/>
      <c r="AU238" s="1223" t="s">
        <v>539</v>
      </c>
      <c r="AV238" s="528"/>
      <c r="AW238" s="321"/>
      <c r="AY238" s="226"/>
      <c r="AZ238" s="226"/>
      <c r="BA238" s="285"/>
      <c r="BC238" s="321"/>
      <c r="BD238" s="321"/>
      <c r="BE238" s="322"/>
    </row>
    <row r="239" spans="1:57" s="224" customFormat="1" ht="52.5" customHeight="1">
      <c r="A239" s="364"/>
      <c r="B239" s="547" t="s">
        <v>1078</v>
      </c>
      <c r="C239" s="519"/>
      <c r="D239" s="519"/>
      <c r="E239" s="519"/>
      <c r="F239" s="519"/>
      <c r="G239" s="520" t="s">
        <v>378</v>
      </c>
      <c r="H239" s="521">
        <v>2020</v>
      </c>
      <c r="I239" s="521"/>
      <c r="J239" s="521">
        <v>2022</v>
      </c>
      <c r="K239" s="521"/>
      <c r="L239" s="521"/>
      <c r="M239" s="1446" t="s">
        <v>2503</v>
      </c>
      <c r="N239" s="548">
        <v>6000</v>
      </c>
      <c r="O239" s="316"/>
      <c r="P239" s="548">
        <v>6000</v>
      </c>
      <c r="Q239" s="523"/>
      <c r="R239" s="523"/>
      <c r="S239" s="523"/>
      <c r="T239" s="467">
        <f t="shared" si="119"/>
        <v>1800</v>
      </c>
      <c r="U239" s="523"/>
      <c r="V239" s="523"/>
      <c r="W239" s="523"/>
      <c r="X239" s="523"/>
      <c r="Y239" s="523"/>
      <c r="Z239" s="245"/>
      <c r="AA239" s="226"/>
      <c r="AB239" s="226"/>
      <c r="AC239" s="226"/>
      <c r="AD239" s="290">
        <f t="shared" si="117"/>
        <v>1800</v>
      </c>
      <c r="AE239" s="524">
        <f t="shared" si="102"/>
        <v>1800</v>
      </c>
      <c r="AF239" s="226"/>
      <c r="AG239" s="226"/>
      <c r="AH239" s="226"/>
      <c r="AI239" s="226"/>
      <c r="AJ239" s="226"/>
      <c r="AK239" s="226"/>
      <c r="AL239" s="475">
        <f t="shared" si="122"/>
        <v>1800</v>
      </c>
      <c r="AM239" s="475">
        <f t="shared" si="123"/>
        <v>1800</v>
      </c>
      <c r="AN239" s="525"/>
      <c r="AQ239" s="225"/>
      <c r="AR239" s="225"/>
      <c r="AS239" s="226"/>
      <c r="AU239" s="1223" t="s">
        <v>2001</v>
      </c>
      <c r="AV239" s="528"/>
      <c r="AW239" s="321"/>
      <c r="AY239" s="226"/>
      <c r="AZ239" s="226"/>
      <c r="BA239" s="285"/>
      <c r="BC239" s="321"/>
      <c r="BD239" s="321"/>
      <c r="BE239" s="322"/>
    </row>
    <row r="240" spans="1:57" s="224" customFormat="1" ht="52.5" customHeight="1">
      <c r="A240" s="364"/>
      <c r="B240" s="310" t="s">
        <v>1079</v>
      </c>
      <c r="C240" s="519"/>
      <c r="D240" s="519"/>
      <c r="E240" s="519"/>
      <c r="F240" s="519"/>
      <c r="G240" s="520" t="s">
        <v>382</v>
      </c>
      <c r="H240" s="521">
        <v>2020</v>
      </c>
      <c r="I240" s="521"/>
      <c r="J240" s="521">
        <v>2022</v>
      </c>
      <c r="K240" s="521"/>
      <c r="L240" s="521"/>
      <c r="M240" s="549" t="s">
        <v>2505</v>
      </c>
      <c r="N240" s="316">
        <v>7000</v>
      </c>
      <c r="O240" s="522"/>
      <c r="P240" s="316">
        <v>7000</v>
      </c>
      <c r="Q240" s="523"/>
      <c r="R240" s="523"/>
      <c r="S240" s="523"/>
      <c r="T240" s="467">
        <f t="shared" si="119"/>
        <v>2100</v>
      </c>
      <c r="U240" s="523"/>
      <c r="V240" s="523"/>
      <c r="W240" s="523"/>
      <c r="X240" s="523"/>
      <c r="Y240" s="523"/>
      <c r="Z240" s="245"/>
      <c r="AA240" s="226"/>
      <c r="AB240" s="226"/>
      <c r="AC240" s="226"/>
      <c r="AD240" s="290">
        <f t="shared" si="117"/>
        <v>2100</v>
      </c>
      <c r="AE240" s="524">
        <f t="shared" si="102"/>
        <v>2100</v>
      </c>
      <c r="AF240" s="226"/>
      <c r="AG240" s="226"/>
      <c r="AH240" s="226"/>
      <c r="AI240" s="226"/>
      <c r="AJ240" s="226"/>
      <c r="AK240" s="226"/>
      <c r="AL240" s="475">
        <f t="shared" si="122"/>
        <v>2100</v>
      </c>
      <c r="AM240" s="475">
        <f t="shared" si="123"/>
        <v>2100</v>
      </c>
      <c r="AN240" s="525"/>
      <c r="AQ240" s="225"/>
      <c r="AR240" s="225"/>
      <c r="AS240" s="226"/>
      <c r="AU240" s="1222" t="s">
        <v>784</v>
      </c>
      <c r="AV240" s="528"/>
      <c r="AW240" s="321"/>
      <c r="AY240" s="226"/>
      <c r="AZ240" s="226"/>
      <c r="BA240" s="285"/>
      <c r="BC240" s="321"/>
      <c r="BD240" s="321"/>
      <c r="BE240" s="322"/>
    </row>
    <row r="241" spans="1:57" s="224" customFormat="1" ht="52.5" customHeight="1">
      <c r="A241" s="364"/>
      <c r="B241" s="310" t="s">
        <v>2382</v>
      </c>
      <c r="C241" s="519"/>
      <c r="D241" s="519"/>
      <c r="E241" s="519"/>
      <c r="F241" s="519"/>
      <c r="G241" s="520" t="s">
        <v>435</v>
      </c>
      <c r="H241" s="521">
        <v>2020</v>
      </c>
      <c r="I241" s="521"/>
      <c r="J241" s="521">
        <v>2022</v>
      </c>
      <c r="K241" s="521"/>
      <c r="L241" s="521"/>
      <c r="M241" s="549" t="s">
        <v>2408</v>
      </c>
      <c r="N241" s="550">
        <v>5000</v>
      </c>
      <c r="O241" s="550">
        <v>3500</v>
      </c>
      <c r="P241" s="548">
        <v>3000</v>
      </c>
      <c r="Q241" s="523"/>
      <c r="R241" s="523"/>
      <c r="S241" s="523"/>
      <c r="T241" s="467">
        <f t="shared" si="119"/>
        <v>900</v>
      </c>
      <c r="U241" s="523"/>
      <c r="V241" s="523"/>
      <c r="W241" s="523"/>
      <c r="X241" s="523"/>
      <c r="Y241" s="523"/>
      <c r="Z241" s="245"/>
      <c r="AA241" s="226"/>
      <c r="AB241" s="226"/>
      <c r="AC241" s="226"/>
      <c r="AD241" s="290">
        <f t="shared" si="117"/>
        <v>900</v>
      </c>
      <c r="AE241" s="524">
        <f t="shared" si="102"/>
        <v>900</v>
      </c>
      <c r="AF241" s="226"/>
      <c r="AG241" s="226"/>
      <c r="AH241" s="226"/>
      <c r="AI241" s="226"/>
      <c r="AJ241" s="226"/>
      <c r="AK241" s="226"/>
      <c r="AL241" s="475">
        <f t="shared" si="122"/>
        <v>900</v>
      </c>
      <c r="AM241" s="475">
        <f t="shared" si="123"/>
        <v>900</v>
      </c>
      <c r="AN241" s="525"/>
      <c r="AQ241" s="225"/>
      <c r="AR241" s="225"/>
      <c r="AS241" s="226"/>
      <c r="AU241" s="1222" t="s">
        <v>1691</v>
      </c>
      <c r="AV241" s="528"/>
      <c r="AW241" s="321"/>
      <c r="AY241" s="226"/>
      <c r="AZ241" s="226"/>
      <c r="BA241" s="285"/>
      <c r="BC241" s="321"/>
      <c r="BD241" s="321"/>
      <c r="BE241" s="322"/>
    </row>
    <row r="242" spans="1:57" s="224" customFormat="1" ht="52.5" customHeight="1">
      <c r="A242" s="364"/>
      <c r="B242" s="552" t="s">
        <v>1080</v>
      </c>
      <c r="C242" s="519"/>
      <c r="D242" s="519"/>
      <c r="E242" s="519"/>
      <c r="F242" s="519"/>
      <c r="G242" s="520" t="s">
        <v>382</v>
      </c>
      <c r="H242" s="521">
        <v>2020</v>
      </c>
      <c r="I242" s="521"/>
      <c r="J242" s="521">
        <v>2022</v>
      </c>
      <c r="K242" s="521"/>
      <c r="L242" s="521"/>
      <c r="M242" s="551"/>
      <c r="N242" s="550">
        <v>4000</v>
      </c>
      <c r="O242" s="550">
        <v>4000</v>
      </c>
      <c r="P242" s="548">
        <f>O242*0.6</f>
        <v>2400</v>
      </c>
      <c r="Q242" s="523"/>
      <c r="R242" s="523"/>
      <c r="S242" s="523"/>
      <c r="T242" s="467">
        <f t="shared" si="119"/>
        <v>720</v>
      </c>
      <c r="U242" s="523"/>
      <c r="V242" s="523"/>
      <c r="W242" s="523"/>
      <c r="X242" s="523"/>
      <c r="Y242" s="523"/>
      <c r="Z242" s="245"/>
      <c r="AA242" s="226"/>
      <c r="AB242" s="226"/>
      <c r="AC242" s="226"/>
      <c r="AD242" s="290">
        <f t="shared" si="117"/>
        <v>720</v>
      </c>
      <c r="AE242" s="524">
        <f t="shared" si="102"/>
        <v>720</v>
      </c>
      <c r="AF242" s="226"/>
      <c r="AG242" s="226"/>
      <c r="AH242" s="226"/>
      <c r="AI242" s="226"/>
      <c r="AJ242" s="226"/>
      <c r="AK242" s="226"/>
      <c r="AL242" s="475">
        <f t="shared" si="122"/>
        <v>720</v>
      </c>
      <c r="AM242" s="475">
        <f t="shared" si="123"/>
        <v>720</v>
      </c>
      <c r="AN242" s="525"/>
      <c r="AQ242" s="225"/>
      <c r="AR242" s="225"/>
      <c r="AS242" s="226"/>
      <c r="AU242" s="1222" t="s">
        <v>530</v>
      </c>
      <c r="AV242" s="528"/>
      <c r="AW242" s="321"/>
      <c r="AY242" s="226"/>
      <c r="AZ242" s="226"/>
      <c r="BA242" s="285"/>
      <c r="BC242" s="321"/>
      <c r="BD242" s="321"/>
      <c r="BE242" s="322"/>
    </row>
    <row r="243" spans="1:57" s="224" customFormat="1" ht="52.5" customHeight="1">
      <c r="A243" s="364"/>
      <c r="B243" s="554" t="s">
        <v>1081</v>
      </c>
      <c r="C243" s="519"/>
      <c r="D243" s="519"/>
      <c r="E243" s="519"/>
      <c r="F243" s="519"/>
      <c r="G243" s="520" t="s">
        <v>378</v>
      </c>
      <c r="H243" s="521">
        <v>2020</v>
      </c>
      <c r="I243" s="521"/>
      <c r="J243" s="521">
        <v>2022</v>
      </c>
      <c r="K243" s="521"/>
      <c r="L243" s="521"/>
      <c r="M243" s="550"/>
      <c r="N243" s="555">
        <v>3200</v>
      </c>
      <c r="O243" s="522"/>
      <c r="P243" s="555">
        <v>1920</v>
      </c>
      <c r="Q243" s="523"/>
      <c r="R243" s="523"/>
      <c r="S243" s="523"/>
      <c r="T243" s="467"/>
      <c r="U243" s="523"/>
      <c r="V243" s="523"/>
      <c r="W243" s="523"/>
      <c r="X243" s="523"/>
      <c r="Y243" s="523"/>
      <c r="Z243" s="245"/>
      <c r="AA243" s="226"/>
      <c r="AB243" s="226"/>
      <c r="AC243" s="226"/>
      <c r="AD243" s="290">
        <f t="shared" si="117"/>
        <v>0</v>
      </c>
      <c r="AE243" s="524">
        <f t="shared" si="102"/>
        <v>0</v>
      </c>
      <c r="AF243" s="226"/>
      <c r="AG243" s="226"/>
      <c r="AH243" s="226"/>
      <c r="AI243" s="226"/>
      <c r="AJ243" s="226"/>
      <c r="AK243" s="226"/>
      <c r="AL243" s="475"/>
      <c r="AM243" s="475"/>
      <c r="AN243" s="525" t="s">
        <v>2339</v>
      </c>
      <c r="AQ243" s="225"/>
      <c r="AR243" s="225"/>
      <c r="AS243" s="226"/>
      <c r="AU243" s="1223" t="s">
        <v>1002</v>
      </c>
      <c r="AV243" s="528"/>
      <c r="AW243" s="321"/>
      <c r="AY243" s="226"/>
      <c r="AZ243" s="226"/>
      <c r="BA243" s="285"/>
      <c r="BC243" s="321"/>
      <c r="BD243" s="321"/>
      <c r="BE243" s="322"/>
    </row>
    <row r="244" spans="1:57" s="224" customFormat="1" ht="52.5" customHeight="1">
      <c r="A244" s="364"/>
      <c r="B244" s="554" t="s">
        <v>2340</v>
      </c>
      <c r="C244" s="519"/>
      <c r="D244" s="519"/>
      <c r="E244" s="519"/>
      <c r="F244" s="519"/>
      <c r="G244" s="520" t="s">
        <v>333</v>
      </c>
      <c r="H244" s="521">
        <v>2020</v>
      </c>
      <c r="I244" s="521"/>
      <c r="J244" s="521">
        <v>2022</v>
      </c>
      <c r="K244" s="521"/>
      <c r="L244" s="521"/>
      <c r="M244" s="549"/>
      <c r="N244" s="555">
        <v>4000</v>
      </c>
      <c r="O244" s="522"/>
      <c r="P244" s="316">
        <v>2400</v>
      </c>
      <c r="Q244" s="523"/>
      <c r="R244" s="523"/>
      <c r="S244" s="523"/>
      <c r="T244" s="467">
        <f t="shared" si="119"/>
        <v>720</v>
      </c>
      <c r="U244" s="523"/>
      <c r="V244" s="523"/>
      <c r="W244" s="523"/>
      <c r="X244" s="523"/>
      <c r="Y244" s="523"/>
      <c r="Z244" s="245"/>
      <c r="AA244" s="226"/>
      <c r="AB244" s="226"/>
      <c r="AC244" s="226"/>
      <c r="AD244" s="290">
        <f t="shared" si="117"/>
        <v>720</v>
      </c>
      <c r="AE244" s="524">
        <f t="shared" si="102"/>
        <v>720</v>
      </c>
      <c r="AF244" s="226"/>
      <c r="AG244" s="226"/>
      <c r="AH244" s="226"/>
      <c r="AI244" s="226"/>
      <c r="AJ244" s="226"/>
      <c r="AK244" s="226"/>
      <c r="AL244" s="475">
        <f t="shared" si="122"/>
        <v>720</v>
      </c>
      <c r="AM244" s="475">
        <f t="shared" si="123"/>
        <v>720</v>
      </c>
      <c r="AN244" s="525" t="s">
        <v>1082</v>
      </c>
      <c r="AQ244" s="225"/>
      <c r="AR244" s="225"/>
      <c r="AS244" s="226"/>
      <c r="AU244" s="1222" t="s">
        <v>908</v>
      </c>
      <c r="AV244" s="528"/>
      <c r="AW244" s="321"/>
      <c r="AY244" s="226"/>
      <c r="AZ244" s="226"/>
      <c r="BA244" s="285"/>
      <c r="BC244" s="321"/>
      <c r="BD244" s="321"/>
      <c r="BE244" s="322"/>
    </row>
    <row r="245" spans="1:57" s="224" customFormat="1" ht="52.5" customHeight="1">
      <c r="A245" s="364"/>
      <c r="B245" s="547" t="s">
        <v>1083</v>
      </c>
      <c r="C245" s="519"/>
      <c r="D245" s="519"/>
      <c r="E245" s="519"/>
      <c r="F245" s="519"/>
      <c r="G245" s="520" t="s">
        <v>341</v>
      </c>
      <c r="H245" s="521">
        <v>2020</v>
      </c>
      <c r="I245" s="521"/>
      <c r="J245" s="521">
        <v>2022</v>
      </c>
      <c r="K245" s="521"/>
      <c r="L245" s="521"/>
      <c r="M245" s="549"/>
      <c r="N245" s="316">
        <v>4500</v>
      </c>
      <c r="O245" s="522"/>
      <c r="P245" s="316">
        <v>2700</v>
      </c>
      <c r="Q245" s="523"/>
      <c r="R245" s="523"/>
      <c r="S245" s="523"/>
      <c r="T245" s="467">
        <f t="shared" si="119"/>
        <v>810</v>
      </c>
      <c r="U245" s="523"/>
      <c r="V245" s="523"/>
      <c r="W245" s="523"/>
      <c r="X245" s="523"/>
      <c r="Y245" s="523"/>
      <c r="Z245" s="245"/>
      <c r="AA245" s="226"/>
      <c r="AB245" s="226"/>
      <c r="AC245" s="226"/>
      <c r="AD245" s="290">
        <f t="shared" si="117"/>
        <v>810</v>
      </c>
      <c r="AE245" s="524">
        <f t="shared" si="102"/>
        <v>810</v>
      </c>
      <c r="AF245" s="226"/>
      <c r="AG245" s="226"/>
      <c r="AH245" s="226"/>
      <c r="AI245" s="226"/>
      <c r="AJ245" s="226"/>
      <c r="AK245" s="226"/>
      <c r="AL245" s="475">
        <f t="shared" si="122"/>
        <v>810</v>
      </c>
      <c r="AM245" s="475">
        <f t="shared" si="123"/>
        <v>810</v>
      </c>
      <c r="AN245" s="525"/>
      <c r="AQ245" s="225"/>
      <c r="AR245" s="225"/>
      <c r="AS245" s="226"/>
      <c r="AU245" s="1224" t="s">
        <v>919</v>
      </c>
      <c r="AV245" s="528"/>
      <c r="AW245" s="321"/>
      <c r="AY245" s="226"/>
      <c r="AZ245" s="226"/>
      <c r="BA245" s="285"/>
      <c r="BC245" s="321"/>
      <c r="BD245" s="321"/>
      <c r="BE245" s="322"/>
    </row>
    <row r="246" spans="1:57" s="224" customFormat="1" ht="52.5" customHeight="1">
      <c r="A246" s="364"/>
      <c r="B246" s="547" t="s">
        <v>1084</v>
      </c>
      <c r="C246" s="519"/>
      <c r="D246" s="519"/>
      <c r="E246" s="519"/>
      <c r="F246" s="519"/>
      <c r="G246" s="520" t="s">
        <v>373</v>
      </c>
      <c r="H246" s="521">
        <v>2020</v>
      </c>
      <c r="I246" s="521"/>
      <c r="J246" s="521">
        <v>2022</v>
      </c>
      <c r="K246" s="521"/>
      <c r="L246" s="521"/>
      <c r="M246" s="549"/>
      <c r="N246" s="316">
        <v>5500</v>
      </c>
      <c r="O246" s="522"/>
      <c r="P246" s="316">
        <v>3300</v>
      </c>
      <c r="Q246" s="523"/>
      <c r="R246" s="523"/>
      <c r="S246" s="523"/>
      <c r="T246" s="467">
        <f t="shared" si="119"/>
        <v>990</v>
      </c>
      <c r="U246" s="523"/>
      <c r="V246" s="523"/>
      <c r="W246" s="523"/>
      <c r="X246" s="523"/>
      <c r="Y246" s="523"/>
      <c r="Z246" s="245"/>
      <c r="AA246" s="226"/>
      <c r="AB246" s="226"/>
      <c r="AC246" s="226"/>
      <c r="AD246" s="290">
        <f t="shared" si="117"/>
        <v>990</v>
      </c>
      <c r="AE246" s="524">
        <f t="shared" si="102"/>
        <v>990</v>
      </c>
      <c r="AF246" s="226"/>
      <c r="AG246" s="226"/>
      <c r="AH246" s="226"/>
      <c r="AI246" s="226"/>
      <c r="AJ246" s="226"/>
      <c r="AK246" s="226"/>
      <c r="AL246" s="475">
        <f t="shared" si="122"/>
        <v>990</v>
      </c>
      <c r="AM246" s="475">
        <f t="shared" si="123"/>
        <v>990</v>
      </c>
      <c r="AN246" s="525"/>
      <c r="AQ246" s="225"/>
      <c r="AR246" s="225"/>
      <c r="AS246" s="226"/>
      <c r="AU246" s="1224" t="s">
        <v>865</v>
      </c>
      <c r="AV246" s="528"/>
      <c r="AW246" s="321"/>
      <c r="AY246" s="226"/>
      <c r="AZ246" s="226"/>
      <c r="BA246" s="285"/>
      <c r="BC246" s="321"/>
      <c r="BD246" s="321"/>
      <c r="BE246" s="322"/>
    </row>
    <row r="247" spans="1:57" s="539" customFormat="1" ht="52.5" customHeight="1">
      <c r="A247" s="530"/>
      <c r="B247" s="1452" t="s">
        <v>2309</v>
      </c>
      <c r="C247" s="532"/>
      <c r="D247" s="532"/>
      <c r="E247" s="532"/>
      <c r="F247" s="532"/>
      <c r="G247" s="533"/>
      <c r="H247" s="294"/>
      <c r="I247" s="294"/>
      <c r="J247" s="294"/>
      <c r="K247" s="294"/>
      <c r="L247" s="294"/>
      <c r="M247" s="1453"/>
      <c r="N247" s="1454"/>
      <c r="O247" s="1455"/>
      <c r="P247" s="1454"/>
      <c r="Q247" s="536"/>
      <c r="R247" s="536"/>
      <c r="S247" s="536"/>
      <c r="T247" s="482"/>
      <c r="U247" s="536"/>
      <c r="V247" s="536"/>
      <c r="W247" s="536"/>
      <c r="X247" s="536"/>
      <c r="Y247" s="536"/>
      <c r="Z247" s="430"/>
      <c r="AA247" s="440"/>
      <c r="AB247" s="440"/>
      <c r="AC247" s="440"/>
      <c r="AD247" s="432"/>
      <c r="AE247" s="537"/>
      <c r="AF247" s="440"/>
      <c r="AG247" s="440"/>
      <c r="AH247" s="440"/>
      <c r="AI247" s="440"/>
      <c r="AJ247" s="440"/>
      <c r="AK247" s="440"/>
      <c r="AL247" s="433"/>
      <c r="AM247" s="433"/>
      <c r="AN247" s="538"/>
      <c r="AQ247" s="540"/>
      <c r="AR247" s="540"/>
      <c r="AS247" s="440"/>
      <c r="AU247" s="1456"/>
      <c r="AV247" s="542"/>
      <c r="AW247" s="543"/>
      <c r="AY247" s="440"/>
      <c r="AZ247" s="440"/>
      <c r="BA247" s="441"/>
      <c r="BC247" s="543"/>
      <c r="BD247" s="543"/>
      <c r="BE247" s="544"/>
    </row>
    <row r="248" spans="1:57" s="224" customFormat="1" ht="52.5" customHeight="1">
      <c r="A248" s="364"/>
      <c r="B248" s="1449" t="s">
        <v>2297</v>
      </c>
      <c r="C248" s="519"/>
      <c r="D248" s="519"/>
      <c r="E248" s="519"/>
      <c r="F248" s="519"/>
      <c r="G248" s="1132" t="s">
        <v>435</v>
      </c>
      <c r="H248" s="521">
        <v>2020</v>
      </c>
      <c r="I248" s="521"/>
      <c r="J248" s="521">
        <v>2022</v>
      </c>
      <c r="K248" s="521"/>
      <c r="L248" s="521"/>
      <c r="M248" s="1457" t="s">
        <v>2310</v>
      </c>
      <c r="N248" s="1458">
        <v>4500</v>
      </c>
      <c r="O248" s="522"/>
      <c r="P248" s="1458">
        <v>4500</v>
      </c>
      <c r="Q248" s="523"/>
      <c r="R248" s="523"/>
      <c r="S248" s="523"/>
      <c r="T248" s="467">
        <f t="shared" si="119"/>
        <v>1350</v>
      </c>
      <c r="U248" s="523"/>
      <c r="V248" s="523"/>
      <c r="W248" s="523"/>
      <c r="X248" s="523"/>
      <c r="Y248" s="523"/>
      <c r="Z248" s="245"/>
      <c r="AA248" s="226"/>
      <c r="AB248" s="226"/>
      <c r="AC248" s="226"/>
      <c r="AD248" s="290">
        <f t="shared" ref="AD248" si="124">T248</f>
        <v>1350</v>
      </c>
      <c r="AE248" s="524">
        <f t="shared" ref="AE248" si="125">AD248</f>
        <v>1350</v>
      </c>
      <c r="AF248" s="226"/>
      <c r="AG248" s="226"/>
      <c r="AH248" s="226"/>
      <c r="AI248" s="226"/>
      <c r="AJ248" s="226"/>
      <c r="AK248" s="226"/>
      <c r="AL248" s="475">
        <f t="shared" ref="AL248" si="126">AD248</f>
        <v>1350</v>
      </c>
      <c r="AM248" s="475">
        <f t="shared" ref="AM248" si="127">AE248-AI248</f>
        <v>1350</v>
      </c>
      <c r="AN248" s="525"/>
      <c r="AQ248" s="225"/>
      <c r="AR248" s="225"/>
      <c r="AS248" s="226"/>
      <c r="AU248" s="1459" t="s">
        <v>692</v>
      </c>
      <c r="AV248" s="528"/>
      <c r="AW248" s="321"/>
      <c r="AY248" s="226"/>
      <c r="AZ248" s="226"/>
      <c r="BA248" s="285"/>
      <c r="BC248" s="321"/>
      <c r="BD248" s="321"/>
      <c r="BE248" s="322"/>
    </row>
    <row r="249" spans="1:57" s="224" customFormat="1" ht="52.5" customHeight="1">
      <c r="A249" s="364"/>
      <c r="B249" s="1449" t="s">
        <v>2298</v>
      </c>
      <c r="C249" s="519"/>
      <c r="D249" s="519"/>
      <c r="E249" s="519"/>
      <c r="F249" s="519"/>
      <c r="G249" s="1132" t="s">
        <v>382</v>
      </c>
      <c r="H249" s="521">
        <v>2020</v>
      </c>
      <c r="I249" s="521"/>
      <c r="J249" s="521">
        <v>2022</v>
      </c>
      <c r="K249" s="521"/>
      <c r="L249" s="521"/>
      <c r="M249" s="549" t="s">
        <v>2504</v>
      </c>
      <c r="N249" s="1458">
        <v>4200</v>
      </c>
      <c r="O249" s="522"/>
      <c r="P249" s="1458">
        <v>4200</v>
      </c>
      <c r="Q249" s="523"/>
      <c r="R249" s="523"/>
      <c r="S249" s="523"/>
      <c r="T249" s="467">
        <f t="shared" si="119"/>
        <v>1260</v>
      </c>
      <c r="U249" s="523"/>
      <c r="V249" s="523"/>
      <c r="W249" s="523"/>
      <c r="X249" s="523"/>
      <c r="Y249" s="523"/>
      <c r="Z249" s="245"/>
      <c r="AA249" s="226"/>
      <c r="AB249" s="226"/>
      <c r="AC249" s="226"/>
      <c r="AD249" s="290">
        <f t="shared" ref="AD249:AD254" si="128">T249</f>
        <v>1260</v>
      </c>
      <c r="AE249" s="524">
        <f t="shared" ref="AE249:AE254" si="129">AD249</f>
        <v>1260</v>
      </c>
      <c r="AF249" s="226"/>
      <c r="AG249" s="226"/>
      <c r="AH249" s="226"/>
      <c r="AI249" s="226"/>
      <c r="AJ249" s="226"/>
      <c r="AK249" s="226"/>
      <c r="AL249" s="475">
        <f t="shared" ref="AL249:AL261" si="130">AD249</f>
        <v>1260</v>
      </c>
      <c r="AM249" s="475">
        <f t="shared" ref="AM249:AM261" si="131">AE249-AI249</f>
        <v>1260</v>
      </c>
      <c r="AN249" s="525"/>
      <c r="AQ249" s="225"/>
      <c r="AR249" s="225"/>
      <c r="AS249" s="226"/>
      <c r="AU249" s="1459" t="s">
        <v>2311</v>
      </c>
      <c r="AV249" s="528"/>
      <c r="AW249" s="321"/>
      <c r="AY249" s="226"/>
      <c r="AZ249" s="226"/>
      <c r="BA249" s="285"/>
      <c r="BC249" s="321"/>
      <c r="BD249" s="321"/>
      <c r="BE249" s="322"/>
    </row>
    <row r="250" spans="1:57" s="224" customFormat="1" ht="52.5" customHeight="1">
      <c r="A250" s="364"/>
      <c r="B250" s="1449" t="s">
        <v>2299</v>
      </c>
      <c r="C250" s="519"/>
      <c r="D250" s="519"/>
      <c r="E250" s="519"/>
      <c r="F250" s="519"/>
      <c r="G250" s="1132" t="s">
        <v>373</v>
      </c>
      <c r="H250" s="521">
        <v>2020</v>
      </c>
      <c r="I250" s="521"/>
      <c r="J250" s="521">
        <v>2022</v>
      </c>
      <c r="K250" s="521"/>
      <c r="L250" s="521"/>
      <c r="M250" s="1457" t="s">
        <v>2391</v>
      </c>
      <c r="N250" s="1458">
        <v>3800</v>
      </c>
      <c r="O250" s="522"/>
      <c r="P250" s="1458">
        <v>2280</v>
      </c>
      <c r="Q250" s="523"/>
      <c r="R250" s="523"/>
      <c r="S250" s="523"/>
      <c r="T250" s="467">
        <f t="shared" si="119"/>
        <v>684</v>
      </c>
      <c r="U250" s="523"/>
      <c r="V250" s="523"/>
      <c r="W250" s="523"/>
      <c r="X250" s="523"/>
      <c r="Y250" s="523"/>
      <c r="Z250" s="245"/>
      <c r="AA250" s="226"/>
      <c r="AB250" s="226"/>
      <c r="AC250" s="226"/>
      <c r="AD250" s="290">
        <f t="shared" si="128"/>
        <v>684</v>
      </c>
      <c r="AE250" s="524">
        <f t="shared" si="129"/>
        <v>684</v>
      </c>
      <c r="AF250" s="226"/>
      <c r="AG250" s="226"/>
      <c r="AH250" s="226"/>
      <c r="AI250" s="226"/>
      <c r="AJ250" s="226"/>
      <c r="AK250" s="226"/>
      <c r="AL250" s="475">
        <f t="shared" si="130"/>
        <v>684</v>
      </c>
      <c r="AM250" s="475">
        <f t="shared" si="131"/>
        <v>684</v>
      </c>
      <c r="AN250" s="525"/>
      <c r="AQ250" s="225"/>
      <c r="AR250" s="225"/>
      <c r="AS250" s="226"/>
      <c r="AU250" s="1459" t="s">
        <v>2312</v>
      </c>
      <c r="AV250" s="528"/>
      <c r="AW250" s="321"/>
      <c r="AY250" s="226"/>
      <c r="AZ250" s="226"/>
      <c r="BA250" s="285"/>
      <c r="BC250" s="321"/>
      <c r="BD250" s="321"/>
      <c r="BE250" s="322"/>
    </row>
    <row r="251" spans="1:57" s="224" customFormat="1" ht="52.5" customHeight="1">
      <c r="A251" s="364"/>
      <c r="B251" s="1449" t="s">
        <v>2300</v>
      </c>
      <c r="C251" s="519"/>
      <c r="D251" s="519"/>
      <c r="E251" s="519"/>
      <c r="F251" s="519"/>
      <c r="G251" s="1132" t="s">
        <v>382</v>
      </c>
      <c r="H251" s="521">
        <v>2020</v>
      </c>
      <c r="I251" s="521"/>
      <c r="J251" s="521">
        <v>2022</v>
      </c>
      <c r="K251" s="521"/>
      <c r="L251" s="521"/>
      <c r="M251" s="1457" t="s">
        <v>2392</v>
      </c>
      <c r="N251" s="1458">
        <v>3823</v>
      </c>
      <c r="O251" s="522"/>
      <c r="P251" s="1458">
        <v>2294</v>
      </c>
      <c r="Q251" s="523"/>
      <c r="R251" s="523"/>
      <c r="S251" s="523"/>
      <c r="T251" s="467">
        <f t="shared" si="119"/>
        <v>688.19999999999993</v>
      </c>
      <c r="U251" s="523"/>
      <c r="V251" s="523"/>
      <c r="W251" s="523"/>
      <c r="X251" s="523"/>
      <c r="Y251" s="523"/>
      <c r="Z251" s="245"/>
      <c r="AA251" s="226"/>
      <c r="AB251" s="226"/>
      <c r="AC251" s="226"/>
      <c r="AD251" s="290">
        <f t="shared" si="128"/>
        <v>688.19999999999993</v>
      </c>
      <c r="AE251" s="524">
        <f t="shared" si="129"/>
        <v>688.19999999999993</v>
      </c>
      <c r="AF251" s="226"/>
      <c r="AG251" s="226"/>
      <c r="AH251" s="226"/>
      <c r="AI251" s="226"/>
      <c r="AJ251" s="226"/>
      <c r="AK251" s="226"/>
      <c r="AL251" s="475">
        <f t="shared" si="130"/>
        <v>688.19999999999993</v>
      </c>
      <c r="AM251" s="475">
        <f t="shared" si="131"/>
        <v>688.19999999999993</v>
      </c>
      <c r="AN251" s="525"/>
      <c r="AQ251" s="225"/>
      <c r="AR251" s="225"/>
      <c r="AS251" s="226"/>
      <c r="AU251" s="1459" t="s">
        <v>768</v>
      </c>
      <c r="AV251" s="528"/>
      <c r="AW251" s="321"/>
      <c r="AY251" s="226"/>
      <c r="AZ251" s="226"/>
      <c r="BA251" s="285"/>
      <c r="BC251" s="321"/>
      <c r="BD251" s="321"/>
      <c r="BE251" s="322"/>
    </row>
    <row r="252" spans="1:57" s="224" customFormat="1" ht="52.5" customHeight="1">
      <c r="A252" s="364"/>
      <c r="B252" s="1449" t="s">
        <v>2384</v>
      </c>
      <c r="C252" s="519"/>
      <c r="D252" s="519"/>
      <c r="E252" s="519"/>
      <c r="F252" s="519"/>
      <c r="G252" s="1132" t="s">
        <v>382</v>
      </c>
      <c r="H252" s="521">
        <v>2020</v>
      </c>
      <c r="I252" s="521"/>
      <c r="J252" s="521">
        <v>2022</v>
      </c>
      <c r="K252" s="521"/>
      <c r="L252" s="521"/>
      <c r="M252" s="1457" t="s">
        <v>2473</v>
      </c>
      <c r="N252" s="1458">
        <v>5000</v>
      </c>
      <c r="O252" s="522"/>
      <c r="P252" s="1458">
        <v>3000</v>
      </c>
      <c r="Q252" s="523"/>
      <c r="R252" s="523"/>
      <c r="S252" s="523"/>
      <c r="T252" s="467">
        <f t="shared" si="119"/>
        <v>900</v>
      </c>
      <c r="U252" s="523"/>
      <c r="V252" s="523"/>
      <c r="W252" s="523"/>
      <c r="X252" s="523"/>
      <c r="Y252" s="523"/>
      <c r="Z252" s="245"/>
      <c r="AA252" s="226"/>
      <c r="AB252" s="226"/>
      <c r="AC252" s="226"/>
      <c r="AD252" s="290">
        <f t="shared" si="128"/>
        <v>900</v>
      </c>
      <c r="AE252" s="524">
        <f t="shared" si="129"/>
        <v>900</v>
      </c>
      <c r="AF252" s="226"/>
      <c r="AG252" s="226"/>
      <c r="AH252" s="226"/>
      <c r="AI252" s="226"/>
      <c r="AJ252" s="226"/>
      <c r="AK252" s="226"/>
      <c r="AL252" s="475">
        <f t="shared" si="130"/>
        <v>900</v>
      </c>
      <c r="AM252" s="475">
        <f t="shared" si="131"/>
        <v>900</v>
      </c>
      <c r="AN252" s="525"/>
      <c r="AQ252" s="225"/>
      <c r="AR252" s="225"/>
      <c r="AS252" s="226"/>
      <c r="AU252" s="1459" t="s">
        <v>768</v>
      </c>
      <c r="AV252" s="528"/>
      <c r="AW252" s="321"/>
      <c r="AY252" s="226"/>
      <c r="AZ252" s="226"/>
      <c r="BA252" s="285"/>
      <c r="BC252" s="321"/>
      <c r="BD252" s="321"/>
      <c r="BE252" s="322"/>
    </row>
    <row r="253" spans="1:57" s="224" customFormat="1" ht="52.5" customHeight="1">
      <c r="A253" s="364"/>
      <c r="B253" s="1449" t="s">
        <v>2301</v>
      </c>
      <c r="C253" s="519"/>
      <c r="D253" s="519"/>
      <c r="E253" s="519"/>
      <c r="F253" s="519"/>
      <c r="G253" s="1132" t="s">
        <v>401</v>
      </c>
      <c r="H253" s="521">
        <v>2020</v>
      </c>
      <c r="I253" s="521"/>
      <c r="J253" s="521">
        <v>2022</v>
      </c>
      <c r="K253" s="521"/>
      <c r="L253" s="521"/>
      <c r="M253" s="1457" t="s">
        <v>2402</v>
      </c>
      <c r="N253" s="1488">
        <v>5200</v>
      </c>
      <c r="O253" s="522"/>
      <c r="P253" s="1488">
        <v>5200</v>
      </c>
      <c r="Q253" s="523"/>
      <c r="R253" s="523"/>
      <c r="S253" s="523"/>
      <c r="T253" s="467">
        <f t="shared" si="119"/>
        <v>1560</v>
      </c>
      <c r="U253" s="523"/>
      <c r="V253" s="523"/>
      <c r="W253" s="523"/>
      <c r="X253" s="523"/>
      <c r="Y253" s="523"/>
      <c r="Z253" s="245"/>
      <c r="AA253" s="226"/>
      <c r="AB253" s="226"/>
      <c r="AC253" s="226"/>
      <c r="AD253" s="290">
        <f t="shared" si="128"/>
        <v>1560</v>
      </c>
      <c r="AE253" s="524">
        <f t="shared" si="129"/>
        <v>1560</v>
      </c>
      <c r="AF253" s="226"/>
      <c r="AG253" s="226"/>
      <c r="AH253" s="226"/>
      <c r="AI253" s="226"/>
      <c r="AJ253" s="226"/>
      <c r="AK253" s="226"/>
      <c r="AL253" s="475">
        <f t="shared" si="130"/>
        <v>1560</v>
      </c>
      <c r="AM253" s="475">
        <f t="shared" si="131"/>
        <v>1560</v>
      </c>
      <c r="AN253" s="525"/>
      <c r="AQ253" s="225"/>
      <c r="AR253" s="225"/>
      <c r="AS253" s="226"/>
      <c r="AU253" s="1459" t="s">
        <v>846</v>
      </c>
      <c r="AV253" s="528"/>
      <c r="AW253" s="321"/>
      <c r="AY253" s="226"/>
      <c r="AZ253" s="226"/>
      <c r="BA253" s="285"/>
      <c r="BC253" s="321"/>
      <c r="BD253" s="321"/>
      <c r="BE253" s="322"/>
    </row>
    <row r="254" spans="1:57" s="224" customFormat="1" ht="52.5" customHeight="1">
      <c r="A254" s="364"/>
      <c r="B254" s="1449" t="s">
        <v>2302</v>
      </c>
      <c r="C254" s="519"/>
      <c r="D254" s="519"/>
      <c r="E254" s="519"/>
      <c r="F254" s="519"/>
      <c r="G254" s="1132" t="s">
        <v>401</v>
      </c>
      <c r="H254" s="521">
        <v>2020</v>
      </c>
      <c r="I254" s="521"/>
      <c r="J254" s="521">
        <v>2022</v>
      </c>
      <c r="K254" s="521"/>
      <c r="L254" s="521"/>
      <c r="M254" s="1457" t="s">
        <v>2474</v>
      </c>
      <c r="N254" s="1364">
        <v>5200</v>
      </c>
      <c r="O254" s="522"/>
      <c r="P254" s="1364">
        <v>5200</v>
      </c>
      <c r="Q254" s="523"/>
      <c r="R254" s="523"/>
      <c r="S254" s="523"/>
      <c r="T254" s="467">
        <f t="shared" si="119"/>
        <v>1560</v>
      </c>
      <c r="U254" s="523"/>
      <c r="V254" s="523"/>
      <c r="W254" s="523"/>
      <c r="X254" s="523"/>
      <c r="Y254" s="523"/>
      <c r="Z254" s="245"/>
      <c r="AA254" s="226"/>
      <c r="AB254" s="226"/>
      <c r="AC254" s="226"/>
      <c r="AD254" s="290">
        <f t="shared" si="128"/>
        <v>1560</v>
      </c>
      <c r="AE254" s="524">
        <f t="shared" si="129"/>
        <v>1560</v>
      </c>
      <c r="AF254" s="226"/>
      <c r="AG254" s="226"/>
      <c r="AH254" s="226"/>
      <c r="AI254" s="226"/>
      <c r="AJ254" s="226"/>
      <c r="AK254" s="226"/>
      <c r="AL254" s="475">
        <f t="shared" si="130"/>
        <v>1560</v>
      </c>
      <c r="AM254" s="475">
        <f t="shared" si="131"/>
        <v>1560</v>
      </c>
      <c r="AN254" s="525"/>
      <c r="AQ254" s="225"/>
      <c r="AR254" s="225"/>
      <c r="AS254" s="226"/>
      <c r="AU254" s="1459" t="s">
        <v>2313</v>
      </c>
      <c r="AV254" s="528"/>
      <c r="AW254" s="321"/>
      <c r="AY254" s="226"/>
      <c r="AZ254" s="226"/>
      <c r="BA254" s="285"/>
      <c r="BC254" s="321"/>
      <c r="BD254" s="321"/>
      <c r="BE254" s="322"/>
    </row>
    <row r="255" spans="1:57" s="224" customFormat="1" ht="52.5" customHeight="1">
      <c r="A255" s="364"/>
      <c r="B255" s="547" t="s">
        <v>2303</v>
      </c>
      <c r="C255" s="519"/>
      <c r="D255" s="519"/>
      <c r="E255" s="519"/>
      <c r="F255" s="519"/>
      <c r="G255" s="1132" t="s">
        <v>382</v>
      </c>
      <c r="H255" s="521">
        <v>2020</v>
      </c>
      <c r="I255" s="521"/>
      <c r="J255" s="521">
        <v>2022</v>
      </c>
      <c r="K255" s="521"/>
      <c r="L255" s="521"/>
      <c r="M255" s="549" t="s">
        <v>2451</v>
      </c>
      <c r="N255" s="1364">
        <v>10000</v>
      </c>
      <c r="O255" s="522"/>
      <c r="P255" s="1364">
        <v>6000</v>
      </c>
      <c r="Q255" s="523"/>
      <c r="R255" s="523"/>
      <c r="S255" s="523"/>
      <c r="T255" s="467">
        <f t="shared" si="119"/>
        <v>1800</v>
      </c>
      <c r="U255" s="523"/>
      <c r="V255" s="523"/>
      <c r="W255" s="523"/>
      <c r="X255" s="523"/>
      <c r="Y255" s="523"/>
      <c r="Z255" s="245"/>
      <c r="AA255" s="226"/>
      <c r="AB255" s="226"/>
      <c r="AC255" s="226"/>
      <c r="AD255" s="290">
        <f t="shared" ref="AD255:AD261" si="132">T255</f>
        <v>1800</v>
      </c>
      <c r="AE255" s="524">
        <f t="shared" ref="AE255:AE261" si="133">AD255</f>
        <v>1800</v>
      </c>
      <c r="AF255" s="226"/>
      <c r="AG255" s="226"/>
      <c r="AH255" s="226"/>
      <c r="AI255" s="226"/>
      <c r="AJ255" s="226"/>
      <c r="AK255" s="226"/>
      <c r="AL255" s="475">
        <f t="shared" si="130"/>
        <v>1800</v>
      </c>
      <c r="AM255" s="475">
        <f t="shared" si="131"/>
        <v>1800</v>
      </c>
      <c r="AN255" s="525"/>
      <c r="AQ255" s="225"/>
      <c r="AR255" s="225"/>
      <c r="AS255" s="226"/>
      <c r="AU255" s="1447" t="s">
        <v>1990</v>
      </c>
      <c r="AV255" s="528"/>
      <c r="AW255" s="321"/>
      <c r="AY255" s="226"/>
      <c r="AZ255" s="226"/>
      <c r="BA255" s="285"/>
      <c r="BC255" s="321"/>
      <c r="BD255" s="321"/>
      <c r="BE255" s="322"/>
    </row>
    <row r="256" spans="1:57" s="224" customFormat="1" ht="52.5" customHeight="1">
      <c r="A256" s="364"/>
      <c r="B256" s="547" t="s">
        <v>2304</v>
      </c>
      <c r="C256" s="519"/>
      <c r="D256" s="519"/>
      <c r="E256" s="519"/>
      <c r="F256" s="519"/>
      <c r="G256" s="1132" t="s">
        <v>435</v>
      </c>
      <c r="H256" s="521">
        <v>2020</v>
      </c>
      <c r="I256" s="521"/>
      <c r="J256" s="521">
        <v>2022</v>
      </c>
      <c r="K256" s="521"/>
      <c r="L256" s="521"/>
      <c r="M256" s="549"/>
      <c r="N256" s="1364">
        <v>5000</v>
      </c>
      <c r="O256" s="522"/>
      <c r="P256" s="1364">
        <v>3000</v>
      </c>
      <c r="Q256" s="523"/>
      <c r="R256" s="523"/>
      <c r="S256" s="523"/>
      <c r="T256" s="467">
        <f t="shared" si="119"/>
        <v>900</v>
      </c>
      <c r="U256" s="523"/>
      <c r="V256" s="523"/>
      <c r="W256" s="523"/>
      <c r="X256" s="523"/>
      <c r="Y256" s="523"/>
      <c r="Z256" s="245"/>
      <c r="AA256" s="226"/>
      <c r="AB256" s="226"/>
      <c r="AC256" s="226"/>
      <c r="AD256" s="290">
        <f t="shared" si="132"/>
        <v>900</v>
      </c>
      <c r="AE256" s="524">
        <f t="shared" si="133"/>
        <v>900</v>
      </c>
      <c r="AF256" s="226"/>
      <c r="AG256" s="226"/>
      <c r="AH256" s="226"/>
      <c r="AI256" s="226"/>
      <c r="AJ256" s="226"/>
      <c r="AK256" s="226"/>
      <c r="AL256" s="475">
        <f t="shared" si="130"/>
        <v>900</v>
      </c>
      <c r="AM256" s="475">
        <f t="shared" si="131"/>
        <v>900</v>
      </c>
      <c r="AN256" s="525"/>
      <c r="AQ256" s="225"/>
      <c r="AR256" s="225"/>
      <c r="AS256" s="226"/>
      <c r="AU256" s="1447" t="s">
        <v>1307</v>
      </c>
      <c r="AV256" s="528"/>
      <c r="AW256" s="321"/>
      <c r="AY256" s="226"/>
      <c r="AZ256" s="226"/>
      <c r="BA256" s="285"/>
      <c r="BC256" s="321"/>
      <c r="BD256" s="321"/>
      <c r="BE256" s="322"/>
    </row>
    <row r="257" spans="1:57" s="224" customFormat="1" ht="52.5" customHeight="1">
      <c r="A257" s="364"/>
      <c r="B257" s="547" t="s">
        <v>2383</v>
      </c>
      <c r="C257" s="519"/>
      <c r="D257" s="519"/>
      <c r="E257" s="519"/>
      <c r="F257" s="519"/>
      <c r="G257" s="1132" t="s">
        <v>382</v>
      </c>
      <c r="H257" s="521">
        <v>2020</v>
      </c>
      <c r="I257" s="521"/>
      <c r="J257" s="521">
        <v>2022</v>
      </c>
      <c r="K257" s="521"/>
      <c r="L257" s="521"/>
      <c r="M257" s="549" t="s">
        <v>2476</v>
      </c>
      <c r="N257" s="1364">
        <v>8500</v>
      </c>
      <c r="O257" s="522"/>
      <c r="P257" s="1364">
        <v>5100</v>
      </c>
      <c r="Q257" s="523"/>
      <c r="R257" s="523"/>
      <c r="S257" s="523"/>
      <c r="T257" s="467">
        <f t="shared" si="119"/>
        <v>1530</v>
      </c>
      <c r="U257" s="523"/>
      <c r="V257" s="523"/>
      <c r="W257" s="523"/>
      <c r="X257" s="523"/>
      <c r="Y257" s="523"/>
      <c r="Z257" s="245"/>
      <c r="AA257" s="226"/>
      <c r="AB257" s="226"/>
      <c r="AC257" s="226"/>
      <c r="AD257" s="290">
        <f t="shared" si="132"/>
        <v>1530</v>
      </c>
      <c r="AE257" s="524">
        <f t="shared" si="133"/>
        <v>1530</v>
      </c>
      <c r="AF257" s="226"/>
      <c r="AG257" s="226"/>
      <c r="AH257" s="226"/>
      <c r="AI257" s="226"/>
      <c r="AJ257" s="226"/>
      <c r="AK257" s="226"/>
      <c r="AL257" s="475">
        <f t="shared" si="130"/>
        <v>1530</v>
      </c>
      <c r="AM257" s="475">
        <f t="shared" si="131"/>
        <v>1530</v>
      </c>
      <c r="AN257" s="525"/>
      <c r="AQ257" s="225"/>
      <c r="AR257" s="225"/>
      <c r="AS257" s="226"/>
      <c r="AU257" s="1447" t="s">
        <v>971</v>
      </c>
      <c r="AV257" s="528"/>
      <c r="AW257" s="321"/>
      <c r="AY257" s="226"/>
      <c r="AZ257" s="226"/>
      <c r="BA257" s="285"/>
      <c r="BC257" s="321"/>
      <c r="BD257" s="321"/>
      <c r="BE257" s="322"/>
    </row>
    <row r="258" spans="1:57" s="224" customFormat="1" ht="52.5" customHeight="1">
      <c r="A258" s="364"/>
      <c r="B258" s="547" t="s">
        <v>2305</v>
      </c>
      <c r="C258" s="519"/>
      <c r="D258" s="519"/>
      <c r="E258" s="519"/>
      <c r="F258" s="519"/>
      <c r="G258" s="1132" t="s">
        <v>395</v>
      </c>
      <c r="H258" s="521">
        <v>2020</v>
      </c>
      <c r="I258" s="521"/>
      <c r="J258" s="521">
        <v>2022</v>
      </c>
      <c r="K258" s="521"/>
      <c r="L258" s="521"/>
      <c r="M258" s="549" t="s">
        <v>2446</v>
      </c>
      <c r="N258" s="1364">
        <v>5000</v>
      </c>
      <c r="O258" s="522"/>
      <c r="P258" s="1364">
        <v>3000</v>
      </c>
      <c r="Q258" s="523"/>
      <c r="R258" s="523"/>
      <c r="S258" s="523"/>
      <c r="T258" s="467">
        <f t="shared" si="119"/>
        <v>900</v>
      </c>
      <c r="U258" s="523"/>
      <c r="V258" s="523"/>
      <c r="W258" s="523"/>
      <c r="X258" s="523"/>
      <c r="Y258" s="523"/>
      <c r="Z258" s="245"/>
      <c r="AA258" s="226"/>
      <c r="AB258" s="226"/>
      <c r="AC258" s="226"/>
      <c r="AD258" s="290">
        <f t="shared" si="132"/>
        <v>900</v>
      </c>
      <c r="AE258" s="524">
        <f t="shared" si="133"/>
        <v>900</v>
      </c>
      <c r="AF258" s="226"/>
      <c r="AG258" s="226"/>
      <c r="AH258" s="226"/>
      <c r="AI258" s="226"/>
      <c r="AJ258" s="226"/>
      <c r="AK258" s="226"/>
      <c r="AL258" s="475">
        <f t="shared" si="130"/>
        <v>900</v>
      </c>
      <c r="AM258" s="475">
        <f t="shared" si="131"/>
        <v>900</v>
      </c>
      <c r="AN258" s="525"/>
      <c r="AQ258" s="225"/>
      <c r="AR258" s="225"/>
      <c r="AS258" s="226"/>
      <c r="AU258" s="1447" t="s">
        <v>2314</v>
      </c>
      <c r="AV258" s="528"/>
      <c r="AW258" s="321"/>
      <c r="AY258" s="226"/>
      <c r="AZ258" s="226"/>
      <c r="BA258" s="285"/>
      <c r="BC258" s="321"/>
      <c r="BD258" s="321"/>
      <c r="BE258" s="322"/>
    </row>
    <row r="259" spans="1:57" s="224" customFormat="1" ht="52.5" customHeight="1">
      <c r="A259" s="364"/>
      <c r="B259" s="547" t="s">
        <v>2306</v>
      </c>
      <c r="C259" s="519"/>
      <c r="D259" s="519"/>
      <c r="E259" s="519"/>
      <c r="F259" s="519"/>
      <c r="G259" s="1132" t="s">
        <v>341</v>
      </c>
      <c r="H259" s="521">
        <v>2020</v>
      </c>
      <c r="I259" s="521"/>
      <c r="J259" s="521">
        <v>2022</v>
      </c>
      <c r="K259" s="521"/>
      <c r="L259" s="521"/>
      <c r="M259" s="549" t="s">
        <v>2477</v>
      </c>
      <c r="N259" s="1364">
        <v>5000</v>
      </c>
      <c r="O259" s="522"/>
      <c r="P259" s="1364">
        <v>3000</v>
      </c>
      <c r="Q259" s="523"/>
      <c r="R259" s="523"/>
      <c r="S259" s="523"/>
      <c r="T259" s="467">
        <f t="shared" si="119"/>
        <v>900</v>
      </c>
      <c r="U259" s="523"/>
      <c r="V259" s="523"/>
      <c r="W259" s="523"/>
      <c r="X259" s="523"/>
      <c r="Y259" s="523"/>
      <c r="Z259" s="245"/>
      <c r="AA259" s="226"/>
      <c r="AB259" s="226"/>
      <c r="AC259" s="226"/>
      <c r="AD259" s="290">
        <f t="shared" si="132"/>
        <v>900</v>
      </c>
      <c r="AE259" s="524">
        <f t="shared" si="133"/>
        <v>900</v>
      </c>
      <c r="AF259" s="226"/>
      <c r="AG259" s="226"/>
      <c r="AH259" s="226"/>
      <c r="AI259" s="226"/>
      <c r="AJ259" s="226"/>
      <c r="AK259" s="226"/>
      <c r="AL259" s="475">
        <f t="shared" si="130"/>
        <v>900</v>
      </c>
      <c r="AM259" s="475">
        <f t="shared" si="131"/>
        <v>900</v>
      </c>
      <c r="AN259" s="525"/>
      <c r="AQ259" s="225"/>
      <c r="AR259" s="225"/>
      <c r="AS259" s="226"/>
      <c r="AU259" s="1447" t="s">
        <v>631</v>
      </c>
      <c r="AV259" s="528"/>
      <c r="AW259" s="321"/>
      <c r="AY259" s="226"/>
      <c r="AZ259" s="226"/>
      <c r="BA259" s="285"/>
      <c r="BC259" s="321"/>
      <c r="BD259" s="321"/>
      <c r="BE259" s="322"/>
    </row>
    <row r="260" spans="1:57" s="224" customFormat="1" ht="52.5" customHeight="1">
      <c r="A260" s="364"/>
      <c r="B260" s="547" t="s">
        <v>2315</v>
      </c>
      <c r="C260" s="519"/>
      <c r="D260" s="519"/>
      <c r="E260" s="519"/>
      <c r="F260" s="519"/>
      <c r="G260" s="1132" t="s">
        <v>395</v>
      </c>
      <c r="H260" s="521">
        <v>2020</v>
      </c>
      <c r="I260" s="521"/>
      <c r="J260" s="521">
        <v>2022</v>
      </c>
      <c r="K260" s="521"/>
      <c r="L260" s="521"/>
      <c r="M260" s="549" t="s">
        <v>2448</v>
      </c>
      <c r="N260" s="1364">
        <v>8500</v>
      </c>
      <c r="O260" s="522"/>
      <c r="P260" s="1364">
        <v>4800</v>
      </c>
      <c r="Q260" s="523"/>
      <c r="R260" s="523"/>
      <c r="S260" s="523"/>
      <c r="T260" s="467">
        <f t="shared" si="119"/>
        <v>1440</v>
      </c>
      <c r="U260" s="523"/>
      <c r="V260" s="523"/>
      <c r="W260" s="523"/>
      <c r="X260" s="523"/>
      <c r="Y260" s="523"/>
      <c r="Z260" s="245"/>
      <c r="AA260" s="226"/>
      <c r="AB260" s="226"/>
      <c r="AC260" s="226"/>
      <c r="AD260" s="290">
        <f t="shared" si="132"/>
        <v>1440</v>
      </c>
      <c r="AE260" s="524">
        <f t="shared" si="133"/>
        <v>1440</v>
      </c>
      <c r="AF260" s="226"/>
      <c r="AG260" s="226"/>
      <c r="AH260" s="226"/>
      <c r="AI260" s="226"/>
      <c r="AJ260" s="226"/>
      <c r="AK260" s="226"/>
      <c r="AL260" s="475">
        <f t="shared" si="130"/>
        <v>1440</v>
      </c>
      <c r="AM260" s="475">
        <f t="shared" si="131"/>
        <v>1440</v>
      </c>
      <c r="AN260" s="525"/>
      <c r="AQ260" s="225"/>
      <c r="AR260" s="225"/>
      <c r="AS260" s="226"/>
      <c r="AU260" s="1447" t="s">
        <v>671</v>
      </c>
      <c r="AV260" s="528"/>
      <c r="AW260" s="321"/>
      <c r="AY260" s="226"/>
      <c r="AZ260" s="226"/>
      <c r="BA260" s="285"/>
      <c r="BC260" s="321"/>
      <c r="BD260" s="321"/>
      <c r="BE260" s="322"/>
    </row>
    <row r="261" spans="1:57" s="224" customFormat="1" ht="52.5" customHeight="1">
      <c r="A261" s="364"/>
      <c r="B261" s="547" t="s">
        <v>2354</v>
      </c>
      <c r="C261" s="519"/>
      <c r="D261" s="519"/>
      <c r="E261" s="519"/>
      <c r="F261" s="519"/>
      <c r="G261" s="1132" t="s">
        <v>373</v>
      </c>
      <c r="H261" s="521">
        <v>2020</v>
      </c>
      <c r="I261" s="521"/>
      <c r="J261" s="521">
        <v>2022</v>
      </c>
      <c r="K261" s="521"/>
      <c r="L261" s="521"/>
      <c r="M261" s="549"/>
      <c r="N261" s="1364">
        <v>4500</v>
      </c>
      <c r="O261" s="522"/>
      <c r="P261" s="1364">
        <v>4500</v>
      </c>
      <c r="Q261" s="523"/>
      <c r="R261" s="523"/>
      <c r="S261" s="523"/>
      <c r="T261" s="467">
        <f t="shared" si="119"/>
        <v>1350</v>
      </c>
      <c r="U261" s="523"/>
      <c r="V261" s="523"/>
      <c r="W261" s="523"/>
      <c r="X261" s="523"/>
      <c r="Y261" s="523"/>
      <c r="Z261" s="245"/>
      <c r="AA261" s="226"/>
      <c r="AB261" s="226"/>
      <c r="AC261" s="226"/>
      <c r="AD261" s="290">
        <f t="shared" si="132"/>
        <v>1350</v>
      </c>
      <c r="AE261" s="524">
        <f t="shared" si="133"/>
        <v>1350</v>
      </c>
      <c r="AF261" s="226"/>
      <c r="AG261" s="226"/>
      <c r="AH261" s="226"/>
      <c r="AI261" s="226"/>
      <c r="AJ261" s="226"/>
      <c r="AK261" s="226"/>
      <c r="AL261" s="475">
        <f t="shared" si="130"/>
        <v>1350</v>
      </c>
      <c r="AM261" s="475">
        <f t="shared" si="131"/>
        <v>1350</v>
      </c>
      <c r="AN261" s="525"/>
      <c r="AQ261" s="225"/>
      <c r="AR261" s="225"/>
      <c r="AS261" s="226"/>
      <c r="AU261" s="1447" t="s">
        <v>2355</v>
      </c>
      <c r="AV261" s="528"/>
      <c r="AW261" s="321"/>
      <c r="AY261" s="226"/>
      <c r="AZ261" s="226"/>
      <c r="BA261" s="285"/>
      <c r="BC261" s="321"/>
      <c r="BD261" s="321"/>
      <c r="BE261" s="322"/>
    </row>
    <row r="262" spans="1:57" s="224" customFormat="1" ht="52.5" customHeight="1">
      <c r="A262" s="364"/>
      <c r="B262" s="547" t="s">
        <v>2359</v>
      </c>
      <c r="C262" s="519"/>
      <c r="D262" s="519"/>
      <c r="E262" s="519"/>
      <c r="F262" s="519"/>
      <c r="G262" s="500" t="s">
        <v>435</v>
      </c>
      <c r="H262" s="500">
        <v>2020</v>
      </c>
      <c r="I262" s="521"/>
      <c r="J262" s="521">
        <v>2022</v>
      </c>
      <c r="K262" s="521"/>
      <c r="L262" s="521"/>
      <c r="M262" s="549" t="s">
        <v>2478</v>
      </c>
      <c r="N262" s="1364">
        <v>5200</v>
      </c>
      <c r="O262" s="522"/>
      <c r="P262" s="1364">
        <v>5200</v>
      </c>
      <c r="Q262" s="523"/>
      <c r="R262" s="523"/>
      <c r="S262" s="523"/>
      <c r="T262" s="467">
        <f t="shared" si="119"/>
        <v>1560</v>
      </c>
      <c r="U262" s="523"/>
      <c r="V262" s="523"/>
      <c r="W262" s="523"/>
      <c r="X262" s="523"/>
      <c r="Y262" s="523"/>
      <c r="Z262" s="245"/>
      <c r="AA262" s="226"/>
      <c r="AB262" s="226"/>
      <c r="AC262" s="226"/>
      <c r="AD262" s="290">
        <f t="shared" ref="AD262" si="134">T262</f>
        <v>1560</v>
      </c>
      <c r="AE262" s="524">
        <f t="shared" ref="AE262" si="135">AD262</f>
        <v>1560</v>
      </c>
      <c r="AF262" s="226"/>
      <c r="AG262" s="226"/>
      <c r="AH262" s="226"/>
      <c r="AI262" s="226"/>
      <c r="AJ262" s="226"/>
      <c r="AK262" s="226"/>
      <c r="AL262" s="475">
        <f t="shared" ref="AL262" si="136">AD262</f>
        <v>1560</v>
      </c>
      <c r="AM262" s="475">
        <f t="shared" ref="AM262" si="137">AE262-AI262</f>
        <v>1560</v>
      </c>
      <c r="AN262" s="525"/>
      <c r="AQ262" s="225"/>
      <c r="AR262" s="225"/>
      <c r="AS262" s="226"/>
      <c r="AU262" s="1447" t="s">
        <v>2311</v>
      </c>
      <c r="AV262" s="528"/>
      <c r="AW262" s="321"/>
      <c r="AY262" s="226"/>
      <c r="AZ262" s="226"/>
      <c r="BA262" s="285"/>
      <c r="BC262" s="321"/>
      <c r="BD262" s="321"/>
      <c r="BE262" s="322"/>
    </row>
    <row r="263" spans="1:57" s="224" customFormat="1" ht="52.5" customHeight="1">
      <c r="A263" s="364"/>
      <c r="B263" s="1460" t="s">
        <v>2389</v>
      </c>
      <c r="C263" s="519"/>
      <c r="D263" s="519"/>
      <c r="E263" s="519"/>
      <c r="F263" s="519"/>
      <c r="G263" s="500" t="s">
        <v>435</v>
      </c>
      <c r="H263" s="500">
        <v>2020</v>
      </c>
      <c r="I263" s="521"/>
      <c r="J263" s="521">
        <v>2022</v>
      </c>
      <c r="K263" s="521"/>
      <c r="L263" s="521"/>
      <c r="M263" s="549" t="s">
        <v>2479</v>
      </c>
      <c r="N263" s="1364">
        <v>6500</v>
      </c>
      <c r="O263" s="522"/>
      <c r="P263" s="1364">
        <v>3900</v>
      </c>
      <c r="Q263" s="523"/>
      <c r="R263" s="523"/>
      <c r="S263" s="523"/>
      <c r="T263" s="467">
        <f t="shared" si="119"/>
        <v>1170</v>
      </c>
      <c r="U263" s="523"/>
      <c r="V263" s="523"/>
      <c r="W263" s="523"/>
      <c r="X263" s="523"/>
      <c r="Y263" s="523"/>
      <c r="Z263" s="245"/>
      <c r="AA263" s="226"/>
      <c r="AB263" s="226"/>
      <c r="AC263" s="226"/>
      <c r="AD263" s="290">
        <f t="shared" ref="AD263:AD264" si="138">T263</f>
        <v>1170</v>
      </c>
      <c r="AE263" s="524">
        <f t="shared" ref="AE263:AE264" si="139">AD263</f>
        <v>1170</v>
      </c>
      <c r="AF263" s="226"/>
      <c r="AG263" s="226"/>
      <c r="AH263" s="226"/>
      <c r="AI263" s="226"/>
      <c r="AJ263" s="226"/>
      <c r="AK263" s="226"/>
      <c r="AL263" s="475">
        <f t="shared" ref="AL263" si="140">AD263</f>
        <v>1170</v>
      </c>
      <c r="AM263" s="475">
        <f t="shared" ref="AM263" si="141">AE263-AI263</f>
        <v>1170</v>
      </c>
      <c r="AN263" s="525"/>
      <c r="AQ263" s="225"/>
      <c r="AR263" s="225"/>
      <c r="AS263" s="226"/>
      <c r="AU263" s="1447" t="s">
        <v>609</v>
      </c>
      <c r="AV263" s="528"/>
      <c r="AW263" s="321"/>
      <c r="AY263" s="226"/>
      <c r="AZ263" s="226"/>
      <c r="BA263" s="285"/>
      <c r="BC263" s="321"/>
      <c r="BD263" s="321"/>
      <c r="BE263" s="322"/>
    </row>
    <row r="264" spans="1:57" s="224" customFormat="1" ht="52.5" customHeight="1">
      <c r="A264" s="364"/>
      <c r="B264" s="1460" t="s">
        <v>2414</v>
      </c>
      <c r="C264" s="519"/>
      <c r="D264" s="519"/>
      <c r="E264" s="519"/>
      <c r="F264" s="519"/>
      <c r="G264" s="500" t="s">
        <v>333</v>
      </c>
      <c r="H264" s="500">
        <v>2020</v>
      </c>
      <c r="I264" s="521"/>
      <c r="J264" s="521">
        <v>2022</v>
      </c>
      <c r="K264" s="521"/>
      <c r="L264" s="521"/>
      <c r="M264" s="549" t="s">
        <v>2422</v>
      </c>
      <c r="N264" s="1364">
        <v>5000</v>
      </c>
      <c r="O264" s="522"/>
      <c r="P264" s="1364">
        <v>5000</v>
      </c>
      <c r="Q264" s="523"/>
      <c r="R264" s="523"/>
      <c r="S264" s="523"/>
      <c r="T264" s="467">
        <f t="shared" si="119"/>
        <v>1500</v>
      </c>
      <c r="U264" s="523"/>
      <c r="V264" s="523"/>
      <c r="W264" s="523"/>
      <c r="X264" s="523"/>
      <c r="Y264" s="523"/>
      <c r="Z264" s="245"/>
      <c r="AA264" s="226"/>
      <c r="AB264" s="226"/>
      <c r="AC264" s="226"/>
      <c r="AD264" s="290">
        <f t="shared" si="138"/>
        <v>1500</v>
      </c>
      <c r="AE264" s="524">
        <f t="shared" si="139"/>
        <v>1500</v>
      </c>
      <c r="AF264" s="226"/>
      <c r="AG264" s="226"/>
      <c r="AH264" s="226"/>
      <c r="AI264" s="226"/>
      <c r="AJ264" s="226"/>
      <c r="AK264" s="226"/>
      <c r="AL264" s="475">
        <f t="shared" ref="AL264" si="142">AD264</f>
        <v>1500</v>
      </c>
      <c r="AM264" s="475">
        <f t="shared" ref="AM264" si="143">AE264-AI264</f>
        <v>1500</v>
      </c>
      <c r="AN264" s="525"/>
      <c r="AQ264" s="225"/>
      <c r="AR264" s="225"/>
      <c r="AS264" s="226"/>
      <c r="AU264" s="1447" t="s">
        <v>2380</v>
      </c>
      <c r="AV264" s="528"/>
      <c r="AW264" s="321"/>
      <c r="AY264" s="226"/>
      <c r="AZ264" s="226"/>
      <c r="BA264" s="285"/>
      <c r="BC264" s="321"/>
      <c r="BD264" s="321"/>
      <c r="BE264" s="322"/>
    </row>
    <row r="265" spans="1:57" s="224" customFormat="1" ht="52.5" customHeight="1">
      <c r="A265" s="364"/>
      <c r="B265" s="547" t="s">
        <v>2544</v>
      </c>
      <c r="C265" s="519"/>
      <c r="D265" s="519"/>
      <c r="E265" s="519"/>
      <c r="F265" s="519"/>
      <c r="G265" s="500" t="s">
        <v>333</v>
      </c>
      <c r="H265" s="500">
        <v>2020</v>
      </c>
      <c r="I265" s="521"/>
      <c r="J265" s="521">
        <v>2022</v>
      </c>
      <c r="K265" s="521"/>
      <c r="L265" s="521"/>
      <c r="M265" s="549" t="s">
        <v>2480</v>
      </c>
      <c r="N265" s="1364">
        <v>5700</v>
      </c>
      <c r="O265" s="522"/>
      <c r="P265" s="1364">
        <v>5700</v>
      </c>
      <c r="Q265" s="523"/>
      <c r="R265" s="523"/>
      <c r="S265" s="523"/>
      <c r="T265" s="467">
        <f t="shared" si="119"/>
        <v>1710</v>
      </c>
      <c r="U265" s="523"/>
      <c r="V265" s="523"/>
      <c r="W265" s="523"/>
      <c r="X265" s="523"/>
      <c r="Y265" s="523"/>
      <c r="Z265" s="245"/>
      <c r="AA265" s="226"/>
      <c r="AB265" s="226"/>
      <c r="AC265" s="226"/>
      <c r="AD265" s="290">
        <v>700</v>
      </c>
      <c r="AE265" s="524">
        <f t="shared" ref="AE265" si="144">AD265</f>
        <v>700</v>
      </c>
      <c r="AF265" s="226"/>
      <c r="AG265" s="226"/>
      <c r="AH265" s="226"/>
      <c r="AI265" s="226"/>
      <c r="AJ265" s="226"/>
      <c r="AK265" s="226"/>
      <c r="AL265" s="475">
        <f t="shared" ref="AL265" si="145">AD265</f>
        <v>700</v>
      </c>
      <c r="AM265" s="475">
        <f t="shared" ref="AM265" si="146">AE265-AI265</f>
        <v>700</v>
      </c>
      <c r="AN265" s="525"/>
      <c r="AQ265" s="225"/>
      <c r="AR265" s="225"/>
      <c r="AS265" s="226"/>
      <c r="AU265" s="1447" t="s">
        <v>2509</v>
      </c>
      <c r="AV265" s="528"/>
      <c r="AW265" s="321"/>
      <c r="AY265" s="226"/>
      <c r="AZ265" s="226"/>
      <c r="BA265" s="285"/>
      <c r="BC265" s="321"/>
      <c r="BD265" s="321"/>
      <c r="BE265" s="322"/>
    </row>
    <row r="266" spans="1:57" s="224" customFormat="1" ht="52.5" customHeight="1">
      <c r="A266" s="364"/>
      <c r="B266" s="1460" t="s">
        <v>2393</v>
      </c>
      <c r="C266" s="519"/>
      <c r="D266" s="519"/>
      <c r="E266" s="519"/>
      <c r="F266" s="519"/>
      <c r="G266" s="500" t="s">
        <v>382</v>
      </c>
      <c r="H266" s="500">
        <v>2020</v>
      </c>
      <c r="I266" s="521"/>
      <c r="J266" s="521">
        <v>2022</v>
      </c>
      <c r="K266" s="521"/>
      <c r="L266" s="521"/>
      <c r="M266" s="549" t="s">
        <v>2444</v>
      </c>
      <c r="N266" s="1364">
        <v>4500</v>
      </c>
      <c r="O266" s="522"/>
      <c r="P266" s="1364">
        <f>4500*0.6</f>
        <v>2700</v>
      </c>
      <c r="Q266" s="523"/>
      <c r="R266" s="523"/>
      <c r="S266" s="523"/>
      <c r="T266" s="467">
        <f t="shared" si="119"/>
        <v>810</v>
      </c>
      <c r="U266" s="523"/>
      <c r="V266" s="523"/>
      <c r="W266" s="523"/>
      <c r="X266" s="523"/>
      <c r="Y266" s="523"/>
      <c r="Z266" s="245"/>
      <c r="AA266" s="226"/>
      <c r="AB266" s="226"/>
      <c r="AC266" s="226"/>
      <c r="AD266" s="290">
        <v>810</v>
      </c>
      <c r="AE266" s="524">
        <f t="shared" ref="AE266" si="147">AD266</f>
        <v>810</v>
      </c>
      <c r="AF266" s="226"/>
      <c r="AG266" s="226"/>
      <c r="AH266" s="226"/>
      <c r="AI266" s="226"/>
      <c r="AJ266" s="226"/>
      <c r="AK266" s="226"/>
      <c r="AL266" s="475"/>
      <c r="AM266" s="475"/>
      <c r="AN266" s="525"/>
      <c r="AQ266" s="225"/>
      <c r="AR266" s="225"/>
      <c r="AS266" s="226"/>
      <c r="AU266" s="1447" t="s">
        <v>1990</v>
      </c>
      <c r="AV266" s="528"/>
      <c r="AW266" s="321"/>
      <c r="AY266" s="226"/>
      <c r="AZ266" s="226"/>
      <c r="BA266" s="285"/>
      <c r="BC266" s="321"/>
      <c r="BD266" s="321"/>
      <c r="BE266" s="322"/>
    </row>
    <row r="267" spans="1:57" s="558" customFormat="1" ht="27" customHeight="1">
      <c r="A267" s="218" t="s">
        <v>181</v>
      </c>
      <c r="B267" s="219" t="s">
        <v>1085</v>
      </c>
      <c r="C267" s="218"/>
      <c r="D267" s="218"/>
      <c r="E267" s="218"/>
      <c r="F267" s="218"/>
      <c r="G267" s="218"/>
      <c r="H267" s="218"/>
      <c r="I267" s="218"/>
      <c r="J267" s="218"/>
      <c r="K267" s="218"/>
      <c r="L267" s="218"/>
      <c r="M267" s="218"/>
      <c r="N267" s="556">
        <f t="shared" ref="N267:U267" si="148">SUBTOTAL(109,N268:N305)</f>
        <v>188745</v>
      </c>
      <c r="O267" s="556">
        <f t="shared" si="148"/>
        <v>0</v>
      </c>
      <c r="P267" s="556">
        <f t="shared" si="148"/>
        <v>138231</v>
      </c>
      <c r="Q267" s="556">
        <f t="shared" si="148"/>
        <v>19931</v>
      </c>
      <c r="R267" s="556">
        <f t="shared" si="148"/>
        <v>0</v>
      </c>
      <c r="S267" s="556">
        <f t="shared" si="148"/>
        <v>9931</v>
      </c>
      <c r="T267" s="556">
        <f t="shared" si="148"/>
        <v>47326</v>
      </c>
      <c r="U267" s="556">
        <f t="shared" si="148"/>
        <v>36519.800000000003</v>
      </c>
      <c r="V267" s="556"/>
      <c r="W267" s="556">
        <v>16595.3</v>
      </c>
      <c r="X267" s="556"/>
      <c r="Y267" s="556"/>
      <c r="Z267" s="245">
        <f t="shared" si="85"/>
        <v>0</v>
      </c>
      <c r="AA267" s="556">
        <f>SUBTOTAL(109,AA268:AA305)</f>
        <v>38151</v>
      </c>
      <c r="AB267" s="556">
        <f>SUBTOTAL(109,AB268:AB305)</f>
        <v>18220</v>
      </c>
      <c r="AC267" s="556">
        <f>SUBTOTAL(109,AC268:AC305)</f>
        <v>28151</v>
      </c>
      <c r="AD267" s="556">
        <f>SUBTOTAL(109,AD268:AD305)</f>
        <v>90256</v>
      </c>
      <c r="AE267" s="556">
        <f>SUBTOTAL(109,AE268:AE305)</f>
        <v>61229.8</v>
      </c>
      <c r="AF267" s="556"/>
      <c r="AG267" s="556"/>
      <c r="AH267" s="556"/>
      <c r="AI267" s="556"/>
      <c r="AJ267" s="556"/>
      <c r="AK267" s="556"/>
      <c r="AL267" s="556"/>
      <c r="AM267" s="556"/>
      <c r="AN267" s="557"/>
      <c r="AQ267" s="559"/>
      <c r="AR267" s="559"/>
      <c r="AS267" s="560"/>
      <c r="AT267" s="224"/>
      <c r="AU267" s="560"/>
      <c r="AY267" s="560"/>
      <c r="AZ267" s="560"/>
      <c r="BA267" s="560"/>
    </row>
    <row r="268" spans="1:57" s="566" customFormat="1" ht="39.75" customHeight="1">
      <c r="A268" s="227" t="s">
        <v>33</v>
      </c>
      <c r="B268" s="228" t="s">
        <v>370</v>
      </c>
      <c r="C268" s="228"/>
      <c r="D268" s="228"/>
      <c r="E268" s="228"/>
      <c r="F268" s="228"/>
      <c r="G268" s="561"/>
      <c r="H268" s="562"/>
      <c r="I268" s="562"/>
      <c r="J268" s="562"/>
      <c r="K268" s="562"/>
      <c r="L268" s="562"/>
      <c r="M268" s="563"/>
      <c r="N268" s="564">
        <f>SUBTOTAL(109,N269:N270)</f>
        <v>40297</v>
      </c>
      <c r="O268" s="564">
        <f t="shared" ref="O268:AE268" si="149">SUBTOTAL(109,O269:O270)</f>
        <v>0</v>
      </c>
      <c r="P268" s="564">
        <f t="shared" si="149"/>
        <v>24894</v>
      </c>
      <c r="Q268" s="564">
        <f t="shared" si="149"/>
        <v>16771</v>
      </c>
      <c r="R268" s="564">
        <f t="shared" si="149"/>
        <v>0</v>
      </c>
      <c r="S268" s="564">
        <f t="shared" si="149"/>
        <v>6771</v>
      </c>
      <c r="T268" s="564">
        <f t="shared" si="149"/>
        <v>12049</v>
      </c>
      <c r="U268" s="564">
        <f t="shared" si="149"/>
        <v>4403</v>
      </c>
      <c r="V268" s="564">
        <f t="shared" si="149"/>
        <v>4403</v>
      </c>
      <c r="W268" s="564">
        <f t="shared" si="149"/>
        <v>4403</v>
      </c>
      <c r="X268" s="564"/>
      <c r="Y268" s="564">
        <f t="shared" si="149"/>
        <v>0</v>
      </c>
      <c r="Z268" s="564">
        <f t="shared" si="149"/>
        <v>4403</v>
      </c>
      <c r="AA268" s="564">
        <f t="shared" si="149"/>
        <v>21174</v>
      </c>
      <c r="AB268" s="564">
        <f t="shared" si="149"/>
        <v>4403</v>
      </c>
      <c r="AC268" s="564">
        <f t="shared" si="149"/>
        <v>11174</v>
      </c>
      <c r="AD268" s="564">
        <f t="shared" si="149"/>
        <v>12049</v>
      </c>
      <c r="AE268" s="564">
        <f t="shared" si="149"/>
        <v>0</v>
      </c>
      <c r="AF268" s="565"/>
      <c r="AG268" s="245"/>
      <c r="AH268" s="245"/>
      <c r="AI268" s="245"/>
      <c r="AJ268" s="245"/>
      <c r="AK268" s="245"/>
      <c r="AL268" s="245"/>
      <c r="AM268" s="245"/>
      <c r="AN268" s="262"/>
      <c r="AQ268" s="567"/>
      <c r="AR268" s="567"/>
      <c r="AS268" s="568"/>
      <c r="AT268" s="224"/>
      <c r="AU268" s="568"/>
      <c r="AY268" s="568"/>
      <c r="AZ268" s="568"/>
      <c r="BA268" s="568"/>
    </row>
    <row r="269" spans="1:57" s="572" customFormat="1" ht="25.5">
      <c r="A269" s="248">
        <v>1</v>
      </c>
      <c r="B269" s="569" t="s">
        <v>1086</v>
      </c>
      <c r="C269" s="569"/>
      <c r="D269" s="569"/>
      <c r="E269" s="569"/>
      <c r="F269" s="569"/>
      <c r="G269" s="570" t="s">
        <v>333</v>
      </c>
      <c r="H269" s="253">
        <v>2017</v>
      </c>
      <c r="I269" s="253"/>
      <c r="J269" s="253">
        <v>2018</v>
      </c>
      <c r="K269" s="253"/>
      <c r="L269" s="253"/>
      <c r="M269" s="571" t="s">
        <v>1087</v>
      </c>
      <c r="N269" s="337">
        <v>7049</v>
      </c>
      <c r="O269" s="337">
        <v>0</v>
      </c>
      <c r="P269" s="337">
        <v>7049</v>
      </c>
      <c r="Q269" s="337">
        <v>4000</v>
      </c>
      <c r="R269" s="337">
        <v>0</v>
      </c>
      <c r="S269" s="337">
        <v>4000</v>
      </c>
      <c r="T269" s="337">
        <v>7049</v>
      </c>
      <c r="U269" s="337">
        <v>3049</v>
      </c>
      <c r="V269" s="245">
        <v>3049</v>
      </c>
      <c r="W269" s="245">
        <v>3049</v>
      </c>
      <c r="X269" s="245">
        <v>100</v>
      </c>
      <c r="Y269" s="341"/>
      <c r="Z269" s="245">
        <f t="shared" si="85"/>
        <v>3049</v>
      </c>
      <c r="AA269" s="244">
        <f t="shared" ref="AA269:AC270" si="150">Q269+$Z269</f>
        <v>7049</v>
      </c>
      <c r="AB269" s="244">
        <f t="shared" si="150"/>
        <v>3049</v>
      </c>
      <c r="AC269" s="244">
        <f t="shared" si="150"/>
        <v>7049</v>
      </c>
      <c r="AD269" s="244">
        <f>T269</f>
        <v>7049</v>
      </c>
      <c r="AE269" s="244">
        <f>U269-Z269</f>
        <v>0</v>
      </c>
      <c r="AF269" s="341"/>
      <c r="AG269" s="245"/>
      <c r="AH269" s="245"/>
      <c r="AI269" s="245"/>
      <c r="AJ269" s="245"/>
      <c r="AK269" s="245"/>
      <c r="AL269" s="245"/>
      <c r="AM269" s="245"/>
      <c r="AN269" s="350"/>
      <c r="AQ269" s="349"/>
      <c r="AR269" s="349"/>
      <c r="AS269" s="350"/>
      <c r="AT269" s="224" t="s">
        <v>307</v>
      </c>
      <c r="AU269" s="350"/>
      <c r="AY269" s="350"/>
      <c r="AZ269" s="350"/>
      <c r="BA269" s="350"/>
    </row>
    <row r="270" spans="1:57" s="572" customFormat="1" ht="25.5">
      <c r="A270" s="248">
        <v>2</v>
      </c>
      <c r="B270" s="569" t="s">
        <v>1088</v>
      </c>
      <c r="C270" s="569"/>
      <c r="D270" s="569"/>
      <c r="E270" s="569"/>
      <c r="F270" s="569"/>
      <c r="G270" s="573" t="s">
        <v>378</v>
      </c>
      <c r="H270" s="253">
        <v>2015</v>
      </c>
      <c r="I270" s="253"/>
      <c r="J270" s="253">
        <v>2018</v>
      </c>
      <c r="K270" s="253"/>
      <c r="L270" s="253"/>
      <c r="M270" s="571" t="s">
        <v>1089</v>
      </c>
      <c r="N270" s="337">
        <v>33248</v>
      </c>
      <c r="O270" s="337">
        <v>0</v>
      </c>
      <c r="P270" s="337">
        <v>17845</v>
      </c>
      <c r="Q270" s="337">
        <v>12771</v>
      </c>
      <c r="R270" s="337">
        <v>0</v>
      </c>
      <c r="S270" s="337">
        <v>2771</v>
      </c>
      <c r="T270" s="337">
        <v>5000</v>
      </c>
      <c r="U270" s="337">
        <v>1354</v>
      </c>
      <c r="V270" s="245">
        <v>1354</v>
      </c>
      <c r="W270" s="245">
        <v>1354</v>
      </c>
      <c r="X270" s="245">
        <v>100</v>
      </c>
      <c r="Y270" s="341"/>
      <c r="Z270" s="245">
        <f t="shared" si="85"/>
        <v>1354</v>
      </c>
      <c r="AA270" s="244">
        <f t="shared" si="150"/>
        <v>14125</v>
      </c>
      <c r="AB270" s="244">
        <f t="shared" si="150"/>
        <v>1354</v>
      </c>
      <c r="AC270" s="244">
        <f t="shared" si="150"/>
        <v>4125</v>
      </c>
      <c r="AD270" s="244">
        <f>T270</f>
        <v>5000</v>
      </c>
      <c r="AE270" s="244">
        <f>U270-Z270</f>
        <v>0</v>
      </c>
      <c r="AF270" s="341"/>
      <c r="AG270" s="255"/>
      <c r="AH270" s="255"/>
      <c r="AI270" s="255"/>
      <c r="AJ270" s="255"/>
      <c r="AK270" s="255"/>
      <c r="AL270" s="255"/>
      <c r="AM270" s="255"/>
      <c r="AN270" s="574"/>
      <c r="AQ270" s="349"/>
      <c r="AR270" s="349"/>
      <c r="AS270" s="350"/>
      <c r="AT270" s="224" t="s">
        <v>307</v>
      </c>
      <c r="AU270" s="350"/>
      <c r="AY270" s="350"/>
      <c r="AZ270" s="350"/>
      <c r="BA270" s="350"/>
    </row>
    <row r="271" spans="1:57" s="578" customFormat="1" ht="36" customHeight="1">
      <c r="A271" s="227" t="s">
        <v>49</v>
      </c>
      <c r="B271" s="260" t="s">
        <v>1090</v>
      </c>
      <c r="C271" s="260"/>
      <c r="D271" s="260"/>
      <c r="E271" s="260"/>
      <c r="F271" s="260"/>
      <c r="G271" s="575"/>
      <c r="H271" s="242"/>
      <c r="I271" s="242"/>
      <c r="J271" s="242"/>
      <c r="K271" s="242"/>
      <c r="L271" s="242"/>
      <c r="M271" s="576"/>
      <c r="N271" s="564">
        <f t="shared" ref="N271:AE271" si="151">SUBTOTAL(109,N272:N273)</f>
        <v>11675</v>
      </c>
      <c r="O271" s="564">
        <f t="shared" si="151"/>
        <v>0</v>
      </c>
      <c r="P271" s="564">
        <f t="shared" si="151"/>
        <v>11675</v>
      </c>
      <c r="Q271" s="564">
        <f t="shared" si="151"/>
        <v>3000</v>
      </c>
      <c r="R271" s="564">
        <f t="shared" si="151"/>
        <v>0</v>
      </c>
      <c r="S271" s="564">
        <f t="shared" si="151"/>
        <v>3000</v>
      </c>
      <c r="T271" s="564">
        <f t="shared" si="151"/>
        <v>10551</v>
      </c>
      <c r="U271" s="564">
        <f t="shared" si="151"/>
        <v>7551</v>
      </c>
      <c r="V271" s="564">
        <f t="shared" si="151"/>
        <v>3776</v>
      </c>
      <c r="W271" s="564">
        <f t="shared" si="151"/>
        <v>3775.5</v>
      </c>
      <c r="X271" s="564"/>
      <c r="Y271" s="564">
        <f t="shared" si="151"/>
        <v>1625</v>
      </c>
      <c r="Z271" s="564">
        <f t="shared" si="151"/>
        <v>5401</v>
      </c>
      <c r="AA271" s="564">
        <f t="shared" si="151"/>
        <v>8401</v>
      </c>
      <c r="AB271" s="564">
        <f t="shared" si="151"/>
        <v>5401</v>
      </c>
      <c r="AC271" s="564">
        <f t="shared" si="151"/>
        <v>8401</v>
      </c>
      <c r="AD271" s="564">
        <f t="shared" si="151"/>
        <v>10551</v>
      </c>
      <c r="AE271" s="564">
        <f t="shared" si="151"/>
        <v>2150</v>
      </c>
      <c r="AF271" s="565"/>
      <c r="AG271" s="245"/>
      <c r="AH271" s="245"/>
      <c r="AI271" s="245"/>
      <c r="AJ271" s="245"/>
      <c r="AK271" s="245"/>
      <c r="AL271" s="245"/>
      <c r="AM271" s="245"/>
      <c r="AN271" s="577"/>
      <c r="AQ271" s="579"/>
      <c r="AR271" s="579"/>
      <c r="AS271" s="577"/>
      <c r="AT271" s="224" t="s">
        <v>307</v>
      </c>
      <c r="AU271" s="577"/>
      <c r="AY271" s="577"/>
      <c r="AZ271" s="577"/>
      <c r="BA271" s="577"/>
    </row>
    <row r="272" spans="1:57" s="578" customFormat="1" ht="63.75">
      <c r="A272" s="237">
        <v>1</v>
      </c>
      <c r="B272" s="580" t="s">
        <v>1091</v>
      </c>
      <c r="C272" s="580"/>
      <c r="D272" s="580"/>
      <c r="E272" s="580"/>
      <c r="F272" s="580"/>
      <c r="G272" s="575" t="s">
        <v>341</v>
      </c>
      <c r="H272" s="242">
        <v>2017</v>
      </c>
      <c r="I272" s="242"/>
      <c r="J272" s="242">
        <v>2019</v>
      </c>
      <c r="K272" s="242"/>
      <c r="L272" s="242"/>
      <c r="M272" s="581" t="s">
        <v>1092</v>
      </c>
      <c r="N272" s="582">
        <v>6612</v>
      </c>
      <c r="O272" s="582">
        <v>0</v>
      </c>
      <c r="P272" s="582">
        <v>6612</v>
      </c>
      <c r="Q272" s="582">
        <v>1650</v>
      </c>
      <c r="R272" s="582">
        <v>0</v>
      </c>
      <c r="S272" s="582">
        <v>1650</v>
      </c>
      <c r="T272" s="582">
        <v>5951</v>
      </c>
      <c r="U272" s="582">
        <v>4301</v>
      </c>
      <c r="V272" s="245">
        <v>2151</v>
      </c>
      <c r="W272" s="245">
        <v>2150.5</v>
      </c>
      <c r="X272" s="245">
        <v>50</v>
      </c>
      <c r="Y272" s="583"/>
      <c r="Z272" s="245">
        <f t="shared" si="85"/>
        <v>2151</v>
      </c>
      <c r="AA272" s="244">
        <f t="shared" ref="AA272:AC273" si="152">Q272+$Z272</f>
        <v>3801</v>
      </c>
      <c r="AB272" s="244">
        <f t="shared" si="152"/>
        <v>2151</v>
      </c>
      <c r="AC272" s="244">
        <f t="shared" si="152"/>
        <v>3801</v>
      </c>
      <c r="AD272" s="244">
        <f>T272</f>
        <v>5951</v>
      </c>
      <c r="AE272" s="244">
        <f>U272-Z272</f>
        <v>2150</v>
      </c>
      <c r="AF272" s="245">
        <v>2150</v>
      </c>
      <c r="AG272" s="245">
        <f t="shared" ref="AG272" si="153">AF272/AE272*100</f>
        <v>100</v>
      </c>
      <c r="AH272" s="245"/>
      <c r="AI272" s="245">
        <f t="shared" ref="AI272" si="154">AF272+AH272</f>
        <v>2150</v>
      </c>
      <c r="AJ272" s="245">
        <f t="shared" ref="AJ272" si="155">AA272+AI272</f>
        <v>5951</v>
      </c>
      <c r="AK272" s="245">
        <f t="shared" ref="AK272" si="156">AC272+AI272</f>
        <v>5951</v>
      </c>
      <c r="AL272" s="245">
        <f>T272</f>
        <v>5951</v>
      </c>
      <c r="AM272" s="245">
        <f t="shared" ref="AM272" si="157">AE272-AF272</f>
        <v>0</v>
      </c>
      <c r="AN272" s="577"/>
      <c r="AQ272" s="579" t="s">
        <v>515</v>
      </c>
      <c r="AR272" s="579"/>
      <c r="AS272" s="577"/>
      <c r="AT272" s="224" t="s">
        <v>307</v>
      </c>
      <c r="AU272" s="372" t="s">
        <v>1093</v>
      </c>
      <c r="AY272" s="577"/>
      <c r="AZ272" s="577"/>
      <c r="BA272" s="577"/>
    </row>
    <row r="273" spans="1:53" s="578" customFormat="1" ht="51.75" customHeight="1">
      <c r="A273" s="237">
        <v>2</v>
      </c>
      <c r="B273" s="238" t="s">
        <v>1094</v>
      </c>
      <c r="C273" s="238"/>
      <c r="D273" s="238"/>
      <c r="E273" s="238"/>
      <c r="F273" s="238"/>
      <c r="G273" s="575" t="s">
        <v>341</v>
      </c>
      <c r="H273" s="242">
        <v>2017</v>
      </c>
      <c r="I273" s="242"/>
      <c r="J273" s="242">
        <v>2019</v>
      </c>
      <c r="K273" s="242"/>
      <c r="L273" s="242"/>
      <c r="M273" s="576" t="s">
        <v>1095</v>
      </c>
      <c r="N273" s="582">
        <v>5063</v>
      </c>
      <c r="O273" s="582">
        <v>0</v>
      </c>
      <c r="P273" s="582">
        <v>5063</v>
      </c>
      <c r="Q273" s="582">
        <v>1350</v>
      </c>
      <c r="R273" s="582">
        <v>0</v>
      </c>
      <c r="S273" s="582">
        <v>1350</v>
      </c>
      <c r="T273" s="582">
        <v>4600</v>
      </c>
      <c r="U273" s="582">
        <v>3250</v>
      </c>
      <c r="V273" s="245">
        <v>1625</v>
      </c>
      <c r="W273" s="245">
        <v>1625</v>
      </c>
      <c r="X273" s="245">
        <v>50</v>
      </c>
      <c r="Y273" s="245">
        <v>1625</v>
      </c>
      <c r="Z273" s="245">
        <f t="shared" si="85"/>
        <v>3250</v>
      </c>
      <c r="AA273" s="244">
        <f t="shared" si="152"/>
        <v>4600</v>
      </c>
      <c r="AB273" s="244">
        <f t="shared" si="152"/>
        <v>3250</v>
      </c>
      <c r="AC273" s="244">
        <f t="shared" si="152"/>
        <v>4600</v>
      </c>
      <c r="AD273" s="244">
        <f>T273</f>
        <v>4600</v>
      </c>
      <c r="AE273" s="244">
        <f>U273-Z273</f>
        <v>0</v>
      </c>
      <c r="AF273" s="583"/>
      <c r="AG273" s="245"/>
      <c r="AH273" s="245"/>
      <c r="AI273" s="245"/>
      <c r="AJ273" s="245"/>
      <c r="AK273" s="245"/>
      <c r="AL273" s="245"/>
      <c r="AM273" s="245"/>
      <c r="AN273" s="577"/>
      <c r="AQ273" s="579"/>
      <c r="AR273" s="579"/>
      <c r="AS273" s="577"/>
      <c r="AT273" s="224" t="s">
        <v>307</v>
      </c>
      <c r="AY273" s="577"/>
      <c r="AZ273" s="577"/>
      <c r="BA273" s="577"/>
    </row>
    <row r="274" spans="1:53" s="566" customFormat="1" ht="34.5" customHeight="1">
      <c r="A274" s="227" t="s">
        <v>181</v>
      </c>
      <c r="B274" s="260" t="s">
        <v>336</v>
      </c>
      <c r="C274" s="260"/>
      <c r="D274" s="260"/>
      <c r="E274" s="260"/>
      <c r="F274" s="260"/>
      <c r="G274" s="561"/>
      <c r="H274" s="232"/>
      <c r="I274" s="232"/>
      <c r="J274" s="232"/>
      <c r="K274" s="232"/>
      <c r="L274" s="232"/>
      <c r="M274" s="584"/>
      <c r="N274" s="564">
        <f>SUBTOTAL(109,N275:N280)</f>
        <v>34391</v>
      </c>
      <c r="O274" s="564">
        <f t="shared" ref="O274:AE274" si="158">SUBTOTAL(109,O275:O280)</f>
        <v>0</v>
      </c>
      <c r="P274" s="564">
        <f t="shared" si="158"/>
        <v>27362</v>
      </c>
      <c r="Q274" s="564">
        <f t="shared" si="158"/>
        <v>160</v>
      </c>
      <c r="R274" s="564">
        <f t="shared" si="158"/>
        <v>0</v>
      </c>
      <c r="S274" s="564">
        <f t="shared" si="158"/>
        <v>160</v>
      </c>
      <c r="T274" s="564">
        <f t="shared" si="158"/>
        <v>24726</v>
      </c>
      <c r="U274" s="564">
        <f t="shared" si="158"/>
        <v>24565.8</v>
      </c>
      <c r="V274" s="564">
        <f t="shared" si="158"/>
        <v>8416</v>
      </c>
      <c r="W274" s="564">
        <f t="shared" si="158"/>
        <v>8416.7999999999993</v>
      </c>
      <c r="X274" s="564"/>
      <c r="Y274" s="564">
        <f t="shared" si="158"/>
        <v>0</v>
      </c>
      <c r="Z274" s="564">
        <f t="shared" si="158"/>
        <v>8416</v>
      </c>
      <c r="AA274" s="564">
        <f t="shared" si="158"/>
        <v>8576</v>
      </c>
      <c r="AB274" s="564">
        <f t="shared" si="158"/>
        <v>8416</v>
      </c>
      <c r="AC274" s="564">
        <f t="shared" si="158"/>
        <v>8576</v>
      </c>
      <c r="AD274" s="564">
        <f t="shared" si="158"/>
        <v>24726</v>
      </c>
      <c r="AE274" s="564">
        <f t="shared" si="158"/>
        <v>16149.8</v>
      </c>
      <c r="AF274" s="565"/>
      <c r="AG274" s="245"/>
      <c r="AH274" s="245"/>
      <c r="AI274" s="245"/>
      <c r="AJ274" s="245"/>
      <c r="AK274" s="245"/>
      <c r="AL274" s="245"/>
      <c r="AM274" s="245"/>
      <c r="AN274" s="568"/>
      <c r="AQ274" s="567"/>
      <c r="AR274" s="567"/>
      <c r="AS274" s="568"/>
      <c r="AT274" s="224" t="s">
        <v>307</v>
      </c>
      <c r="AY274" s="568"/>
      <c r="AZ274" s="568"/>
      <c r="BA274" s="568"/>
    </row>
    <row r="275" spans="1:53" s="578" customFormat="1" ht="48" customHeight="1">
      <c r="A275" s="237">
        <v>1</v>
      </c>
      <c r="B275" s="585" t="s">
        <v>1096</v>
      </c>
      <c r="C275" s="585"/>
      <c r="D275" s="585"/>
      <c r="E275" s="585"/>
      <c r="F275" s="585"/>
      <c r="G275" s="575" t="s">
        <v>333</v>
      </c>
      <c r="H275" s="242">
        <v>2018</v>
      </c>
      <c r="I275" s="242"/>
      <c r="J275" s="242">
        <v>2020</v>
      </c>
      <c r="K275" s="242"/>
      <c r="L275" s="242"/>
      <c r="M275" s="292" t="s">
        <v>1097</v>
      </c>
      <c r="N275" s="582">
        <v>4200</v>
      </c>
      <c r="O275" s="582">
        <v>0</v>
      </c>
      <c r="P275" s="582">
        <v>4200</v>
      </c>
      <c r="Q275" s="582">
        <v>40</v>
      </c>
      <c r="R275" s="582"/>
      <c r="S275" s="582">
        <v>40</v>
      </c>
      <c r="T275" s="582">
        <v>3780</v>
      </c>
      <c r="U275" s="582">
        <f>T275-Q275</f>
        <v>3740</v>
      </c>
      <c r="V275" s="245">
        <v>1122</v>
      </c>
      <c r="W275" s="245">
        <v>1122</v>
      </c>
      <c r="X275" s="245">
        <v>30</v>
      </c>
      <c r="Y275" s="583"/>
      <c r="Z275" s="245">
        <f t="shared" si="85"/>
        <v>1122</v>
      </c>
      <c r="AA275" s="244">
        <f t="shared" ref="AA275:AC280" si="159">Q275+$Z275</f>
        <v>1162</v>
      </c>
      <c r="AB275" s="244">
        <f t="shared" si="159"/>
        <v>1122</v>
      </c>
      <c r="AC275" s="244">
        <f t="shared" si="159"/>
        <v>1162</v>
      </c>
      <c r="AD275" s="244">
        <f t="shared" ref="AD275:AD280" si="160">T275</f>
        <v>3780</v>
      </c>
      <c r="AE275" s="244">
        <f t="shared" ref="AE275:AE280" si="161">U275-Z275</f>
        <v>2618</v>
      </c>
      <c r="AF275" s="245">
        <v>1309</v>
      </c>
      <c r="AG275" s="245">
        <f t="shared" ref="AG275:AG278" si="162">AF275/AE275*100</f>
        <v>50</v>
      </c>
      <c r="AH275" s="245"/>
      <c r="AI275" s="245">
        <f t="shared" ref="AI275:AI280" si="163">AF275+AH275</f>
        <v>1309</v>
      </c>
      <c r="AJ275" s="245">
        <f t="shared" ref="AJ275:AJ278" si="164">AA275+AI275</f>
        <v>2471</v>
      </c>
      <c r="AK275" s="245">
        <f t="shared" ref="AK275:AK278" si="165">AC275+AI275</f>
        <v>2471</v>
      </c>
      <c r="AL275" s="245">
        <f>T275</f>
        <v>3780</v>
      </c>
      <c r="AM275" s="245">
        <f t="shared" ref="AM275:AM278" si="166">AE275-AI275</f>
        <v>1309</v>
      </c>
      <c r="AN275" s="586" t="s">
        <v>1098</v>
      </c>
      <c r="AQ275" s="579" t="s">
        <v>1052</v>
      </c>
      <c r="AR275" s="579"/>
      <c r="AS275" s="577"/>
      <c r="AT275" s="224"/>
      <c r="AU275" s="372" t="s">
        <v>1099</v>
      </c>
      <c r="AY275" s="577"/>
      <c r="AZ275" s="577"/>
      <c r="BA275" s="577"/>
    </row>
    <row r="276" spans="1:53" s="578" customFormat="1" ht="45" customHeight="1">
      <c r="A276" s="237">
        <v>2</v>
      </c>
      <c r="B276" s="587" t="s">
        <v>1100</v>
      </c>
      <c r="C276" s="587"/>
      <c r="D276" s="587"/>
      <c r="E276" s="587"/>
      <c r="F276" s="587"/>
      <c r="G276" s="575" t="s">
        <v>395</v>
      </c>
      <c r="H276" s="242">
        <v>2018</v>
      </c>
      <c r="I276" s="242"/>
      <c r="J276" s="242">
        <v>2020</v>
      </c>
      <c r="K276" s="242"/>
      <c r="L276" s="242"/>
      <c r="M276" s="243" t="s">
        <v>2338</v>
      </c>
      <c r="N276" s="582">
        <v>5000</v>
      </c>
      <c r="O276" s="582">
        <v>0</v>
      </c>
      <c r="P276" s="582">
        <v>5000</v>
      </c>
      <c r="Q276" s="582">
        <v>60</v>
      </c>
      <c r="R276" s="582">
        <v>0</v>
      </c>
      <c r="S276" s="582">
        <v>60</v>
      </c>
      <c r="T276" s="582">
        <v>4500</v>
      </c>
      <c r="U276" s="582">
        <f>T276-Q276</f>
        <v>4440</v>
      </c>
      <c r="V276" s="245">
        <v>1332</v>
      </c>
      <c r="W276" s="245">
        <v>1332</v>
      </c>
      <c r="X276" s="245">
        <v>30</v>
      </c>
      <c r="Y276" s="583"/>
      <c r="Z276" s="245">
        <f t="shared" si="85"/>
        <v>1332</v>
      </c>
      <c r="AA276" s="244">
        <f t="shared" si="159"/>
        <v>1392</v>
      </c>
      <c r="AB276" s="244">
        <f t="shared" si="159"/>
        <v>1332</v>
      </c>
      <c r="AC276" s="244">
        <f t="shared" si="159"/>
        <v>1392</v>
      </c>
      <c r="AD276" s="244">
        <f t="shared" si="160"/>
        <v>4500</v>
      </c>
      <c r="AE276" s="244">
        <f t="shared" si="161"/>
        <v>3108</v>
      </c>
      <c r="AF276" s="245">
        <v>1554</v>
      </c>
      <c r="AG276" s="245">
        <f t="shared" si="162"/>
        <v>50</v>
      </c>
      <c r="AH276" s="245"/>
      <c r="AI276" s="245">
        <f t="shared" si="163"/>
        <v>1554</v>
      </c>
      <c r="AJ276" s="245">
        <f t="shared" si="164"/>
        <v>2946</v>
      </c>
      <c r="AK276" s="245">
        <f t="shared" si="165"/>
        <v>2946</v>
      </c>
      <c r="AL276" s="245">
        <f>T276</f>
        <v>4500</v>
      </c>
      <c r="AM276" s="245">
        <f t="shared" si="166"/>
        <v>1554</v>
      </c>
      <c r="AN276" s="577"/>
      <c r="AO276" s="578" t="s">
        <v>1101</v>
      </c>
      <c r="AQ276" s="579" t="s">
        <v>792</v>
      </c>
      <c r="AR276" s="579"/>
      <c r="AS276" s="577"/>
      <c r="AT276" s="224"/>
      <c r="AU276" s="372" t="s">
        <v>1102</v>
      </c>
      <c r="AY276" s="577"/>
      <c r="AZ276" s="577"/>
      <c r="BA276" s="577"/>
    </row>
    <row r="277" spans="1:53" s="591" customFormat="1" ht="36" hidden="1" customHeight="1">
      <c r="A277" s="364">
        <v>3</v>
      </c>
      <c r="B277" s="588" t="s">
        <v>1103</v>
      </c>
      <c r="C277" s="588"/>
      <c r="D277" s="588"/>
      <c r="E277" s="588"/>
      <c r="F277" s="588"/>
      <c r="G277" s="589" t="s">
        <v>435</v>
      </c>
      <c r="H277" s="368">
        <v>2018</v>
      </c>
      <c r="I277" s="368"/>
      <c r="J277" s="368">
        <v>2020</v>
      </c>
      <c r="K277" s="368"/>
      <c r="L277" s="368"/>
      <c r="M277" s="590"/>
      <c r="N277" s="352"/>
      <c r="O277" s="352"/>
      <c r="P277" s="352"/>
      <c r="Q277" s="352"/>
      <c r="R277" s="352"/>
      <c r="S277" s="352"/>
      <c r="T277" s="352"/>
      <c r="U277" s="582">
        <f>T277-Q277</f>
        <v>0</v>
      </c>
      <c r="V277" s="245" t="e">
        <v>#N/A</v>
      </c>
      <c r="W277" s="245" t="e">
        <v>#N/A</v>
      </c>
      <c r="X277" s="245" t="e">
        <v>#N/A</v>
      </c>
      <c r="Y277" s="369"/>
      <c r="Z277" s="245" t="e">
        <f t="shared" si="85"/>
        <v>#N/A</v>
      </c>
      <c r="AA277" s="244" t="e">
        <f t="shared" si="159"/>
        <v>#N/A</v>
      </c>
      <c r="AB277" s="244" t="e">
        <f t="shared" si="159"/>
        <v>#N/A</v>
      </c>
      <c r="AC277" s="244" t="e">
        <f t="shared" si="159"/>
        <v>#N/A</v>
      </c>
      <c r="AD277" s="244">
        <f t="shared" si="160"/>
        <v>0</v>
      </c>
      <c r="AE277" s="244" t="e">
        <f t="shared" si="161"/>
        <v>#N/A</v>
      </c>
      <c r="AF277" s="245" t="e">
        <v>#N/A</v>
      </c>
      <c r="AG277" s="245" t="e">
        <f t="shared" si="162"/>
        <v>#N/A</v>
      </c>
      <c r="AH277" s="245"/>
      <c r="AI277" s="245" t="e">
        <f t="shared" si="163"/>
        <v>#N/A</v>
      </c>
      <c r="AJ277" s="245" t="e">
        <f t="shared" si="164"/>
        <v>#N/A</v>
      </c>
      <c r="AK277" s="245" t="e">
        <f t="shared" si="165"/>
        <v>#N/A</v>
      </c>
      <c r="AL277" s="245">
        <f>T277</f>
        <v>0</v>
      </c>
      <c r="AM277" s="245" t="e">
        <f t="shared" si="166"/>
        <v>#N/A</v>
      </c>
      <c r="AN277" s="588" t="s">
        <v>1104</v>
      </c>
      <c r="AQ277" s="381"/>
      <c r="AR277" s="381"/>
      <c r="AS277" s="382"/>
      <c r="AT277" s="224" t="s">
        <v>307</v>
      </c>
      <c r="AY277" s="382"/>
      <c r="AZ277" s="382"/>
      <c r="BA277" s="382"/>
    </row>
    <row r="278" spans="1:53" s="578" customFormat="1" ht="44.25" customHeight="1">
      <c r="A278" s="237">
        <v>4</v>
      </c>
      <c r="B278" s="592" t="s">
        <v>1105</v>
      </c>
      <c r="C278" s="592"/>
      <c r="D278" s="592"/>
      <c r="E278" s="592"/>
      <c r="F278" s="592"/>
      <c r="G278" s="575" t="s">
        <v>378</v>
      </c>
      <c r="H278" s="242">
        <v>2018</v>
      </c>
      <c r="I278" s="242"/>
      <c r="J278" s="242">
        <v>2020</v>
      </c>
      <c r="K278" s="242"/>
      <c r="L278" s="242"/>
      <c r="M278" s="243" t="s">
        <v>1106</v>
      </c>
      <c r="N278" s="582">
        <v>5500</v>
      </c>
      <c r="O278" s="582">
        <v>0</v>
      </c>
      <c r="P278" s="582">
        <v>5500</v>
      </c>
      <c r="Q278" s="582">
        <v>60</v>
      </c>
      <c r="R278" s="582">
        <v>0</v>
      </c>
      <c r="S278" s="582">
        <v>60</v>
      </c>
      <c r="T278" s="582">
        <v>4950</v>
      </c>
      <c r="U278" s="582">
        <f>T278-Q278</f>
        <v>4890</v>
      </c>
      <c r="V278" s="245">
        <v>1467</v>
      </c>
      <c r="W278" s="245">
        <v>1467</v>
      </c>
      <c r="X278" s="245">
        <v>30</v>
      </c>
      <c r="Y278" s="583"/>
      <c r="Z278" s="245">
        <f t="shared" si="85"/>
        <v>1467</v>
      </c>
      <c r="AA278" s="244">
        <f t="shared" si="159"/>
        <v>1527</v>
      </c>
      <c r="AB278" s="244">
        <f t="shared" si="159"/>
        <v>1467</v>
      </c>
      <c r="AC278" s="244">
        <f t="shared" si="159"/>
        <v>1527</v>
      </c>
      <c r="AD278" s="244">
        <f t="shared" si="160"/>
        <v>4950</v>
      </c>
      <c r="AE278" s="244">
        <f t="shared" si="161"/>
        <v>3423</v>
      </c>
      <c r="AF278" s="245">
        <v>1712</v>
      </c>
      <c r="AG278" s="245">
        <f t="shared" si="162"/>
        <v>50.014607069821793</v>
      </c>
      <c r="AH278" s="245"/>
      <c r="AI278" s="245">
        <f t="shared" si="163"/>
        <v>1712</v>
      </c>
      <c r="AJ278" s="245">
        <f t="shared" si="164"/>
        <v>3239</v>
      </c>
      <c r="AK278" s="245">
        <f t="shared" si="165"/>
        <v>3239</v>
      </c>
      <c r="AL278" s="245">
        <f>T278</f>
        <v>4950</v>
      </c>
      <c r="AM278" s="245">
        <f t="shared" si="166"/>
        <v>1711</v>
      </c>
      <c r="AN278" s="586" t="s">
        <v>1098</v>
      </c>
      <c r="AQ278" s="579" t="s">
        <v>675</v>
      </c>
      <c r="AR278" s="579"/>
      <c r="AS278" s="577"/>
      <c r="AT278" s="224"/>
      <c r="AU278" s="372" t="s">
        <v>1107</v>
      </c>
      <c r="AY278" s="577"/>
      <c r="AZ278" s="577"/>
      <c r="BA278" s="577"/>
    </row>
    <row r="279" spans="1:53" ht="25.5">
      <c r="A279" s="268">
        <v>5</v>
      </c>
      <c r="B279" s="592" t="s">
        <v>1108</v>
      </c>
      <c r="C279" s="593"/>
      <c r="D279" s="593"/>
      <c r="E279" s="593"/>
      <c r="F279" s="593"/>
      <c r="G279" s="268" t="s">
        <v>401</v>
      </c>
      <c r="H279" s="272">
        <v>2018</v>
      </c>
      <c r="I279" s="272"/>
      <c r="J279" s="273">
        <v>2020</v>
      </c>
      <c r="K279" s="273"/>
      <c r="L279" s="273"/>
      <c r="M279" s="576" t="s">
        <v>1109</v>
      </c>
      <c r="N279" s="594">
        <v>1662</v>
      </c>
      <c r="O279" s="594"/>
      <c r="P279" s="594">
        <v>1662</v>
      </c>
      <c r="Q279" s="594"/>
      <c r="R279" s="594"/>
      <c r="S279" s="594"/>
      <c r="T279" s="594">
        <v>1496</v>
      </c>
      <c r="U279" s="594">
        <f>P279*0.9</f>
        <v>1495.8</v>
      </c>
      <c r="V279" s="245">
        <v>1495</v>
      </c>
      <c r="W279" s="245">
        <v>1495.8</v>
      </c>
      <c r="X279" s="245">
        <v>100</v>
      </c>
      <c r="Y279" s="583"/>
      <c r="Z279" s="245">
        <f t="shared" si="85"/>
        <v>1495</v>
      </c>
      <c r="AA279" s="244">
        <f t="shared" si="159"/>
        <v>1495</v>
      </c>
      <c r="AB279" s="244">
        <f t="shared" si="159"/>
        <v>1495</v>
      </c>
      <c r="AC279" s="244">
        <f t="shared" si="159"/>
        <v>1495</v>
      </c>
      <c r="AD279" s="244">
        <f t="shared" si="160"/>
        <v>1496</v>
      </c>
      <c r="AE279" s="244">
        <f t="shared" si="161"/>
        <v>0.79999999999995453</v>
      </c>
      <c r="AF279" s="245"/>
      <c r="AG279" s="245"/>
      <c r="AH279" s="245"/>
      <c r="AI279" s="245">
        <f t="shared" si="163"/>
        <v>0</v>
      </c>
      <c r="AJ279" s="245"/>
      <c r="AK279" s="245"/>
      <c r="AL279" s="245"/>
      <c r="AM279" s="245"/>
      <c r="AN279" s="595"/>
      <c r="AQ279" s="215"/>
      <c r="AR279" s="215"/>
      <c r="AS279" s="216"/>
      <c r="AT279" s="224"/>
      <c r="AY279" s="216"/>
      <c r="AZ279" s="216"/>
      <c r="BA279" s="216"/>
    </row>
    <row r="280" spans="1:53" ht="47.25">
      <c r="A280" s="268">
        <v>6</v>
      </c>
      <c r="B280" s="592" t="s">
        <v>1110</v>
      </c>
      <c r="C280" s="270"/>
      <c r="D280" s="270"/>
      <c r="E280" s="270"/>
      <c r="F280" s="270"/>
      <c r="G280" s="271" t="s">
        <v>382</v>
      </c>
      <c r="H280" s="272">
        <v>2018</v>
      </c>
      <c r="I280" s="272"/>
      <c r="J280" s="273">
        <v>2020</v>
      </c>
      <c r="K280" s="273"/>
      <c r="L280" s="273"/>
      <c r="M280" s="596" t="s">
        <v>1111</v>
      </c>
      <c r="N280" s="277">
        <v>18029</v>
      </c>
      <c r="O280" s="277"/>
      <c r="P280" s="594">
        <v>11000</v>
      </c>
      <c r="Q280" s="277"/>
      <c r="R280" s="277"/>
      <c r="S280" s="277"/>
      <c r="T280" s="277">
        <v>10000</v>
      </c>
      <c r="U280" s="277">
        <v>10000</v>
      </c>
      <c r="V280" s="245">
        <v>3000</v>
      </c>
      <c r="W280" s="245">
        <v>3000</v>
      </c>
      <c r="X280" s="245">
        <v>30</v>
      </c>
      <c r="Y280" s="583"/>
      <c r="Z280" s="245">
        <f t="shared" si="85"/>
        <v>3000</v>
      </c>
      <c r="AA280" s="244">
        <f t="shared" si="159"/>
        <v>3000</v>
      </c>
      <c r="AB280" s="244">
        <f t="shared" si="159"/>
        <v>3000</v>
      </c>
      <c r="AC280" s="244">
        <f t="shared" si="159"/>
        <v>3000</v>
      </c>
      <c r="AD280" s="244">
        <f t="shared" si="160"/>
        <v>10000</v>
      </c>
      <c r="AE280" s="244">
        <f t="shared" si="161"/>
        <v>7000</v>
      </c>
      <c r="AF280" s="245">
        <v>3500</v>
      </c>
      <c r="AG280" s="245">
        <f t="shared" ref="AG280" si="167">AF280/AE280*100</f>
        <v>50</v>
      </c>
      <c r="AH280" s="245"/>
      <c r="AI280" s="245">
        <f t="shared" si="163"/>
        <v>3500</v>
      </c>
      <c r="AJ280" s="245">
        <f t="shared" ref="AJ280" si="168">AA280+AI280</f>
        <v>6500</v>
      </c>
      <c r="AK280" s="245">
        <f t="shared" ref="AK280" si="169">AC280+AI280</f>
        <v>6500</v>
      </c>
      <c r="AL280" s="245">
        <f>T280</f>
        <v>10000</v>
      </c>
      <c r="AM280" s="245">
        <f t="shared" ref="AM280" si="170">AE280-AI280</f>
        <v>3500</v>
      </c>
      <c r="AN280" s="586" t="s">
        <v>1098</v>
      </c>
      <c r="AQ280" s="215" t="s">
        <v>590</v>
      </c>
      <c r="AR280" s="215"/>
      <c r="AS280" s="216"/>
      <c r="AT280" s="224"/>
      <c r="AU280" s="372" t="s">
        <v>1112</v>
      </c>
      <c r="AY280" s="216"/>
      <c r="AZ280" s="216"/>
      <c r="BA280" s="216"/>
    </row>
    <row r="281" spans="1:53" ht="25.5" customHeight="1">
      <c r="A281" s="278" t="s">
        <v>137</v>
      </c>
      <c r="B281" s="279" t="s">
        <v>1113</v>
      </c>
      <c r="C281" s="279"/>
      <c r="D281" s="279"/>
      <c r="E281" s="279"/>
      <c r="F281" s="279"/>
      <c r="G281" s="280"/>
      <c r="H281" s="280"/>
      <c r="I281" s="280"/>
      <c r="J281" s="280"/>
      <c r="K281" s="280"/>
      <c r="L281" s="280"/>
      <c r="M281" s="280"/>
      <c r="N281" s="597">
        <f t="shared" ref="N281:AC281" si="171">SUBTOTAL(109,N282:N294)</f>
        <v>58382</v>
      </c>
      <c r="O281" s="597">
        <f t="shared" si="171"/>
        <v>0</v>
      </c>
      <c r="P281" s="597">
        <f t="shared" si="171"/>
        <v>46800</v>
      </c>
      <c r="Q281" s="597">
        <f t="shared" si="171"/>
        <v>0</v>
      </c>
      <c r="R281" s="597">
        <f t="shared" si="171"/>
        <v>0</v>
      </c>
      <c r="S281" s="597">
        <f t="shared" si="171"/>
        <v>0</v>
      </c>
      <c r="T281" s="597">
        <f t="shared" si="171"/>
        <v>0</v>
      </c>
      <c r="U281" s="597">
        <f t="shared" si="171"/>
        <v>0</v>
      </c>
      <c r="V281" s="597">
        <f t="shared" si="171"/>
        <v>0</v>
      </c>
      <c r="W281" s="597">
        <f t="shared" si="171"/>
        <v>0</v>
      </c>
      <c r="X281" s="597">
        <f t="shared" si="171"/>
        <v>0</v>
      </c>
      <c r="Y281" s="597">
        <f t="shared" si="171"/>
        <v>0</v>
      </c>
      <c r="Z281" s="597">
        <f t="shared" si="171"/>
        <v>0</v>
      </c>
      <c r="AA281" s="597">
        <f t="shared" si="171"/>
        <v>0</v>
      </c>
      <c r="AB281" s="597">
        <f t="shared" si="171"/>
        <v>0</v>
      </c>
      <c r="AC281" s="597">
        <f t="shared" si="171"/>
        <v>0</v>
      </c>
      <c r="AD281" s="597">
        <f>SUBTOTAL(109,AD282:AD294)</f>
        <v>34680</v>
      </c>
      <c r="AE281" s="597">
        <f>SUBTOTAL(109,AE282:AE294)</f>
        <v>34680</v>
      </c>
      <c r="AF281" s="597"/>
      <c r="AG281" s="598"/>
      <c r="AH281" s="598"/>
      <c r="AI281" s="598"/>
      <c r="AJ281" s="598"/>
      <c r="AK281" s="598"/>
      <c r="AL281" s="598"/>
      <c r="AM281" s="598"/>
      <c r="AN281" s="599"/>
      <c r="AQ281" s="215"/>
      <c r="AR281" s="215"/>
      <c r="AS281" s="216"/>
      <c r="AT281" s="224"/>
      <c r="AU281" s="598"/>
      <c r="AV281" s="226"/>
      <c r="AW281" s="284"/>
      <c r="AY281" s="226"/>
      <c r="AZ281" s="226"/>
      <c r="BA281" s="285"/>
    </row>
    <row r="282" spans="1:53" s="483" customFormat="1" ht="32.25" customHeight="1">
      <c r="A282" s="433" t="s">
        <v>36</v>
      </c>
      <c r="B282" s="600" t="s">
        <v>812</v>
      </c>
      <c r="C282" s="600"/>
      <c r="D282" s="600"/>
      <c r="E282" s="600"/>
      <c r="F282" s="600"/>
      <c r="G282" s="481"/>
      <c r="H282" s="481"/>
      <c r="I282" s="481"/>
      <c r="J282" s="481"/>
      <c r="K282" s="481"/>
      <c r="L282" s="481"/>
      <c r="M282" s="481"/>
      <c r="N282" s="601"/>
      <c r="O282" s="601"/>
      <c r="P282" s="601"/>
      <c r="Q282" s="601"/>
      <c r="R282" s="601"/>
      <c r="S282" s="601"/>
      <c r="T282" s="601"/>
      <c r="U282" s="601"/>
      <c r="V282" s="601"/>
      <c r="W282" s="601"/>
      <c r="X282" s="601"/>
      <c r="Y282" s="601"/>
      <c r="Z282" s="602"/>
      <c r="AA282" s="601"/>
      <c r="AB282" s="601"/>
      <c r="AC282" s="601"/>
      <c r="AD282" s="601"/>
      <c r="AE282" s="601"/>
      <c r="AF282" s="601"/>
      <c r="AG282" s="603"/>
      <c r="AH282" s="603"/>
      <c r="AI282" s="603"/>
      <c r="AJ282" s="603"/>
      <c r="AK282" s="603"/>
      <c r="AL282" s="603"/>
      <c r="AM282" s="603"/>
      <c r="AN282" s="604"/>
      <c r="AQ282" s="484"/>
      <c r="AR282" s="484"/>
      <c r="AS282" s="485"/>
      <c r="AT282" s="224"/>
      <c r="AU282" s="603"/>
      <c r="AV282" s="486"/>
      <c r="AW282" s="294"/>
      <c r="AY282" s="486"/>
      <c r="AZ282" s="486"/>
      <c r="BA282" s="488"/>
    </row>
    <row r="283" spans="1:53" ht="102">
      <c r="A283" s="286">
        <v>1</v>
      </c>
      <c r="B283" s="391" t="s">
        <v>1114</v>
      </c>
      <c r="C283" s="391"/>
      <c r="D283" s="391"/>
      <c r="E283" s="391"/>
      <c r="F283" s="391"/>
      <c r="G283" s="392" t="s">
        <v>382</v>
      </c>
      <c r="H283" s="253">
        <v>2018</v>
      </c>
      <c r="I283" s="253"/>
      <c r="J283" s="253">
        <v>2020</v>
      </c>
      <c r="K283" s="253"/>
      <c r="L283" s="253"/>
      <c r="M283" s="288" t="s">
        <v>1115</v>
      </c>
      <c r="N283" s="389">
        <v>3982</v>
      </c>
      <c r="O283" s="389"/>
      <c r="P283" s="389">
        <v>3000</v>
      </c>
      <c r="Q283" s="389"/>
      <c r="R283" s="389"/>
      <c r="S283" s="389"/>
      <c r="T283" s="389"/>
      <c r="U283" s="389"/>
      <c r="V283" s="389"/>
      <c r="W283" s="389"/>
      <c r="X283" s="389"/>
      <c r="Y283" s="389"/>
      <c r="Z283" s="245">
        <f>V283+Y283</f>
        <v>0</v>
      </c>
      <c r="AA283" s="389"/>
      <c r="AB283" s="389"/>
      <c r="AC283" s="389"/>
      <c r="AD283" s="605">
        <f>P283</f>
        <v>3000</v>
      </c>
      <c r="AE283" s="524">
        <f>AD283</f>
        <v>3000</v>
      </c>
      <c r="AF283" s="245">
        <v>1500</v>
      </c>
      <c r="AG283" s="245">
        <f t="shared" ref="AG283:AG289" si="172">AF283/AE283*100</f>
        <v>50</v>
      </c>
      <c r="AH283" s="245"/>
      <c r="AI283" s="245">
        <f t="shared" ref="AI283:AI289" si="173">AF283+AH283</f>
        <v>1500</v>
      </c>
      <c r="AJ283" s="245">
        <f t="shared" ref="AJ283:AJ289" si="174">AA283+AI283</f>
        <v>1500</v>
      </c>
      <c r="AK283" s="245">
        <f t="shared" ref="AK283:AK289" si="175">AC283+AI283</f>
        <v>1500</v>
      </c>
      <c r="AL283" s="245">
        <f t="shared" ref="AL283:AL294" si="176">AD283</f>
        <v>3000</v>
      </c>
      <c r="AM283" s="245">
        <f t="shared" ref="AM283:AM294" si="177">AE283-AI283</f>
        <v>1500</v>
      </c>
      <c r="AN283" s="606" t="s">
        <v>1116</v>
      </c>
      <c r="AQ283" s="215" t="s">
        <v>1117</v>
      </c>
      <c r="AR283" s="215"/>
      <c r="AS283" s="216"/>
      <c r="AT283" s="224"/>
      <c r="AU283" s="607" t="s">
        <v>1118</v>
      </c>
      <c r="AV283" s="607" t="s">
        <v>1013</v>
      </c>
      <c r="AW283" s="461" t="s">
        <v>1119</v>
      </c>
      <c r="AY283" s="226"/>
      <c r="AZ283" s="226"/>
      <c r="BA283" s="285"/>
    </row>
    <row r="284" spans="1:53" s="224" customFormat="1" ht="51">
      <c r="A284" s="608">
        <v>2</v>
      </c>
      <c r="B284" s="609" t="s">
        <v>1120</v>
      </c>
      <c r="C284" s="609"/>
      <c r="D284" s="609"/>
      <c r="E284" s="609"/>
      <c r="F284" s="609"/>
      <c r="G284" s="520" t="s">
        <v>373</v>
      </c>
      <c r="H284" s="368">
        <v>2019</v>
      </c>
      <c r="I284" s="368"/>
      <c r="J284" s="368">
        <v>2021</v>
      </c>
      <c r="K284" s="368"/>
      <c r="L284" s="368"/>
      <c r="M284" s="610" t="s">
        <v>1121</v>
      </c>
      <c r="N284" s="611">
        <v>5000</v>
      </c>
      <c r="O284" s="611"/>
      <c r="P284" s="611">
        <v>5000</v>
      </c>
      <c r="Q284" s="611"/>
      <c r="R284" s="611"/>
      <c r="S284" s="611"/>
      <c r="T284" s="611"/>
      <c r="U284" s="611"/>
      <c r="V284" s="611"/>
      <c r="W284" s="611"/>
      <c r="X284" s="611"/>
      <c r="Y284" s="611"/>
      <c r="Z284" s="373">
        <f t="shared" ref="Z284:Z361" si="178">V284+Y284</f>
        <v>0</v>
      </c>
      <c r="AA284" s="611"/>
      <c r="AB284" s="611"/>
      <c r="AC284" s="611"/>
      <c r="AD284" s="605">
        <f>P284*0.6</f>
        <v>3000</v>
      </c>
      <c r="AE284" s="524">
        <f>AD284</f>
        <v>3000</v>
      </c>
      <c r="AF284" s="245">
        <v>1500</v>
      </c>
      <c r="AG284" s="245">
        <f t="shared" si="172"/>
        <v>50</v>
      </c>
      <c r="AH284" s="459"/>
      <c r="AI284" s="245">
        <f t="shared" si="173"/>
        <v>1500</v>
      </c>
      <c r="AJ284" s="245">
        <f t="shared" si="174"/>
        <v>1500</v>
      </c>
      <c r="AK284" s="245">
        <f t="shared" si="175"/>
        <v>1500</v>
      </c>
      <c r="AL284" s="245">
        <f t="shared" si="176"/>
        <v>3000</v>
      </c>
      <c r="AM284" s="245">
        <f t="shared" si="177"/>
        <v>1500</v>
      </c>
      <c r="AN284" s="1667"/>
      <c r="AQ284" s="225" t="s">
        <v>696</v>
      </c>
      <c r="AR284" s="225"/>
      <c r="AS284" s="226"/>
      <c r="AU284" s="612" t="s">
        <v>1120</v>
      </c>
      <c r="AV284" s="612" t="s">
        <v>1013</v>
      </c>
      <c r="AW284" s="461" t="s">
        <v>1122</v>
      </c>
      <c r="AY284" s="226"/>
      <c r="AZ284" s="226"/>
      <c r="BA284" s="285"/>
    </row>
    <row r="285" spans="1:53" s="224" customFormat="1" ht="51">
      <c r="A285" s="608">
        <v>3</v>
      </c>
      <c r="B285" s="609" t="s">
        <v>1123</v>
      </c>
      <c r="C285" s="609"/>
      <c r="D285" s="609"/>
      <c r="E285" s="609"/>
      <c r="F285" s="609"/>
      <c r="G285" s="520" t="s">
        <v>435</v>
      </c>
      <c r="H285" s="368">
        <v>2019</v>
      </c>
      <c r="I285" s="368"/>
      <c r="J285" s="368">
        <v>2021</v>
      </c>
      <c r="K285" s="368"/>
      <c r="L285" s="368"/>
      <c r="M285" s="610" t="s">
        <v>1124</v>
      </c>
      <c r="N285" s="611">
        <v>3000</v>
      </c>
      <c r="O285" s="611"/>
      <c r="P285" s="611">
        <v>1800</v>
      </c>
      <c r="Q285" s="611"/>
      <c r="R285" s="611"/>
      <c r="S285" s="611"/>
      <c r="T285" s="611"/>
      <c r="U285" s="611"/>
      <c r="V285" s="611"/>
      <c r="W285" s="611"/>
      <c r="X285" s="611"/>
      <c r="Y285" s="611"/>
      <c r="Z285" s="373">
        <f t="shared" si="178"/>
        <v>0</v>
      </c>
      <c r="AA285" s="605"/>
      <c r="AB285" s="605"/>
      <c r="AC285" s="605"/>
      <c r="AD285" s="605">
        <v>1800</v>
      </c>
      <c r="AE285" s="605">
        <v>1800</v>
      </c>
      <c r="AF285" s="245">
        <v>900</v>
      </c>
      <c r="AG285" s="245">
        <f t="shared" si="172"/>
        <v>50</v>
      </c>
      <c r="AH285" s="613"/>
      <c r="AI285" s="245">
        <f t="shared" si="173"/>
        <v>900</v>
      </c>
      <c r="AJ285" s="245">
        <f t="shared" si="174"/>
        <v>900</v>
      </c>
      <c r="AK285" s="245">
        <f t="shared" si="175"/>
        <v>900</v>
      </c>
      <c r="AL285" s="245">
        <f t="shared" si="176"/>
        <v>1800</v>
      </c>
      <c r="AM285" s="245">
        <f t="shared" si="177"/>
        <v>900</v>
      </c>
      <c r="AN285" s="1668"/>
      <c r="AQ285" s="225" t="s">
        <v>993</v>
      </c>
      <c r="AR285" s="225"/>
      <c r="AS285" s="226" t="s">
        <v>496</v>
      </c>
      <c r="AT285" s="224" t="s">
        <v>307</v>
      </c>
      <c r="AU285" s="612" t="s">
        <v>994</v>
      </c>
      <c r="AV285" s="612" t="s">
        <v>1013</v>
      </c>
      <c r="AW285" s="461" t="s">
        <v>1125</v>
      </c>
      <c r="AY285" s="226"/>
      <c r="AZ285" s="226"/>
      <c r="BA285" s="285"/>
    </row>
    <row r="286" spans="1:53" s="224" customFormat="1" ht="51">
      <c r="A286" s="608">
        <v>4</v>
      </c>
      <c r="B286" s="609" t="s">
        <v>1126</v>
      </c>
      <c r="C286" s="609"/>
      <c r="D286" s="609"/>
      <c r="E286" s="609"/>
      <c r="F286" s="609"/>
      <c r="G286" s="520" t="s">
        <v>382</v>
      </c>
      <c r="H286" s="368">
        <v>2019</v>
      </c>
      <c r="I286" s="368"/>
      <c r="J286" s="368">
        <v>2021</v>
      </c>
      <c r="K286" s="368"/>
      <c r="L286" s="368"/>
      <c r="M286" s="610" t="s">
        <v>1127</v>
      </c>
      <c r="N286" s="611">
        <v>3000</v>
      </c>
      <c r="O286" s="611"/>
      <c r="P286" s="605">
        <f>N286</f>
        <v>3000</v>
      </c>
      <c r="Q286" s="605"/>
      <c r="R286" s="605"/>
      <c r="S286" s="605"/>
      <c r="T286" s="605"/>
      <c r="U286" s="605"/>
      <c r="V286" s="605"/>
      <c r="W286" s="605"/>
      <c r="X286" s="605"/>
      <c r="Y286" s="605"/>
      <c r="Z286" s="373">
        <f t="shared" si="178"/>
        <v>0</v>
      </c>
      <c r="AA286" s="605"/>
      <c r="AB286" s="605"/>
      <c r="AC286" s="605"/>
      <c r="AD286" s="605">
        <f>P286*0.6</f>
        <v>1800</v>
      </c>
      <c r="AE286" s="524">
        <f>AD286</f>
        <v>1800</v>
      </c>
      <c r="AF286" s="245">
        <v>900</v>
      </c>
      <c r="AG286" s="245">
        <f t="shared" si="172"/>
        <v>50</v>
      </c>
      <c r="AH286" s="318"/>
      <c r="AI286" s="245">
        <f t="shared" si="173"/>
        <v>900</v>
      </c>
      <c r="AJ286" s="245">
        <f t="shared" si="174"/>
        <v>900</v>
      </c>
      <c r="AK286" s="245">
        <f t="shared" si="175"/>
        <v>900</v>
      </c>
      <c r="AL286" s="245">
        <f t="shared" si="176"/>
        <v>1800</v>
      </c>
      <c r="AM286" s="245">
        <f t="shared" si="177"/>
        <v>900</v>
      </c>
      <c r="AN286" s="1669"/>
      <c r="AQ286" s="225" t="s">
        <v>595</v>
      </c>
      <c r="AR286" s="225"/>
      <c r="AS286" s="226"/>
      <c r="AU286" s="612" t="s">
        <v>1128</v>
      </c>
      <c r="AV286" s="612" t="s">
        <v>1013</v>
      </c>
      <c r="AW286" s="461" t="s">
        <v>1129</v>
      </c>
      <c r="AY286" s="226"/>
      <c r="AZ286" s="226"/>
      <c r="BA286" s="285"/>
    </row>
    <row r="287" spans="1:53" s="224" customFormat="1" ht="51">
      <c r="A287" s="614">
        <v>5</v>
      </c>
      <c r="B287" s="609" t="s">
        <v>1130</v>
      </c>
      <c r="C287" s="609"/>
      <c r="D287" s="609"/>
      <c r="E287" s="609"/>
      <c r="F287" s="609"/>
      <c r="G287" s="520" t="s">
        <v>333</v>
      </c>
      <c r="H287" s="368">
        <v>2019</v>
      </c>
      <c r="I287" s="368"/>
      <c r="J287" s="368">
        <v>2021</v>
      </c>
      <c r="K287" s="368"/>
      <c r="L287" s="368"/>
      <c r="M287" s="615" t="s">
        <v>1131</v>
      </c>
      <c r="N287" s="611">
        <v>8600</v>
      </c>
      <c r="O287" s="611"/>
      <c r="P287" s="605">
        <v>8600</v>
      </c>
      <c r="Q287" s="605"/>
      <c r="R287" s="605"/>
      <c r="S287" s="605"/>
      <c r="T287" s="605"/>
      <c r="U287" s="605"/>
      <c r="V287" s="605"/>
      <c r="W287" s="605"/>
      <c r="X287" s="605"/>
      <c r="Y287" s="605"/>
      <c r="Z287" s="373">
        <f>V287+Y287</f>
        <v>0</v>
      </c>
      <c r="AA287" s="605"/>
      <c r="AB287" s="605"/>
      <c r="AC287" s="605"/>
      <c r="AD287" s="605">
        <f>P287*0.6</f>
        <v>5160</v>
      </c>
      <c r="AE287" s="524">
        <f>AD287</f>
        <v>5160</v>
      </c>
      <c r="AF287" s="245">
        <v>2580</v>
      </c>
      <c r="AG287" s="245">
        <f t="shared" si="172"/>
        <v>50</v>
      </c>
      <c r="AH287" s="245"/>
      <c r="AI287" s="245">
        <f t="shared" si="173"/>
        <v>2580</v>
      </c>
      <c r="AJ287" s="245">
        <f t="shared" si="174"/>
        <v>2580</v>
      </c>
      <c r="AK287" s="245">
        <f t="shared" si="175"/>
        <v>2580</v>
      </c>
      <c r="AL287" s="245">
        <f t="shared" si="176"/>
        <v>5160</v>
      </c>
      <c r="AM287" s="245">
        <f t="shared" si="177"/>
        <v>2580</v>
      </c>
      <c r="AN287" s="616" t="s">
        <v>1132</v>
      </c>
      <c r="AQ287" s="225" t="s">
        <v>576</v>
      </c>
      <c r="AR287" s="225"/>
      <c r="AS287" s="226"/>
      <c r="AT287" s="224" t="s">
        <v>307</v>
      </c>
      <c r="AU287" s="612" t="s">
        <v>1130</v>
      </c>
      <c r="AV287" s="612" t="s">
        <v>1013</v>
      </c>
      <c r="AW287" s="521" t="s">
        <v>1133</v>
      </c>
      <c r="AY287" s="226"/>
      <c r="AZ287" s="226"/>
      <c r="BA287" s="285"/>
    </row>
    <row r="288" spans="1:53" s="224" customFormat="1" ht="51">
      <c r="A288" s="614">
        <v>6</v>
      </c>
      <c r="B288" s="609" t="s">
        <v>1134</v>
      </c>
      <c r="C288" s="609"/>
      <c r="D288" s="609"/>
      <c r="E288" s="609"/>
      <c r="F288" s="609"/>
      <c r="G288" s="520" t="s">
        <v>401</v>
      </c>
      <c r="H288" s="368">
        <v>2019</v>
      </c>
      <c r="I288" s="368"/>
      <c r="J288" s="368">
        <v>2021</v>
      </c>
      <c r="K288" s="368"/>
      <c r="L288" s="368"/>
      <c r="M288" s="610" t="s">
        <v>1135</v>
      </c>
      <c r="N288" s="611">
        <v>5500</v>
      </c>
      <c r="O288" s="611"/>
      <c r="P288" s="605">
        <v>5500</v>
      </c>
      <c r="Q288" s="605"/>
      <c r="R288" s="605"/>
      <c r="S288" s="605"/>
      <c r="T288" s="605"/>
      <c r="U288" s="605"/>
      <c r="V288" s="605"/>
      <c r="W288" s="605"/>
      <c r="X288" s="605"/>
      <c r="Y288" s="605"/>
      <c r="Z288" s="373">
        <f>V288+Y288</f>
        <v>0</v>
      </c>
      <c r="AA288" s="605"/>
      <c r="AB288" s="605"/>
      <c r="AC288" s="605"/>
      <c r="AD288" s="605">
        <f>P288*0.6</f>
        <v>3300</v>
      </c>
      <c r="AE288" s="524">
        <f>AD288</f>
        <v>3300</v>
      </c>
      <c r="AF288" s="245">
        <v>1650</v>
      </c>
      <c r="AG288" s="245">
        <f t="shared" si="172"/>
        <v>50</v>
      </c>
      <c r="AH288" s="245"/>
      <c r="AI288" s="245">
        <f t="shared" si="173"/>
        <v>1650</v>
      </c>
      <c r="AJ288" s="245">
        <f t="shared" si="174"/>
        <v>1650</v>
      </c>
      <c r="AK288" s="245">
        <f t="shared" si="175"/>
        <v>1650</v>
      </c>
      <c r="AL288" s="245">
        <f t="shared" si="176"/>
        <v>3300</v>
      </c>
      <c r="AM288" s="245">
        <f t="shared" si="177"/>
        <v>1650</v>
      </c>
      <c r="AN288" s="616"/>
      <c r="AQ288" s="225" t="s">
        <v>546</v>
      </c>
      <c r="AR288" s="225"/>
      <c r="AS288" s="226"/>
      <c r="AU288" s="612" t="s">
        <v>1134</v>
      </c>
      <c r="AV288" s="612" t="s">
        <v>1013</v>
      </c>
      <c r="AW288" s="521" t="s">
        <v>1136</v>
      </c>
      <c r="AY288" s="226"/>
      <c r="AZ288" s="226"/>
      <c r="BA288" s="285"/>
    </row>
    <row r="289" spans="1:57" s="625" customFormat="1" ht="51">
      <c r="A289" s="617">
        <v>3</v>
      </c>
      <c r="B289" s="618" t="s">
        <v>1137</v>
      </c>
      <c r="C289" s="618"/>
      <c r="D289" s="618"/>
      <c r="E289" s="618"/>
      <c r="F289" s="618"/>
      <c r="G289" s="619" t="s">
        <v>435</v>
      </c>
      <c r="H289" s="620">
        <v>2018</v>
      </c>
      <c r="I289" s="620"/>
      <c r="J289" s="620">
        <v>2020</v>
      </c>
      <c r="K289" s="620"/>
      <c r="L289" s="620"/>
      <c r="M289" s="620" t="s">
        <v>1138</v>
      </c>
      <c r="N289" s="621">
        <v>14800</v>
      </c>
      <c r="O289" s="621"/>
      <c r="P289" s="621">
        <v>9800</v>
      </c>
      <c r="Q289" s="621"/>
      <c r="R289" s="621"/>
      <c r="S289" s="621"/>
      <c r="T289" s="621"/>
      <c r="U289" s="621"/>
      <c r="V289" s="621"/>
      <c r="W289" s="621"/>
      <c r="X289" s="621"/>
      <c r="Y289" s="621"/>
      <c r="Z289" s="622">
        <f>V289+Y289</f>
        <v>0</v>
      </c>
      <c r="AA289" s="621"/>
      <c r="AB289" s="621"/>
      <c r="AC289" s="621"/>
      <c r="AD289" s="623">
        <f>AE289</f>
        <v>9600</v>
      </c>
      <c r="AE289" s="623">
        <v>9600</v>
      </c>
      <c r="AF289" s="245">
        <v>4800</v>
      </c>
      <c r="AG289" s="245">
        <f t="shared" si="172"/>
        <v>50</v>
      </c>
      <c r="AH289" s="245"/>
      <c r="AI289" s="245">
        <f t="shared" si="173"/>
        <v>4800</v>
      </c>
      <c r="AJ289" s="245">
        <f t="shared" si="174"/>
        <v>4800</v>
      </c>
      <c r="AK289" s="245">
        <f t="shared" si="175"/>
        <v>4800</v>
      </c>
      <c r="AL289" s="245">
        <f t="shared" si="176"/>
        <v>9600</v>
      </c>
      <c r="AM289" s="245">
        <f t="shared" si="177"/>
        <v>4800</v>
      </c>
      <c r="AN289" s="624" t="s">
        <v>1139</v>
      </c>
      <c r="AO289" s="625" t="s">
        <v>1140</v>
      </c>
      <c r="AQ289" s="225" t="s">
        <v>1141</v>
      </c>
      <c r="AR289" s="380"/>
      <c r="AS289" s="626"/>
      <c r="AT289" s="224"/>
      <c r="AU289" s="627" t="s">
        <v>1142</v>
      </c>
      <c r="AV289" s="626" t="s">
        <v>1143</v>
      </c>
      <c r="AW289" s="620" t="s">
        <v>1144</v>
      </c>
      <c r="AY289" s="626"/>
      <c r="AZ289" s="626"/>
      <c r="BA289" s="628"/>
    </row>
    <row r="290" spans="1:57" ht="13.5">
      <c r="A290" s="629"/>
      <c r="B290" s="600" t="s">
        <v>898</v>
      </c>
      <c r="C290" s="402"/>
      <c r="D290" s="402"/>
      <c r="E290" s="402"/>
      <c r="F290" s="402"/>
      <c r="G290" s="403"/>
      <c r="H290" s="253"/>
      <c r="I290" s="253"/>
      <c r="J290" s="253"/>
      <c r="K290" s="253"/>
      <c r="L290" s="253"/>
      <c r="M290" s="397"/>
      <c r="N290" s="442"/>
      <c r="O290" s="442"/>
      <c r="P290" s="389"/>
      <c r="Q290" s="389"/>
      <c r="R290" s="389"/>
      <c r="S290" s="389"/>
      <c r="T290" s="389"/>
      <c r="U290" s="389"/>
      <c r="V290" s="389"/>
      <c r="W290" s="389"/>
      <c r="X290" s="389"/>
      <c r="Y290" s="389"/>
      <c r="Z290" s="245"/>
      <c r="AA290" s="389"/>
      <c r="AB290" s="389"/>
      <c r="AC290" s="389"/>
      <c r="AD290" s="389"/>
      <c r="AE290" s="254"/>
      <c r="AF290" s="389"/>
      <c r="AG290" s="288"/>
      <c r="AH290" s="288"/>
      <c r="AI290" s="288"/>
      <c r="AJ290" s="288"/>
      <c r="AK290" s="288"/>
      <c r="AL290" s="288"/>
      <c r="AM290" s="288"/>
      <c r="AN290" s="606"/>
      <c r="AQ290" s="215"/>
      <c r="AR290" s="215"/>
      <c r="AS290" s="216"/>
      <c r="AT290" s="224"/>
      <c r="AU290" s="607"/>
      <c r="AV290" s="607"/>
      <c r="AW290" s="521"/>
      <c r="AY290" s="226"/>
      <c r="AZ290" s="226"/>
      <c r="BA290" s="285"/>
    </row>
    <row r="291" spans="1:57" ht="51">
      <c r="A291" s="286">
        <v>1</v>
      </c>
      <c r="B291" s="630" t="s">
        <v>1145</v>
      </c>
      <c r="C291" s="630"/>
      <c r="D291" s="630"/>
      <c r="E291" s="630"/>
      <c r="F291" s="630"/>
      <c r="G291" s="631" t="s">
        <v>382</v>
      </c>
      <c r="H291" s="288">
        <v>2018</v>
      </c>
      <c r="I291" s="288"/>
      <c r="J291" s="288">
        <v>2020</v>
      </c>
      <c r="K291" s="288"/>
      <c r="L291" s="288"/>
      <c r="M291" s="288" t="s">
        <v>1146</v>
      </c>
      <c r="N291" s="496">
        <v>4000</v>
      </c>
      <c r="O291" s="496"/>
      <c r="P291" s="496">
        <v>2400</v>
      </c>
      <c r="Q291" s="496"/>
      <c r="R291" s="496"/>
      <c r="S291" s="496"/>
      <c r="T291" s="496"/>
      <c r="U291" s="496"/>
      <c r="V291" s="496"/>
      <c r="W291" s="496"/>
      <c r="X291" s="496"/>
      <c r="Y291" s="496"/>
      <c r="Z291" s="245">
        <f>V291+Y291</f>
        <v>0</v>
      </c>
      <c r="AA291" s="496"/>
      <c r="AB291" s="496"/>
      <c r="AC291" s="496"/>
      <c r="AD291" s="632">
        <f>P291*1</f>
        <v>2400</v>
      </c>
      <c r="AE291" s="632">
        <f>AD291</f>
        <v>2400</v>
      </c>
      <c r="AF291" s="245">
        <v>1200</v>
      </c>
      <c r="AG291" s="245">
        <f t="shared" ref="AG291:AG294" si="179">AF291/AE291*100</f>
        <v>50</v>
      </c>
      <c r="AH291" s="245"/>
      <c r="AI291" s="245">
        <f t="shared" ref="AI291:AI294" si="180">AF291+AH291</f>
        <v>1200</v>
      </c>
      <c r="AJ291" s="245">
        <f t="shared" ref="AJ291:AJ294" si="181">AA291+AI291</f>
        <v>1200</v>
      </c>
      <c r="AK291" s="245">
        <f t="shared" ref="AK291:AK294" si="182">AC291+AI291</f>
        <v>1200</v>
      </c>
      <c r="AL291" s="245">
        <f t="shared" si="176"/>
        <v>2400</v>
      </c>
      <c r="AM291" s="245">
        <f t="shared" si="177"/>
        <v>1200</v>
      </c>
      <c r="AN291" s="633" t="s">
        <v>1147</v>
      </c>
      <c r="AQ291" s="225" t="s">
        <v>767</v>
      </c>
      <c r="AR291" s="215"/>
      <c r="AS291" s="216"/>
      <c r="AT291" s="224" t="s">
        <v>307</v>
      </c>
      <c r="AU291" s="607" t="s">
        <v>768</v>
      </c>
      <c r="AV291" s="226"/>
      <c r="AW291" s="461" t="s">
        <v>1148</v>
      </c>
      <c r="AY291" s="226"/>
      <c r="AZ291" s="226"/>
      <c r="BA291" s="285"/>
    </row>
    <row r="292" spans="1:57" s="348" customFormat="1" ht="51">
      <c r="A292" s="248">
        <v>2</v>
      </c>
      <c r="B292" s="402" t="s">
        <v>1149</v>
      </c>
      <c r="C292" s="402"/>
      <c r="D292" s="402"/>
      <c r="E292" s="402"/>
      <c r="F292" s="402"/>
      <c r="G292" s="403" t="s">
        <v>395</v>
      </c>
      <c r="H292" s="634">
        <v>2019</v>
      </c>
      <c r="I292" s="634"/>
      <c r="J292" s="634">
        <v>2021</v>
      </c>
      <c r="K292" s="634"/>
      <c r="L292" s="634"/>
      <c r="M292" s="288" t="s">
        <v>1150</v>
      </c>
      <c r="N292" s="442">
        <v>3500</v>
      </c>
      <c r="O292" s="442"/>
      <c r="P292" s="442">
        <v>3500</v>
      </c>
      <c r="Q292" s="442"/>
      <c r="R292" s="442"/>
      <c r="S292" s="442"/>
      <c r="T292" s="442"/>
      <c r="U292" s="442"/>
      <c r="V292" s="442"/>
      <c r="W292" s="442"/>
      <c r="X292" s="442"/>
      <c r="Y292" s="442"/>
      <c r="Z292" s="245">
        <f>V292+Y292</f>
        <v>0</v>
      </c>
      <c r="AA292" s="635"/>
      <c r="AB292" s="635"/>
      <c r="AC292" s="635"/>
      <c r="AD292" s="632">
        <f>P292*0.6</f>
        <v>2100</v>
      </c>
      <c r="AE292" s="632">
        <f t="shared" ref="AE292:AE294" si="183">AD292</f>
        <v>2100</v>
      </c>
      <c r="AF292" s="245">
        <f>875+175</f>
        <v>1050</v>
      </c>
      <c r="AG292" s="245">
        <f t="shared" si="179"/>
        <v>50</v>
      </c>
      <c r="AH292" s="245"/>
      <c r="AI292" s="245">
        <f t="shared" si="180"/>
        <v>1050</v>
      </c>
      <c r="AJ292" s="245">
        <f t="shared" si="181"/>
        <v>1050</v>
      </c>
      <c r="AK292" s="245">
        <f t="shared" si="182"/>
        <v>1050</v>
      </c>
      <c r="AL292" s="245">
        <f t="shared" si="176"/>
        <v>2100</v>
      </c>
      <c r="AM292" s="245">
        <f t="shared" si="177"/>
        <v>1050</v>
      </c>
      <c r="AN292" s="606"/>
      <c r="AQ292" s="349" t="s">
        <v>792</v>
      </c>
      <c r="AR292" s="349"/>
      <c r="AS292" s="350"/>
      <c r="AT292" s="224"/>
      <c r="AU292" s="401" t="s">
        <v>1151</v>
      </c>
      <c r="AV292" s="607" t="s">
        <v>1152</v>
      </c>
      <c r="AW292" s="461"/>
      <c r="AX292" s="636"/>
      <c r="AY292" s="382"/>
      <c r="AZ292" s="382"/>
      <c r="BA292" s="637"/>
      <c r="BC292" s="350"/>
      <c r="BD292" s="350"/>
      <c r="BE292" s="638"/>
    </row>
    <row r="293" spans="1:57" ht="50.25" customHeight="1">
      <c r="A293" s="248">
        <v>3</v>
      </c>
      <c r="B293" s="464" t="s">
        <v>1153</v>
      </c>
      <c r="C293" s="464"/>
      <c r="D293" s="464"/>
      <c r="E293" s="464"/>
      <c r="F293" s="464"/>
      <c r="G293" s="465" t="s">
        <v>378</v>
      </c>
      <c r="H293" s="397">
        <v>2019</v>
      </c>
      <c r="I293" s="397"/>
      <c r="J293" s="397">
        <v>2021</v>
      </c>
      <c r="K293" s="397"/>
      <c r="L293" s="397"/>
      <c r="M293" s="397" t="s">
        <v>1154</v>
      </c>
      <c r="N293" s="467">
        <v>4000</v>
      </c>
      <c r="O293" s="467"/>
      <c r="P293" s="639">
        <f>N293*0.6</f>
        <v>2400</v>
      </c>
      <c r="Q293" s="639"/>
      <c r="R293" s="639"/>
      <c r="S293" s="639"/>
      <c r="T293" s="639"/>
      <c r="U293" s="639"/>
      <c r="V293" s="639"/>
      <c r="W293" s="639"/>
      <c r="X293" s="639"/>
      <c r="Y293" s="639"/>
      <c r="Z293" s="245">
        <f t="shared" si="178"/>
        <v>0</v>
      </c>
      <c r="AA293" s="639"/>
      <c r="AB293" s="639"/>
      <c r="AC293" s="639"/>
      <c r="AD293" s="632">
        <f>P293*0.6</f>
        <v>1440</v>
      </c>
      <c r="AE293" s="632">
        <f t="shared" si="183"/>
        <v>1440</v>
      </c>
      <c r="AF293" s="245">
        <v>720</v>
      </c>
      <c r="AG293" s="245">
        <f t="shared" si="179"/>
        <v>50</v>
      </c>
      <c r="AH293" s="245"/>
      <c r="AI293" s="245">
        <f t="shared" si="180"/>
        <v>720</v>
      </c>
      <c r="AJ293" s="245">
        <f t="shared" si="181"/>
        <v>720</v>
      </c>
      <c r="AK293" s="245">
        <f t="shared" si="182"/>
        <v>720</v>
      </c>
      <c r="AL293" s="245">
        <f t="shared" si="176"/>
        <v>1440</v>
      </c>
      <c r="AM293" s="245">
        <f t="shared" si="177"/>
        <v>720</v>
      </c>
      <c r="AN293" s="606" t="s">
        <v>1155</v>
      </c>
      <c r="AQ293" s="215" t="s">
        <v>550</v>
      </c>
      <c r="AR293" s="215"/>
      <c r="AS293" s="216"/>
      <c r="AT293" s="224" t="s">
        <v>307</v>
      </c>
      <c r="AU293" s="640" t="s">
        <v>551</v>
      </c>
      <c r="AV293" s="641" t="s">
        <v>1156</v>
      </c>
      <c r="AW293" s="521" t="s">
        <v>1157</v>
      </c>
      <c r="AY293" s="226"/>
      <c r="AZ293" s="226"/>
      <c r="BA293" s="285"/>
    </row>
    <row r="294" spans="1:57" ht="45" customHeight="1">
      <c r="A294" s="286">
        <v>4</v>
      </c>
      <c r="B294" s="293" t="s">
        <v>1158</v>
      </c>
      <c r="C294" s="293"/>
      <c r="D294" s="293"/>
      <c r="E294" s="293"/>
      <c r="F294" s="293"/>
      <c r="G294" s="397" t="s">
        <v>435</v>
      </c>
      <c r="H294" s="475">
        <v>2019</v>
      </c>
      <c r="I294" s="475"/>
      <c r="J294" s="475">
        <v>2021</v>
      </c>
      <c r="K294" s="475"/>
      <c r="L294" s="475"/>
      <c r="M294" s="397" t="s">
        <v>1159</v>
      </c>
      <c r="N294" s="642">
        <v>3000</v>
      </c>
      <c r="O294" s="642"/>
      <c r="P294" s="642">
        <v>1800</v>
      </c>
      <c r="Q294" s="642"/>
      <c r="R294" s="642"/>
      <c r="S294" s="642"/>
      <c r="T294" s="642"/>
      <c r="U294" s="642"/>
      <c r="V294" s="642"/>
      <c r="W294" s="642"/>
      <c r="X294" s="642"/>
      <c r="Y294" s="642"/>
      <c r="Z294" s="245">
        <f t="shared" si="178"/>
        <v>0</v>
      </c>
      <c r="AA294" s="642"/>
      <c r="AB294" s="642"/>
      <c r="AC294" s="642"/>
      <c r="AD294" s="632">
        <f>P294*0.6</f>
        <v>1080</v>
      </c>
      <c r="AE294" s="632">
        <f t="shared" si="183"/>
        <v>1080</v>
      </c>
      <c r="AF294" s="245">
        <v>540</v>
      </c>
      <c r="AG294" s="245">
        <f t="shared" si="179"/>
        <v>50</v>
      </c>
      <c r="AH294" s="245"/>
      <c r="AI294" s="245">
        <f t="shared" si="180"/>
        <v>540</v>
      </c>
      <c r="AJ294" s="245">
        <f t="shared" si="181"/>
        <v>540</v>
      </c>
      <c r="AK294" s="245">
        <f t="shared" si="182"/>
        <v>540</v>
      </c>
      <c r="AL294" s="245">
        <f t="shared" si="176"/>
        <v>1080</v>
      </c>
      <c r="AM294" s="245">
        <f t="shared" si="177"/>
        <v>540</v>
      </c>
      <c r="AN294" s="606" t="s">
        <v>1155</v>
      </c>
      <c r="AQ294" s="215" t="s">
        <v>1160</v>
      </c>
      <c r="AR294" s="215"/>
      <c r="AS294" s="216"/>
      <c r="AT294" s="224" t="s">
        <v>307</v>
      </c>
      <c r="AU294" s="397" t="s">
        <v>1161</v>
      </c>
      <c r="AV294" s="607" t="s">
        <v>1013</v>
      </c>
      <c r="AW294" s="521" t="s">
        <v>1162</v>
      </c>
      <c r="AY294" s="226"/>
      <c r="AZ294" s="226"/>
      <c r="BA294" s="285"/>
    </row>
    <row r="295" spans="1:57" ht="45" customHeight="1">
      <c r="A295" s="286"/>
      <c r="B295" s="1448" t="s">
        <v>2296</v>
      </c>
      <c r="C295" s="311"/>
      <c r="D295" s="311"/>
      <c r="E295" s="293"/>
      <c r="F295" s="293"/>
      <c r="G295" s="397"/>
      <c r="H295" s="475"/>
      <c r="I295" s="475"/>
      <c r="J295" s="475"/>
      <c r="K295" s="475"/>
      <c r="L295" s="475"/>
      <c r="M295" s="397"/>
      <c r="N295" s="642"/>
      <c r="O295" s="642"/>
      <c r="P295" s="642"/>
      <c r="Q295" s="642"/>
      <c r="R295" s="642"/>
      <c r="S295" s="642"/>
      <c r="T295" s="642"/>
      <c r="U295" s="642"/>
      <c r="V295" s="642"/>
      <c r="W295" s="642"/>
      <c r="X295" s="642"/>
      <c r="Y295" s="642"/>
      <c r="Z295" s="245"/>
      <c r="AA295" s="642"/>
      <c r="AB295" s="642"/>
      <c r="AC295" s="642"/>
      <c r="AD295" s="632"/>
      <c r="AE295" s="632"/>
      <c r="AF295" s="245"/>
      <c r="AG295" s="245"/>
      <c r="AH295" s="245"/>
      <c r="AI295" s="245"/>
      <c r="AJ295" s="245"/>
      <c r="AK295" s="245"/>
      <c r="AL295" s="245"/>
      <c r="AM295" s="245"/>
      <c r="AN295" s="606"/>
      <c r="AQ295" s="215"/>
      <c r="AR295" s="215"/>
      <c r="AS295" s="216"/>
      <c r="AT295" s="224"/>
      <c r="AU295" s="1461"/>
      <c r="AV295" s="1462"/>
      <c r="AW295" s="1463"/>
      <c r="AY295" s="226"/>
      <c r="AZ295" s="226"/>
      <c r="BA295" s="285"/>
    </row>
    <row r="296" spans="1:57" ht="45" customHeight="1">
      <c r="A296" s="286"/>
      <c r="B296" s="1451" t="s">
        <v>2308</v>
      </c>
      <c r="C296" s="311"/>
      <c r="D296" s="311"/>
      <c r="E296" s="293"/>
      <c r="F296" s="293"/>
      <c r="G296" s="397"/>
      <c r="H296" s="475"/>
      <c r="I296" s="475"/>
      <c r="J296" s="475"/>
      <c r="K296" s="475"/>
      <c r="L296" s="475"/>
      <c r="M296" s="397"/>
      <c r="N296" s="642"/>
      <c r="O296" s="642"/>
      <c r="P296" s="642"/>
      <c r="Q296" s="642"/>
      <c r="R296" s="642"/>
      <c r="S296" s="642"/>
      <c r="T296" s="642"/>
      <c r="U296" s="642"/>
      <c r="V296" s="642"/>
      <c r="W296" s="642"/>
      <c r="X296" s="642"/>
      <c r="Y296" s="642"/>
      <c r="Z296" s="245"/>
      <c r="AA296" s="642"/>
      <c r="AB296" s="642"/>
      <c r="AC296" s="642"/>
      <c r="AD296" s="632"/>
      <c r="AE296" s="632"/>
      <c r="AF296" s="245"/>
      <c r="AG296" s="245"/>
      <c r="AH296" s="245"/>
      <c r="AI296" s="245"/>
      <c r="AJ296" s="245"/>
      <c r="AK296" s="245"/>
      <c r="AL296" s="245"/>
      <c r="AM296" s="245"/>
      <c r="AN296" s="606"/>
      <c r="AQ296" s="215"/>
      <c r="AR296" s="215"/>
      <c r="AS296" s="216"/>
      <c r="AT296" s="224"/>
      <c r="AU296" s="1461"/>
      <c r="AV296" s="1462"/>
      <c r="AW296" s="1463"/>
      <c r="AY296" s="226"/>
      <c r="AZ296" s="226"/>
      <c r="BA296" s="285"/>
    </row>
    <row r="297" spans="1:57" ht="45" customHeight="1">
      <c r="A297" s="286"/>
      <c r="B297" s="1460" t="s">
        <v>2321</v>
      </c>
      <c r="C297" s="311"/>
      <c r="D297" s="311"/>
      <c r="E297" s="293"/>
      <c r="F297" s="293"/>
      <c r="G297" s="1230" t="s">
        <v>341</v>
      </c>
      <c r="H297" s="475">
        <v>2020</v>
      </c>
      <c r="I297" s="475"/>
      <c r="J297" s="475">
        <v>2022</v>
      </c>
      <c r="K297" s="475"/>
      <c r="L297" s="475"/>
      <c r="M297" s="397" t="s">
        <v>2409</v>
      </c>
      <c r="N297" s="1364">
        <v>5500</v>
      </c>
      <c r="O297" s="642"/>
      <c r="P297" s="1364">
        <v>4500</v>
      </c>
      <c r="Q297" s="642"/>
      <c r="R297" s="642"/>
      <c r="S297" s="642"/>
      <c r="T297" s="642"/>
      <c r="U297" s="642"/>
      <c r="V297" s="642"/>
      <c r="W297" s="642"/>
      <c r="X297" s="642"/>
      <c r="Y297" s="642"/>
      <c r="Z297" s="245"/>
      <c r="AA297" s="642"/>
      <c r="AB297" s="642"/>
      <c r="AC297" s="642"/>
      <c r="AD297" s="632">
        <f>P297*0.3</f>
        <v>1350</v>
      </c>
      <c r="AE297" s="632">
        <f t="shared" ref="AE297" si="184">AD297</f>
        <v>1350</v>
      </c>
      <c r="AF297" s="245"/>
      <c r="AG297" s="245"/>
      <c r="AH297" s="245"/>
      <c r="AI297" s="245"/>
      <c r="AJ297" s="245">
        <f t="shared" ref="AJ297" si="185">AA297+AI297</f>
        <v>0</v>
      </c>
      <c r="AK297" s="245">
        <f t="shared" ref="AK297" si="186">AC297+AI297</f>
        <v>0</v>
      </c>
      <c r="AL297" s="245">
        <f t="shared" ref="AL297" si="187">AD297</f>
        <v>1350</v>
      </c>
      <c r="AM297" s="245">
        <f t="shared" ref="AM297" si="188">AE297-AI297</f>
        <v>1350</v>
      </c>
      <c r="AN297" s="606"/>
      <c r="AQ297" s="215"/>
      <c r="AR297" s="215"/>
      <c r="AS297" s="216"/>
      <c r="AT297" s="224"/>
      <c r="AU297" s="1464" t="s">
        <v>2328</v>
      </c>
      <c r="AV297" s="1462"/>
      <c r="AW297" s="1463"/>
      <c r="AY297" s="226"/>
      <c r="AZ297" s="226"/>
      <c r="BA297" s="285"/>
    </row>
    <row r="298" spans="1:57" ht="45" customHeight="1">
      <c r="A298" s="286"/>
      <c r="B298" s="1450" t="s">
        <v>2307</v>
      </c>
      <c r="C298" s="311"/>
      <c r="D298" s="311"/>
      <c r="E298" s="293"/>
      <c r="F298" s="293"/>
      <c r="G298" s="397"/>
      <c r="H298" s="475"/>
      <c r="I298" s="475"/>
      <c r="J298" s="475"/>
      <c r="K298" s="475"/>
      <c r="L298" s="475"/>
      <c r="M298" s="397"/>
      <c r="N298" s="642"/>
      <c r="O298" s="642"/>
      <c r="P298" s="642"/>
      <c r="Q298" s="642"/>
      <c r="R298" s="642"/>
      <c r="S298" s="642"/>
      <c r="T298" s="642"/>
      <c r="U298" s="642"/>
      <c r="V298" s="642"/>
      <c r="W298" s="642"/>
      <c r="X298" s="642"/>
      <c r="Y298" s="642"/>
      <c r="Z298" s="245"/>
      <c r="AA298" s="642"/>
      <c r="AB298" s="642"/>
      <c r="AC298" s="642"/>
      <c r="AD298" s="632"/>
      <c r="AE298" s="632"/>
      <c r="AF298" s="245"/>
      <c r="AG298" s="245"/>
      <c r="AH298" s="245"/>
      <c r="AI298" s="245"/>
      <c r="AJ298" s="245"/>
      <c r="AK298" s="245"/>
      <c r="AL298" s="245"/>
      <c r="AM298" s="245"/>
      <c r="AN298" s="606"/>
      <c r="AQ298" s="215"/>
      <c r="AR298" s="215"/>
      <c r="AS298" s="216"/>
      <c r="AT298" s="224"/>
      <c r="AU298" s="1461"/>
      <c r="AV298" s="1462"/>
      <c r="AW298" s="1463"/>
      <c r="AY298" s="226"/>
      <c r="AZ298" s="226"/>
      <c r="BA298" s="285"/>
    </row>
    <row r="299" spans="1:57" ht="45" customHeight="1">
      <c r="A299" s="286"/>
      <c r="B299" s="547" t="s">
        <v>2322</v>
      </c>
      <c r="C299" s="311"/>
      <c r="D299" s="311"/>
      <c r="E299" s="293"/>
      <c r="F299" s="293"/>
      <c r="G299" s="1230" t="s">
        <v>382</v>
      </c>
      <c r="H299" s="475">
        <v>2020</v>
      </c>
      <c r="I299" s="475"/>
      <c r="J299" s="475">
        <v>2022</v>
      </c>
      <c r="K299" s="475"/>
      <c r="L299" s="475"/>
      <c r="M299" s="397" t="s">
        <v>2481</v>
      </c>
      <c r="N299" s="1364">
        <v>5000</v>
      </c>
      <c r="O299" s="642"/>
      <c r="P299" s="1364">
        <v>3000</v>
      </c>
      <c r="Q299" s="642"/>
      <c r="R299" s="642"/>
      <c r="S299" s="642"/>
      <c r="T299" s="642"/>
      <c r="U299" s="642"/>
      <c r="V299" s="642"/>
      <c r="W299" s="642"/>
      <c r="X299" s="642"/>
      <c r="Y299" s="642"/>
      <c r="Z299" s="245"/>
      <c r="AA299" s="642"/>
      <c r="AB299" s="642"/>
      <c r="AC299" s="642"/>
      <c r="AD299" s="632">
        <f t="shared" ref="AD299:AD304" si="189">P299*0.3</f>
        <v>900</v>
      </c>
      <c r="AE299" s="632">
        <f t="shared" ref="AE299:AE304" si="190">AD299</f>
        <v>900</v>
      </c>
      <c r="AF299" s="245"/>
      <c r="AG299" s="245"/>
      <c r="AH299" s="245"/>
      <c r="AI299" s="245"/>
      <c r="AJ299" s="245">
        <f t="shared" ref="AJ299:AJ304" si="191">AA299+AI299</f>
        <v>0</v>
      </c>
      <c r="AK299" s="245">
        <f t="shared" ref="AK299:AK304" si="192">AC299+AI299</f>
        <v>0</v>
      </c>
      <c r="AL299" s="245">
        <f t="shared" ref="AL299:AL304" si="193">AD299</f>
        <v>900</v>
      </c>
      <c r="AM299" s="245">
        <f t="shared" ref="AM299:AM304" si="194">AE299-AI299</f>
        <v>900</v>
      </c>
      <c r="AN299" s="606"/>
      <c r="AQ299" s="215"/>
      <c r="AR299" s="215"/>
      <c r="AS299" s="216"/>
      <c r="AT299" s="224"/>
      <c r="AU299" s="1447" t="s">
        <v>971</v>
      </c>
      <c r="AV299" s="1462"/>
      <c r="AW299" s="1463"/>
      <c r="AY299" s="226"/>
      <c r="AZ299" s="226"/>
      <c r="BA299" s="285"/>
    </row>
    <row r="300" spans="1:57" ht="45" customHeight="1">
      <c r="A300" s="286"/>
      <c r="B300" s="547" t="s">
        <v>2323</v>
      </c>
      <c r="C300" s="311"/>
      <c r="D300" s="311"/>
      <c r="E300" s="293"/>
      <c r="F300" s="293"/>
      <c r="G300" s="1230" t="s">
        <v>378</v>
      </c>
      <c r="H300" s="475">
        <v>2020</v>
      </c>
      <c r="I300" s="475"/>
      <c r="J300" s="475">
        <v>2022</v>
      </c>
      <c r="K300" s="475"/>
      <c r="L300" s="475"/>
      <c r="M300" s="397" t="s">
        <v>2450</v>
      </c>
      <c r="N300" s="1364">
        <v>5500</v>
      </c>
      <c r="O300" s="642"/>
      <c r="P300" s="1364">
        <v>3300</v>
      </c>
      <c r="Q300" s="642"/>
      <c r="R300" s="642"/>
      <c r="S300" s="642"/>
      <c r="T300" s="642"/>
      <c r="U300" s="642"/>
      <c r="V300" s="642"/>
      <c r="W300" s="642"/>
      <c r="X300" s="642"/>
      <c r="Y300" s="642"/>
      <c r="Z300" s="245"/>
      <c r="AA300" s="642"/>
      <c r="AB300" s="642"/>
      <c r="AC300" s="642"/>
      <c r="AD300" s="632">
        <f t="shared" si="189"/>
        <v>990</v>
      </c>
      <c r="AE300" s="632">
        <f t="shared" si="190"/>
        <v>990</v>
      </c>
      <c r="AF300" s="245"/>
      <c r="AG300" s="245"/>
      <c r="AH300" s="245"/>
      <c r="AI300" s="245"/>
      <c r="AJ300" s="245">
        <f t="shared" si="191"/>
        <v>0</v>
      </c>
      <c r="AK300" s="245">
        <f t="shared" si="192"/>
        <v>0</v>
      </c>
      <c r="AL300" s="245">
        <f t="shared" si="193"/>
        <v>990</v>
      </c>
      <c r="AM300" s="245">
        <f t="shared" si="194"/>
        <v>990</v>
      </c>
      <c r="AN300" s="606"/>
      <c r="AQ300" s="215"/>
      <c r="AR300" s="215"/>
      <c r="AS300" s="216"/>
      <c r="AT300" s="224"/>
      <c r="AU300" s="1447" t="s">
        <v>1859</v>
      </c>
      <c r="AV300" s="1462"/>
      <c r="AW300" s="1463"/>
      <c r="AY300" s="226"/>
      <c r="AZ300" s="226"/>
      <c r="BA300" s="285"/>
    </row>
    <row r="301" spans="1:57" ht="45" customHeight="1">
      <c r="A301" s="286"/>
      <c r="B301" s="547" t="s">
        <v>2324</v>
      </c>
      <c r="C301" s="311"/>
      <c r="D301" s="311"/>
      <c r="E301" s="293"/>
      <c r="F301" s="293"/>
      <c r="G301" s="1230" t="s">
        <v>435</v>
      </c>
      <c r="H301" s="475">
        <v>2020</v>
      </c>
      <c r="I301" s="475"/>
      <c r="J301" s="475">
        <v>2022</v>
      </c>
      <c r="K301" s="475"/>
      <c r="L301" s="475"/>
      <c r="M301" s="397"/>
      <c r="N301" s="1364">
        <v>3000</v>
      </c>
      <c r="O301" s="642"/>
      <c r="P301" s="1364">
        <v>1800</v>
      </c>
      <c r="Q301" s="642"/>
      <c r="R301" s="642"/>
      <c r="S301" s="642"/>
      <c r="T301" s="642"/>
      <c r="U301" s="642"/>
      <c r="V301" s="642"/>
      <c r="W301" s="642"/>
      <c r="X301" s="642"/>
      <c r="Y301" s="642"/>
      <c r="Z301" s="245"/>
      <c r="AA301" s="642"/>
      <c r="AB301" s="642"/>
      <c r="AC301" s="642"/>
      <c r="AD301" s="632">
        <f t="shared" si="189"/>
        <v>540</v>
      </c>
      <c r="AE301" s="632">
        <f t="shared" si="190"/>
        <v>540</v>
      </c>
      <c r="AF301" s="245"/>
      <c r="AG301" s="245"/>
      <c r="AH301" s="245"/>
      <c r="AI301" s="245"/>
      <c r="AJ301" s="245">
        <f t="shared" si="191"/>
        <v>0</v>
      </c>
      <c r="AK301" s="245">
        <f t="shared" si="192"/>
        <v>0</v>
      </c>
      <c r="AL301" s="245">
        <f t="shared" si="193"/>
        <v>540</v>
      </c>
      <c r="AM301" s="245">
        <f t="shared" si="194"/>
        <v>540</v>
      </c>
      <c r="AN301" s="606"/>
      <c r="AQ301" s="215"/>
      <c r="AR301" s="215"/>
      <c r="AS301" s="216"/>
      <c r="AT301" s="224"/>
      <c r="AU301" s="1447" t="s">
        <v>601</v>
      </c>
      <c r="AV301" s="1462"/>
      <c r="AW301" s="1463"/>
      <c r="AY301" s="226"/>
      <c r="AZ301" s="226"/>
      <c r="BA301" s="285"/>
    </row>
    <row r="302" spans="1:57" ht="45" customHeight="1">
      <c r="A302" s="286"/>
      <c r="B302" s="547" t="s">
        <v>2325</v>
      </c>
      <c r="C302" s="311"/>
      <c r="D302" s="311"/>
      <c r="E302" s="293"/>
      <c r="F302" s="293"/>
      <c r="G302" s="1230" t="s">
        <v>378</v>
      </c>
      <c r="H302" s="475">
        <v>2020</v>
      </c>
      <c r="I302" s="475"/>
      <c r="J302" s="475">
        <v>2022</v>
      </c>
      <c r="K302" s="475"/>
      <c r="L302" s="475"/>
      <c r="M302" s="397" t="s">
        <v>2449</v>
      </c>
      <c r="N302" s="1364">
        <v>5500</v>
      </c>
      <c r="O302" s="642"/>
      <c r="P302" s="1364">
        <v>3300</v>
      </c>
      <c r="Q302" s="642"/>
      <c r="R302" s="642"/>
      <c r="S302" s="642"/>
      <c r="T302" s="642"/>
      <c r="U302" s="642"/>
      <c r="V302" s="642"/>
      <c r="W302" s="642"/>
      <c r="X302" s="642"/>
      <c r="Y302" s="642"/>
      <c r="Z302" s="245"/>
      <c r="AA302" s="642"/>
      <c r="AB302" s="642"/>
      <c r="AC302" s="642"/>
      <c r="AD302" s="632">
        <f t="shared" si="189"/>
        <v>990</v>
      </c>
      <c r="AE302" s="632">
        <f t="shared" si="190"/>
        <v>990</v>
      </c>
      <c r="AF302" s="245"/>
      <c r="AG302" s="245"/>
      <c r="AH302" s="245"/>
      <c r="AI302" s="245"/>
      <c r="AJ302" s="245">
        <f t="shared" si="191"/>
        <v>0</v>
      </c>
      <c r="AK302" s="245">
        <f t="shared" si="192"/>
        <v>0</v>
      </c>
      <c r="AL302" s="245">
        <f t="shared" si="193"/>
        <v>990</v>
      </c>
      <c r="AM302" s="245">
        <f t="shared" si="194"/>
        <v>990</v>
      </c>
      <c r="AN302" s="606"/>
      <c r="AQ302" s="215"/>
      <c r="AR302" s="215"/>
      <c r="AS302" s="216"/>
      <c r="AT302" s="224"/>
      <c r="AU302" s="1447" t="s">
        <v>1022</v>
      </c>
      <c r="AV302" s="1462"/>
      <c r="AW302" s="1463"/>
      <c r="AY302" s="226"/>
      <c r="AZ302" s="226"/>
      <c r="BA302" s="285"/>
    </row>
    <row r="303" spans="1:57" ht="45" customHeight="1">
      <c r="A303" s="286"/>
      <c r="B303" s="547" t="s">
        <v>2329</v>
      </c>
      <c r="C303" s="311"/>
      <c r="D303" s="311"/>
      <c r="E303" s="293"/>
      <c r="F303" s="293"/>
      <c r="G303" s="1230" t="s">
        <v>435</v>
      </c>
      <c r="H303" s="475">
        <v>2020</v>
      </c>
      <c r="I303" s="475"/>
      <c r="J303" s="475">
        <v>2022</v>
      </c>
      <c r="K303" s="475"/>
      <c r="L303" s="475"/>
      <c r="M303" s="397"/>
      <c r="N303" s="1364">
        <v>8500</v>
      </c>
      <c r="O303" s="642"/>
      <c r="P303" s="1364">
        <v>5000</v>
      </c>
      <c r="Q303" s="642"/>
      <c r="R303" s="642"/>
      <c r="S303" s="642"/>
      <c r="T303" s="642"/>
      <c r="U303" s="642"/>
      <c r="V303" s="642"/>
      <c r="W303" s="642"/>
      <c r="X303" s="642"/>
      <c r="Y303" s="642"/>
      <c r="Z303" s="245"/>
      <c r="AA303" s="642"/>
      <c r="AB303" s="642"/>
      <c r="AC303" s="642"/>
      <c r="AD303" s="632">
        <f t="shared" si="189"/>
        <v>1500</v>
      </c>
      <c r="AE303" s="632">
        <f t="shared" si="190"/>
        <v>1500</v>
      </c>
      <c r="AF303" s="245"/>
      <c r="AG303" s="245"/>
      <c r="AH303" s="245"/>
      <c r="AI303" s="245"/>
      <c r="AJ303" s="245">
        <f t="shared" si="191"/>
        <v>0</v>
      </c>
      <c r="AK303" s="245">
        <f t="shared" si="192"/>
        <v>0</v>
      </c>
      <c r="AL303" s="245">
        <f t="shared" si="193"/>
        <v>1500</v>
      </c>
      <c r="AM303" s="245">
        <f t="shared" si="194"/>
        <v>1500</v>
      </c>
      <c r="AN303" s="606"/>
      <c r="AQ303" s="215"/>
      <c r="AR303" s="215"/>
      <c r="AS303" s="216"/>
      <c r="AT303" s="224"/>
      <c r="AU303" s="547" t="s">
        <v>2326</v>
      </c>
      <c r="AV303" s="1462"/>
      <c r="AW303" s="1463"/>
      <c r="AY303" s="226"/>
      <c r="AZ303" s="226"/>
      <c r="BA303" s="285"/>
    </row>
    <row r="304" spans="1:57" ht="45" customHeight="1">
      <c r="A304" s="286"/>
      <c r="B304" s="547" t="s">
        <v>2327</v>
      </c>
      <c r="C304" s="311"/>
      <c r="D304" s="311"/>
      <c r="E304" s="293"/>
      <c r="F304" s="293"/>
      <c r="G304" s="1230" t="s">
        <v>395</v>
      </c>
      <c r="H304" s="475">
        <v>2020</v>
      </c>
      <c r="I304" s="475"/>
      <c r="J304" s="475">
        <v>2022</v>
      </c>
      <c r="K304" s="475"/>
      <c r="L304" s="475"/>
      <c r="M304" s="397" t="s">
        <v>2447</v>
      </c>
      <c r="N304" s="1364">
        <v>11000</v>
      </c>
      <c r="O304" s="642"/>
      <c r="P304" s="1364">
        <v>6600</v>
      </c>
      <c r="Q304" s="642"/>
      <c r="R304" s="642"/>
      <c r="S304" s="642"/>
      <c r="T304" s="642"/>
      <c r="U304" s="642"/>
      <c r="V304" s="642"/>
      <c r="W304" s="642"/>
      <c r="X304" s="642"/>
      <c r="Y304" s="642"/>
      <c r="Z304" s="245"/>
      <c r="AA304" s="642"/>
      <c r="AB304" s="642"/>
      <c r="AC304" s="642"/>
      <c r="AD304" s="632">
        <f t="shared" si="189"/>
        <v>1980</v>
      </c>
      <c r="AE304" s="632">
        <f t="shared" si="190"/>
        <v>1980</v>
      </c>
      <c r="AF304" s="245"/>
      <c r="AG304" s="245"/>
      <c r="AH304" s="245"/>
      <c r="AI304" s="245"/>
      <c r="AJ304" s="245">
        <f t="shared" si="191"/>
        <v>0</v>
      </c>
      <c r="AK304" s="245">
        <f t="shared" si="192"/>
        <v>0</v>
      </c>
      <c r="AL304" s="245">
        <f t="shared" si="193"/>
        <v>1980</v>
      </c>
      <c r="AM304" s="245">
        <f t="shared" si="194"/>
        <v>1980</v>
      </c>
      <c r="AN304" s="606"/>
      <c r="AQ304" s="215"/>
      <c r="AR304" s="215"/>
      <c r="AS304" s="216"/>
      <c r="AT304" s="224"/>
      <c r="AU304" s="1447" t="s">
        <v>1102</v>
      </c>
      <c r="AV304" s="1462"/>
      <c r="AW304" s="1463"/>
      <c r="AY304" s="226"/>
      <c r="AZ304" s="226"/>
      <c r="BA304" s="285"/>
    </row>
    <row r="305" spans="1:53" s="654" customFormat="1" ht="21.75" customHeight="1">
      <c r="A305" s="643"/>
      <c r="B305" s="644"/>
      <c r="C305" s="645"/>
      <c r="D305" s="645"/>
      <c r="E305" s="644"/>
      <c r="F305" s="644"/>
      <c r="G305" s="646"/>
      <c r="H305" s="647"/>
      <c r="I305" s="647"/>
      <c r="J305" s="648"/>
      <c r="K305" s="648"/>
      <c r="L305" s="648"/>
      <c r="M305" s="643"/>
      <c r="N305" s="649"/>
      <c r="O305" s="649"/>
      <c r="P305" s="650"/>
      <c r="Q305" s="649"/>
      <c r="R305" s="649"/>
      <c r="S305" s="649"/>
      <c r="T305" s="649"/>
      <c r="U305" s="649"/>
      <c r="V305" s="245"/>
      <c r="W305" s="651"/>
      <c r="X305" s="245"/>
      <c r="Y305" s="651"/>
      <c r="Z305" s="245">
        <f t="shared" si="178"/>
        <v>0</v>
      </c>
      <c r="AA305" s="649"/>
      <c r="AB305" s="649"/>
      <c r="AC305" s="649"/>
      <c r="AD305" s="649"/>
      <c r="AE305" s="649"/>
      <c r="AF305" s="651"/>
      <c r="AG305" s="652"/>
      <c r="AH305" s="652"/>
      <c r="AI305" s="652"/>
      <c r="AJ305" s="652"/>
      <c r="AK305" s="652"/>
      <c r="AL305" s="652"/>
      <c r="AM305" s="652"/>
      <c r="AN305" s="653" t="s">
        <v>1163</v>
      </c>
      <c r="AQ305" s="655"/>
      <c r="AR305" s="655"/>
      <c r="AS305" s="656"/>
      <c r="AY305" s="656"/>
      <c r="AZ305" s="656"/>
      <c r="BA305" s="656"/>
    </row>
    <row r="306" spans="1:53" s="224" customFormat="1">
      <c r="A306" s="218" t="s">
        <v>137</v>
      </c>
      <c r="B306" s="219" t="s">
        <v>1164</v>
      </c>
      <c r="C306" s="220"/>
      <c r="D306" s="220"/>
      <c r="E306" s="218"/>
      <c r="F306" s="218"/>
      <c r="G306" s="220"/>
      <c r="H306" s="657"/>
      <c r="I306" s="657"/>
      <c r="J306" s="658"/>
      <c r="K306" s="658"/>
      <c r="L306" s="219"/>
      <c r="M306" s="218"/>
      <c r="N306" s="659">
        <f t="shared" ref="N306:W306" si="195">SUBTOTAL(109,N307:N309)</f>
        <v>546929</v>
      </c>
      <c r="O306" s="659">
        <f t="shared" si="195"/>
        <v>0</v>
      </c>
      <c r="P306" s="659">
        <f t="shared" si="195"/>
        <v>152590</v>
      </c>
      <c r="Q306" s="659">
        <f t="shared" si="195"/>
        <v>169488</v>
      </c>
      <c r="R306" s="659">
        <f t="shared" si="195"/>
        <v>0</v>
      </c>
      <c r="S306" s="659">
        <f t="shared" si="195"/>
        <v>24737</v>
      </c>
      <c r="T306" s="659">
        <f t="shared" si="195"/>
        <v>104854</v>
      </c>
      <c r="U306" s="659">
        <f t="shared" si="195"/>
        <v>80500</v>
      </c>
      <c r="V306" s="659">
        <f t="shared" si="195"/>
        <v>20000</v>
      </c>
      <c r="W306" s="659">
        <f t="shared" si="195"/>
        <v>20000</v>
      </c>
      <c r="X306" s="245"/>
      <c r="Y306" s="660"/>
      <c r="Z306" s="659">
        <f t="shared" ref="Z306:AE306" si="196">SUBTOTAL(109,Z307:Z309)</f>
        <v>20000</v>
      </c>
      <c r="AA306" s="659">
        <f t="shared" si="196"/>
        <v>189488</v>
      </c>
      <c r="AB306" s="659">
        <f t="shared" si="196"/>
        <v>20000</v>
      </c>
      <c r="AC306" s="659">
        <f t="shared" si="196"/>
        <v>44737</v>
      </c>
      <c r="AD306" s="659">
        <f t="shared" si="196"/>
        <v>104854</v>
      </c>
      <c r="AE306" s="659">
        <f t="shared" si="196"/>
        <v>60500</v>
      </c>
      <c r="AF306" s="660"/>
      <c r="AG306" s="245"/>
      <c r="AH306" s="245"/>
      <c r="AI306" s="245"/>
      <c r="AJ306" s="245"/>
      <c r="AK306" s="245"/>
      <c r="AL306" s="245"/>
      <c r="AM306" s="245"/>
      <c r="AN306" s="661"/>
      <c r="AQ306" s="225"/>
      <c r="AR306" s="225"/>
      <c r="AS306" s="226"/>
      <c r="AY306" s="226"/>
      <c r="AZ306" s="226"/>
      <c r="BA306" s="226"/>
    </row>
    <row r="307" spans="1:53" ht="38.25">
      <c r="A307" s="248">
        <v>1</v>
      </c>
      <c r="B307" s="662" t="s">
        <v>1165</v>
      </c>
      <c r="C307" s="662"/>
      <c r="D307" s="663"/>
      <c r="E307" s="664" t="s">
        <v>1166</v>
      </c>
      <c r="F307" s="665" t="s">
        <v>1167</v>
      </c>
      <c r="G307" s="666" t="s">
        <v>401</v>
      </c>
      <c r="H307" s="253">
        <v>2015</v>
      </c>
      <c r="I307" s="253">
        <v>2015</v>
      </c>
      <c r="J307" s="253">
        <v>2020</v>
      </c>
      <c r="K307" s="253" t="s">
        <v>328</v>
      </c>
      <c r="L307" s="253"/>
      <c r="M307" s="667" t="s">
        <v>2412</v>
      </c>
      <c r="N307" s="668">
        <v>307197</v>
      </c>
      <c r="O307" s="668">
        <v>0</v>
      </c>
      <c r="P307" s="668">
        <v>67815</v>
      </c>
      <c r="Q307" s="337">
        <v>104943</v>
      </c>
      <c r="R307" s="337"/>
      <c r="S307" s="337">
        <v>4750</v>
      </c>
      <c r="T307" s="337">
        <f>65634-4600</f>
        <v>61034</v>
      </c>
      <c r="U307" s="668">
        <v>56284</v>
      </c>
      <c r="V307" s="245">
        <v>7500</v>
      </c>
      <c r="W307" s="245">
        <v>7500</v>
      </c>
      <c r="X307" s="245">
        <v>0</v>
      </c>
      <c r="Y307" s="669"/>
      <c r="Z307" s="245">
        <f t="shared" si="178"/>
        <v>7500</v>
      </c>
      <c r="AA307" s="244">
        <f t="shared" ref="AA307:AC309" si="197">Q307+$Z307</f>
        <v>112443</v>
      </c>
      <c r="AB307" s="244">
        <f t="shared" si="197"/>
        <v>7500</v>
      </c>
      <c r="AC307" s="244">
        <f t="shared" si="197"/>
        <v>12250</v>
      </c>
      <c r="AD307" s="244">
        <f>T307</f>
        <v>61034</v>
      </c>
      <c r="AE307" s="244">
        <f>U307-Z307</f>
        <v>48784</v>
      </c>
      <c r="AF307" s="245">
        <v>10000</v>
      </c>
      <c r="AG307" s="245">
        <f t="shared" ref="AG307:AG308" si="198">AF307/AE307*100</f>
        <v>20.498524106264348</v>
      </c>
      <c r="AH307" s="245">
        <v>583</v>
      </c>
      <c r="AI307" s="245">
        <f t="shared" ref="AI307:AI308" si="199">AF307+AH307</f>
        <v>10583</v>
      </c>
      <c r="AJ307" s="245">
        <f t="shared" ref="AJ307:AJ308" si="200">AA307+AI307</f>
        <v>123026</v>
      </c>
      <c r="AK307" s="245">
        <f t="shared" ref="AK307:AK308" si="201">AC307+AI307</f>
        <v>22833</v>
      </c>
      <c r="AL307" s="245">
        <f>T307</f>
        <v>61034</v>
      </c>
      <c r="AM307" s="245">
        <f t="shared" ref="AM307" si="202">AE307-AI307</f>
        <v>38201</v>
      </c>
      <c r="AN307" s="336"/>
      <c r="AQ307" s="215" t="s">
        <v>1168</v>
      </c>
      <c r="AR307" s="215" t="s">
        <v>1169</v>
      </c>
      <c r="AS307" s="216"/>
      <c r="AU307" s="670" t="s">
        <v>1170</v>
      </c>
      <c r="AY307" s="216"/>
      <c r="AZ307" s="216"/>
      <c r="BA307" s="216"/>
    </row>
    <row r="308" spans="1:53" ht="31.5">
      <c r="A308" s="248">
        <v>2</v>
      </c>
      <c r="B308" s="662" t="s">
        <v>1171</v>
      </c>
      <c r="C308" s="662"/>
      <c r="D308" s="663"/>
      <c r="E308" s="664" t="s">
        <v>1166</v>
      </c>
      <c r="F308" s="665" t="s">
        <v>1167</v>
      </c>
      <c r="G308" s="666" t="s">
        <v>401</v>
      </c>
      <c r="H308" s="253">
        <v>2016</v>
      </c>
      <c r="I308" s="253">
        <v>2016</v>
      </c>
      <c r="J308" s="253">
        <v>2018</v>
      </c>
      <c r="K308" s="253" t="s">
        <v>1172</v>
      </c>
      <c r="L308" s="253"/>
      <c r="M308" s="667" t="s">
        <v>1173</v>
      </c>
      <c r="N308" s="668">
        <v>167137</v>
      </c>
      <c r="O308" s="668">
        <v>0</v>
      </c>
      <c r="P308" s="668">
        <v>66855</v>
      </c>
      <c r="Q308" s="337">
        <v>45084</v>
      </c>
      <c r="R308" s="337"/>
      <c r="S308" s="337">
        <v>10000</v>
      </c>
      <c r="T308" s="337">
        <v>25900</v>
      </c>
      <c r="U308" s="668">
        <v>15900</v>
      </c>
      <c r="V308" s="245">
        <v>4184</v>
      </c>
      <c r="W308" s="245">
        <v>4184</v>
      </c>
      <c r="X308" s="245">
        <v>0</v>
      </c>
      <c r="Y308" s="669"/>
      <c r="Z308" s="245">
        <f t="shared" si="178"/>
        <v>4184</v>
      </c>
      <c r="AA308" s="244">
        <f t="shared" si="197"/>
        <v>49268</v>
      </c>
      <c r="AB308" s="244">
        <f t="shared" si="197"/>
        <v>4184</v>
      </c>
      <c r="AC308" s="244">
        <f t="shared" si="197"/>
        <v>14184</v>
      </c>
      <c r="AD308" s="244">
        <f>T308</f>
        <v>25900</v>
      </c>
      <c r="AE308" s="244">
        <f>U308-Z308</f>
        <v>11716</v>
      </c>
      <c r="AF308" s="245">
        <v>11716</v>
      </c>
      <c r="AG308" s="245">
        <f t="shared" si="198"/>
        <v>100</v>
      </c>
      <c r="AH308" s="245">
        <f>-583</f>
        <v>-583</v>
      </c>
      <c r="AI308" s="245">
        <f t="shared" si="199"/>
        <v>11133</v>
      </c>
      <c r="AJ308" s="245">
        <f t="shared" si="200"/>
        <v>60401</v>
      </c>
      <c r="AK308" s="245">
        <f t="shared" si="201"/>
        <v>25317</v>
      </c>
      <c r="AL308" s="245">
        <f>T308</f>
        <v>25900</v>
      </c>
      <c r="AM308" s="245">
        <f>AE308-AF308</f>
        <v>0</v>
      </c>
      <c r="AN308" s="336"/>
      <c r="AQ308" s="215" t="s">
        <v>1168</v>
      </c>
      <c r="AR308" s="215" t="s">
        <v>1169</v>
      </c>
      <c r="AS308" s="216"/>
      <c r="AU308" s="670" t="s">
        <v>1170</v>
      </c>
      <c r="AY308" s="216"/>
      <c r="AZ308" s="216"/>
      <c r="BA308" s="216"/>
    </row>
    <row r="309" spans="1:53" ht="31.5">
      <c r="A309" s="248">
        <v>3</v>
      </c>
      <c r="B309" s="662" t="s">
        <v>1174</v>
      </c>
      <c r="C309" s="662"/>
      <c r="D309" s="663"/>
      <c r="E309" s="664" t="s">
        <v>1166</v>
      </c>
      <c r="F309" s="665" t="s">
        <v>1167</v>
      </c>
      <c r="G309" s="666" t="s">
        <v>401</v>
      </c>
      <c r="H309" s="253">
        <v>2016</v>
      </c>
      <c r="I309" s="253">
        <v>2016</v>
      </c>
      <c r="J309" s="253">
        <v>2018</v>
      </c>
      <c r="K309" s="253" t="s">
        <v>328</v>
      </c>
      <c r="L309" s="253"/>
      <c r="M309" s="667" t="s">
        <v>1175</v>
      </c>
      <c r="N309" s="668">
        <v>72595</v>
      </c>
      <c r="O309" s="668">
        <v>0</v>
      </c>
      <c r="P309" s="668">
        <v>17920</v>
      </c>
      <c r="Q309" s="337">
        <v>19461</v>
      </c>
      <c r="R309" s="337"/>
      <c r="S309" s="337">
        <v>9987</v>
      </c>
      <c r="T309" s="337">
        <v>17920</v>
      </c>
      <c r="U309" s="668">
        <v>8316</v>
      </c>
      <c r="V309" s="245">
        <v>8316</v>
      </c>
      <c r="W309" s="245">
        <v>8316</v>
      </c>
      <c r="X309" s="245">
        <v>0</v>
      </c>
      <c r="Y309" s="669"/>
      <c r="Z309" s="245">
        <f t="shared" si="178"/>
        <v>8316</v>
      </c>
      <c r="AA309" s="244">
        <f t="shared" si="197"/>
        <v>27777</v>
      </c>
      <c r="AB309" s="244">
        <f t="shared" si="197"/>
        <v>8316</v>
      </c>
      <c r="AC309" s="244">
        <f t="shared" si="197"/>
        <v>18303</v>
      </c>
      <c r="AD309" s="244">
        <f>T309</f>
        <v>17920</v>
      </c>
      <c r="AE309" s="244">
        <f>U309-Z309</f>
        <v>0</v>
      </c>
      <c r="AF309" s="669"/>
      <c r="AG309" s="245"/>
      <c r="AH309" s="245"/>
      <c r="AI309" s="245"/>
      <c r="AJ309" s="245"/>
      <c r="AK309" s="245"/>
      <c r="AL309" s="245"/>
      <c r="AM309" s="245"/>
      <c r="AN309" s="336"/>
      <c r="AO309" s="217"/>
      <c r="AQ309" s="215"/>
      <c r="AR309" s="215"/>
      <c r="AS309" s="216"/>
      <c r="AU309" s="670" t="s">
        <v>1170</v>
      </c>
      <c r="AY309" s="216"/>
      <c r="AZ309" s="216"/>
      <c r="BA309" s="216"/>
    </row>
    <row r="310" spans="1:53" s="224" customFormat="1">
      <c r="A310" s="671" t="s">
        <v>139</v>
      </c>
      <c r="B310" s="672" t="s">
        <v>1176</v>
      </c>
      <c r="C310" s="365"/>
      <c r="D310" s="673"/>
      <c r="E310" s="218"/>
      <c r="F310" s="674"/>
      <c r="G310" s="218"/>
      <c r="H310" s="675"/>
      <c r="I310" s="676"/>
      <c r="J310" s="675"/>
      <c r="K310" s="676"/>
      <c r="L310" s="368"/>
      <c r="M310" s="677"/>
      <c r="N310" s="659">
        <f t="shared" ref="N310:AE310" si="203">SUBTOTAL(109,N312:N315)</f>
        <v>27144</v>
      </c>
      <c r="O310" s="659">
        <f t="shared" si="203"/>
        <v>0</v>
      </c>
      <c r="P310" s="659">
        <f t="shared" si="203"/>
        <v>27144</v>
      </c>
      <c r="Q310" s="659">
        <f t="shared" si="203"/>
        <v>2735</v>
      </c>
      <c r="R310" s="659">
        <f t="shared" si="203"/>
        <v>0</v>
      </c>
      <c r="S310" s="659">
        <f t="shared" si="203"/>
        <v>2735</v>
      </c>
      <c r="T310" s="659">
        <f t="shared" si="203"/>
        <v>24975</v>
      </c>
      <c r="U310" s="659">
        <f t="shared" si="203"/>
        <v>22500</v>
      </c>
      <c r="V310" s="659">
        <f t="shared" si="203"/>
        <v>7636</v>
      </c>
      <c r="W310" s="659">
        <f t="shared" si="203"/>
        <v>7635.8</v>
      </c>
      <c r="X310" s="659"/>
      <c r="Y310" s="659">
        <f t="shared" si="203"/>
        <v>0</v>
      </c>
      <c r="Z310" s="659">
        <f t="shared" si="203"/>
        <v>7636</v>
      </c>
      <c r="AA310" s="659">
        <f t="shared" si="203"/>
        <v>10371</v>
      </c>
      <c r="AB310" s="659">
        <f t="shared" si="203"/>
        <v>7636</v>
      </c>
      <c r="AC310" s="659">
        <f t="shared" si="203"/>
        <v>10371</v>
      </c>
      <c r="AD310" s="659">
        <f t="shared" si="203"/>
        <v>24975</v>
      </c>
      <c r="AE310" s="659">
        <f t="shared" si="203"/>
        <v>14744</v>
      </c>
      <c r="AF310" s="660"/>
      <c r="AG310" s="245"/>
      <c r="AH310" s="245"/>
      <c r="AI310" s="245"/>
      <c r="AJ310" s="245"/>
      <c r="AK310" s="245"/>
      <c r="AL310" s="245"/>
      <c r="AM310" s="245"/>
      <c r="AN310" s="672"/>
      <c r="AQ310" s="225"/>
      <c r="AR310" s="225"/>
      <c r="AS310" s="226"/>
      <c r="AY310" s="226"/>
      <c r="AZ310" s="226"/>
      <c r="BA310" s="226"/>
    </row>
    <row r="311" spans="1:53">
      <c r="A311" s="326" t="s">
        <v>33</v>
      </c>
      <c r="B311" s="354" t="s">
        <v>466</v>
      </c>
      <c r="C311" s="338"/>
      <c r="D311" s="678"/>
      <c r="E311" s="299"/>
      <c r="F311" s="679"/>
      <c r="G311" s="299"/>
      <c r="H311" s="332"/>
      <c r="I311" s="680"/>
      <c r="J311" s="332"/>
      <c r="K311" s="680"/>
      <c r="L311" s="253"/>
      <c r="M311" s="681"/>
      <c r="N311" s="682"/>
      <c r="O311" s="682"/>
      <c r="P311" s="682"/>
      <c r="Q311" s="682"/>
      <c r="R311" s="682"/>
      <c r="S311" s="682"/>
      <c r="T311" s="682"/>
      <c r="U311" s="682"/>
      <c r="V311" s="245"/>
      <c r="W311" s="683"/>
      <c r="X311" s="245"/>
      <c r="Y311" s="683"/>
      <c r="Z311" s="245">
        <f t="shared" si="178"/>
        <v>0</v>
      </c>
      <c r="AA311" s="682"/>
      <c r="AB311" s="682"/>
      <c r="AC311" s="682"/>
      <c r="AD311" s="682"/>
      <c r="AE311" s="682"/>
      <c r="AF311" s="683"/>
      <c r="AG311" s="245"/>
      <c r="AH311" s="245"/>
      <c r="AI311" s="245"/>
      <c r="AJ311" s="245"/>
      <c r="AK311" s="245"/>
      <c r="AL311" s="245"/>
      <c r="AM311" s="245"/>
      <c r="AN311" s="354"/>
      <c r="AQ311" s="215"/>
      <c r="AR311" s="215"/>
      <c r="AS311" s="216"/>
      <c r="AY311" s="216"/>
      <c r="AZ311" s="216"/>
      <c r="BA311" s="216"/>
    </row>
    <row r="312" spans="1:53" ht="47.25">
      <c r="A312" s="248">
        <v>1</v>
      </c>
      <c r="B312" s="684" t="s">
        <v>1177</v>
      </c>
      <c r="C312" s="685"/>
      <c r="D312" s="686"/>
      <c r="E312" s="350"/>
      <c r="F312" s="665" t="s">
        <v>326</v>
      </c>
      <c r="G312" s="665" t="s">
        <v>378</v>
      </c>
      <c r="H312" s="253">
        <v>2017</v>
      </c>
      <c r="I312" s="665"/>
      <c r="J312" s="665" t="s">
        <v>1178</v>
      </c>
      <c r="K312" s="687"/>
      <c r="L312" s="687"/>
      <c r="M312" s="271" t="s">
        <v>1179</v>
      </c>
      <c r="N312" s="688">
        <v>7671</v>
      </c>
      <c r="O312" s="350"/>
      <c r="P312" s="688">
        <v>7671</v>
      </c>
      <c r="Q312" s="254">
        <f>140+2475</f>
        <v>2615</v>
      </c>
      <c r="R312" s="254"/>
      <c r="S312" s="254">
        <f>Q312</f>
        <v>2615</v>
      </c>
      <c r="T312" s="254">
        <v>6904</v>
      </c>
      <c r="U312" s="254">
        <v>4429</v>
      </c>
      <c r="V312" s="245">
        <v>2215</v>
      </c>
      <c r="W312" s="245">
        <v>2214.5</v>
      </c>
      <c r="X312" s="245">
        <v>50</v>
      </c>
      <c r="Y312" s="255"/>
      <c r="Z312" s="245">
        <f t="shared" si="178"/>
        <v>2215</v>
      </c>
      <c r="AA312" s="244">
        <f t="shared" ref="AA312:AC315" si="204">Q312+$Z312</f>
        <v>4830</v>
      </c>
      <c r="AB312" s="244">
        <f t="shared" si="204"/>
        <v>2215</v>
      </c>
      <c r="AC312" s="244">
        <f t="shared" si="204"/>
        <v>4830</v>
      </c>
      <c r="AD312" s="244">
        <f>T312</f>
        <v>6904</v>
      </c>
      <c r="AE312" s="244">
        <f>U312-Z312</f>
        <v>2214</v>
      </c>
      <c r="AF312" s="245">
        <v>2214</v>
      </c>
      <c r="AG312" s="245">
        <f t="shared" ref="AG312" si="205">AF312/AE312*100</f>
        <v>100</v>
      </c>
      <c r="AH312" s="245"/>
      <c r="AI312" s="245">
        <f t="shared" ref="AI312" si="206">AF312+AH312</f>
        <v>2214</v>
      </c>
      <c r="AJ312" s="245">
        <f t="shared" ref="AJ312" si="207">AA312+AI312</f>
        <v>7044</v>
      </c>
      <c r="AK312" s="245">
        <f t="shared" ref="AK312" si="208">AC312+AI312</f>
        <v>7044</v>
      </c>
      <c r="AL312" s="245">
        <f>T312</f>
        <v>6904</v>
      </c>
      <c r="AM312" s="245">
        <f t="shared" ref="AM312" si="209">AE312-AI312</f>
        <v>0</v>
      </c>
      <c r="AN312" s="336"/>
      <c r="AQ312" s="215"/>
      <c r="AR312" s="215" t="s">
        <v>1169</v>
      </c>
      <c r="AS312" s="216"/>
      <c r="AU312" s="670" t="s">
        <v>1180</v>
      </c>
      <c r="AY312" s="216"/>
      <c r="AZ312" s="216"/>
      <c r="BA312" s="216"/>
    </row>
    <row r="313" spans="1:53">
      <c r="A313" s="326" t="s">
        <v>33</v>
      </c>
      <c r="B313" s="354" t="s">
        <v>666</v>
      </c>
      <c r="C313" s="685"/>
      <c r="D313" s="686"/>
      <c r="E313" s="350"/>
      <c r="F313" s="665"/>
      <c r="G313" s="665"/>
      <c r="H313" s="253"/>
      <c r="I313" s="665"/>
      <c r="J313" s="665"/>
      <c r="K313" s="687"/>
      <c r="L313" s="687"/>
      <c r="M313" s="271"/>
      <c r="N313" s="688"/>
      <c r="O313" s="350"/>
      <c r="P313" s="350"/>
      <c r="Q313" s="254"/>
      <c r="R313" s="254"/>
      <c r="S313" s="254"/>
      <c r="T313" s="254"/>
      <c r="U313" s="254"/>
      <c r="V313" s="245"/>
      <c r="W313" s="245">
        <v>0</v>
      </c>
      <c r="X313" s="245">
        <v>0</v>
      </c>
      <c r="Y313" s="255"/>
      <c r="Z313" s="245">
        <f t="shared" si="178"/>
        <v>0</v>
      </c>
      <c r="AA313" s="244">
        <f t="shared" si="204"/>
        <v>0</v>
      </c>
      <c r="AB313" s="244">
        <f t="shared" si="204"/>
        <v>0</v>
      </c>
      <c r="AC313" s="244">
        <f t="shared" si="204"/>
        <v>0</v>
      </c>
      <c r="AD313" s="244">
        <f>T313</f>
        <v>0</v>
      </c>
      <c r="AE313" s="244">
        <f>U313-Z313</f>
        <v>0</v>
      </c>
      <c r="AF313" s="255"/>
      <c r="AG313" s="245"/>
      <c r="AH313" s="245"/>
      <c r="AI313" s="245"/>
      <c r="AJ313" s="245"/>
      <c r="AK313" s="245"/>
      <c r="AL313" s="245"/>
      <c r="AM313" s="245"/>
      <c r="AN313" s="336"/>
      <c r="AQ313" s="215"/>
      <c r="AR313" s="215"/>
      <c r="AS313" s="216"/>
      <c r="AY313" s="216"/>
      <c r="AZ313" s="216"/>
      <c r="BA313" s="216"/>
    </row>
    <row r="314" spans="1:53" s="224" customFormat="1" ht="47.25">
      <c r="A314" s="364">
        <v>1</v>
      </c>
      <c r="B314" s="689" t="s">
        <v>1181</v>
      </c>
      <c r="C314" s="690"/>
      <c r="D314" s="691"/>
      <c r="E314" s="382"/>
      <c r="F314" s="692" t="s">
        <v>326</v>
      </c>
      <c r="G314" s="692" t="s">
        <v>378</v>
      </c>
      <c r="H314" s="368">
        <v>2018</v>
      </c>
      <c r="I314" s="692"/>
      <c r="J314" s="693" t="s">
        <v>1182</v>
      </c>
      <c r="K314" s="694"/>
      <c r="L314" s="694"/>
      <c r="M314" s="243" t="s">
        <v>2373</v>
      </c>
      <c r="N314" s="695">
        <v>8480</v>
      </c>
      <c r="O314" s="382"/>
      <c r="P314" s="695">
        <v>8480</v>
      </c>
      <c r="Q314" s="695">
        <v>60</v>
      </c>
      <c r="R314" s="695"/>
      <c r="S314" s="695">
        <v>60</v>
      </c>
      <c r="T314" s="524">
        <v>8171</v>
      </c>
      <c r="U314" s="524">
        <v>8171</v>
      </c>
      <c r="V314" s="373">
        <v>2451</v>
      </c>
      <c r="W314" s="373">
        <v>2451.3000000000002</v>
      </c>
      <c r="X314" s="373">
        <v>30</v>
      </c>
      <c r="Y314" s="373"/>
      <c r="Z314" s="373">
        <f t="shared" si="178"/>
        <v>2451</v>
      </c>
      <c r="AA314" s="524">
        <f t="shared" si="204"/>
        <v>2511</v>
      </c>
      <c r="AB314" s="524">
        <f t="shared" si="204"/>
        <v>2451</v>
      </c>
      <c r="AC314" s="524">
        <f t="shared" si="204"/>
        <v>2511</v>
      </c>
      <c r="AD314" s="524">
        <f>T314</f>
        <v>8171</v>
      </c>
      <c r="AE314" s="524">
        <f>U314-Z314-60</f>
        <v>5660</v>
      </c>
      <c r="AF314" s="373">
        <v>1716</v>
      </c>
      <c r="AG314" s="373">
        <f t="shared" ref="AG314" si="210">AF314/AE314*100</f>
        <v>30.318021201413426</v>
      </c>
      <c r="AH314" s="373"/>
      <c r="AI314" s="373">
        <f t="shared" ref="AI314:AI315" si="211">AF314+AH314</f>
        <v>1716</v>
      </c>
      <c r="AJ314" s="373">
        <f t="shared" ref="AJ314:AJ315" si="212">AA314+AI314</f>
        <v>4227</v>
      </c>
      <c r="AK314" s="373">
        <f t="shared" ref="AK314:AK315" si="213">AC314+AI314</f>
        <v>4227</v>
      </c>
      <c r="AL314" s="373">
        <f>T314</f>
        <v>8171</v>
      </c>
      <c r="AM314" s="373">
        <f t="shared" ref="AM314:AM315" si="214">AE314-AI314</f>
        <v>3944</v>
      </c>
      <c r="AN314" s="367"/>
      <c r="AQ314" s="225" t="s">
        <v>998</v>
      </c>
      <c r="AR314" s="225" t="s">
        <v>1169</v>
      </c>
      <c r="AS314" s="226"/>
      <c r="AU314" s="696" t="s">
        <v>1180</v>
      </c>
      <c r="AY314" s="226"/>
      <c r="AZ314" s="226"/>
      <c r="BA314" s="226"/>
    </row>
    <row r="315" spans="1:53" ht="47.25">
      <c r="A315" s="248">
        <v>2</v>
      </c>
      <c r="B315" s="697" t="s">
        <v>1183</v>
      </c>
      <c r="C315" s="685"/>
      <c r="D315" s="686"/>
      <c r="E315" s="350"/>
      <c r="F315" s="665" t="s">
        <v>326</v>
      </c>
      <c r="G315" s="665" t="s">
        <v>378</v>
      </c>
      <c r="H315" s="253">
        <v>2018</v>
      </c>
      <c r="I315" s="665"/>
      <c r="J315" s="698" t="s">
        <v>1182</v>
      </c>
      <c r="K315" s="687"/>
      <c r="L315" s="687"/>
      <c r="M315" s="271" t="s">
        <v>2374</v>
      </c>
      <c r="N315" s="688">
        <v>10993</v>
      </c>
      <c r="O315" s="350"/>
      <c r="P315" s="688">
        <v>10993</v>
      </c>
      <c r="Q315" s="688">
        <v>60</v>
      </c>
      <c r="R315" s="688"/>
      <c r="S315" s="688">
        <v>60</v>
      </c>
      <c r="T315" s="699">
        <v>9900</v>
      </c>
      <c r="U315" s="254">
        <v>9900</v>
      </c>
      <c r="V315" s="245">
        <v>2970</v>
      </c>
      <c r="W315" s="245">
        <v>2970</v>
      </c>
      <c r="X315" s="245">
        <v>30</v>
      </c>
      <c r="Y315" s="255"/>
      <c r="Z315" s="245">
        <f t="shared" si="178"/>
        <v>2970</v>
      </c>
      <c r="AA315" s="244">
        <f t="shared" si="204"/>
        <v>3030</v>
      </c>
      <c r="AB315" s="244">
        <f t="shared" si="204"/>
        <v>2970</v>
      </c>
      <c r="AC315" s="244">
        <f t="shared" si="204"/>
        <v>3030</v>
      </c>
      <c r="AD315" s="244">
        <f>T315</f>
        <v>9900</v>
      </c>
      <c r="AE315" s="524">
        <f>U315-Z315-60</f>
        <v>6870</v>
      </c>
      <c r="AF315" s="245"/>
      <c r="AG315" s="245"/>
      <c r="AH315" s="245"/>
      <c r="AI315" s="245">
        <f t="shared" si="211"/>
        <v>0</v>
      </c>
      <c r="AJ315" s="245">
        <f t="shared" si="212"/>
        <v>3030</v>
      </c>
      <c r="AK315" s="245">
        <f t="shared" si="213"/>
        <v>3030</v>
      </c>
      <c r="AL315" s="245">
        <f>T315</f>
        <v>9900</v>
      </c>
      <c r="AM315" s="245">
        <f t="shared" si="214"/>
        <v>6870</v>
      </c>
      <c r="AN315" s="336"/>
      <c r="AQ315" s="215" t="s">
        <v>998</v>
      </c>
      <c r="AR315" s="215" t="s">
        <v>1169</v>
      </c>
      <c r="AS315" s="216"/>
      <c r="AU315" s="670" t="s">
        <v>1180</v>
      </c>
      <c r="AY315" s="216"/>
      <c r="AZ315" s="216"/>
      <c r="BA315" s="216"/>
    </row>
    <row r="316" spans="1:53" s="224" customFormat="1" ht="24.75" customHeight="1">
      <c r="A316" s="700" t="s">
        <v>184</v>
      </c>
      <c r="B316" s="701" t="s">
        <v>1184</v>
      </c>
      <c r="C316" s="702"/>
      <c r="D316" s="702"/>
      <c r="E316" s="700"/>
      <c r="F316" s="700"/>
      <c r="G316" s="702"/>
      <c r="H316" s="703"/>
      <c r="I316" s="703"/>
      <c r="J316" s="704"/>
      <c r="K316" s="704"/>
      <c r="L316" s="701"/>
      <c r="M316" s="700"/>
      <c r="N316" s="705">
        <f t="shared" ref="N316:AE316" si="215">SUBTOTAL(9,N317:N338)</f>
        <v>1023225</v>
      </c>
      <c r="O316" s="705">
        <f t="shared" si="215"/>
        <v>88130</v>
      </c>
      <c r="P316" s="705">
        <f t="shared" si="215"/>
        <v>332661.2</v>
      </c>
      <c r="Q316" s="705">
        <f t="shared" si="215"/>
        <v>677942</v>
      </c>
      <c r="R316" s="705">
        <f t="shared" si="215"/>
        <v>96973</v>
      </c>
      <c r="S316" s="705">
        <f t="shared" si="215"/>
        <v>251600</v>
      </c>
      <c r="T316" s="705">
        <f t="shared" si="215"/>
        <v>100988</v>
      </c>
      <c r="U316" s="705">
        <f t="shared" si="215"/>
        <v>48912</v>
      </c>
      <c r="V316" s="705">
        <f t="shared" si="215"/>
        <v>18478</v>
      </c>
      <c r="W316" s="705">
        <f t="shared" si="215"/>
        <v>18477.550000000156</v>
      </c>
      <c r="X316" s="705"/>
      <c r="Y316" s="705">
        <f t="shared" si="215"/>
        <v>19896</v>
      </c>
      <c r="Z316" s="705">
        <f t="shared" si="215"/>
        <v>38374</v>
      </c>
      <c r="AA316" s="705">
        <f t="shared" si="215"/>
        <v>716316</v>
      </c>
      <c r="AB316" s="705">
        <f t="shared" si="215"/>
        <v>135347</v>
      </c>
      <c r="AC316" s="705">
        <f t="shared" si="215"/>
        <v>289974</v>
      </c>
      <c r="AD316" s="705">
        <f t="shared" si="215"/>
        <v>100988</v>
      </c>
      <c r="AE316" s="705">
        <f t="shared" si="215"/>
        <v>10538</v>
      </c>
      <c r="AF316" s="706"/>
      <c r="AG316" s="245"/>
      <c r="AH316" s="245"/>
      <c r="AI316" s="245"/>
      <c r="AJ316" s="245"/>
      <c r="AK316" s="245"/>
      <c r="AL316" s="245"/>
      <c r="AM316" s="245"/>
      <c r="AN316" s="705">
        <v>31994</v>
      </c>
      <c r="AO316" s="707">
        <f>W316-AN316</f>
        <v>-13516.449999999844</v>
      </c>
      <c r="AQ316" s="225"/>
      <c r="AR316" s="225"/>
      <c r="AS316" s="226"/>
      <c r="AY316" s="226"/>
      <c r="AZ316" s="226"/>
      <c r="BA316" s="226"/>
    </row>
    <row r="317" spans="1:53" ht="51">
      <c r="A317" s="708">
        <v>1</v>
      </c>
      <c r="B317" s="709" t="s">
        <v>1185</v>
      </c>
      <c r="C317" s="709" t="s">
        <v>1186</v>
      </c>
      <c r="D317" s="710">
        <v>50388</v>
      </c>
      <c r="E317" s="711" t="s">
        <v>1187</v>
      </c>
      <c r="F317" s="712" t="s">
        <v>1188</v>
      </c>
      <c r="G317" s="711" t="s">
        <v>333</v>
      </c>
      <c r="H317" s="713">
        <v>2010</v>
      </c>
      <c r="I317" s="714" t="s">
        <v>1189</v>
      </c>
      <c r="J317" s="713">
        <v>2016</v>
      </c>
      <c r="K317" s="714" t="s">
        <v>1190</v>
      </c>
      <c r="L317" s="713"/>
      <c r="M317" s="715" t="s">
        <v>1191</v>
      </c>
      <c r="N317" s="716">
        <v>52941</v>
      </c>
      <c r="O317" s="716">
        <v>0</v>
      </c>
      <c r="P317" s="716">
        <v>52941</v>
      </c>
      <c r="Q317" s="716">
        <f>42616+1000</f>
        <v>43616</v>
      </c>
      <c r="R317" s="716">
        <v>0</v>
      </c>
      <c r="S317" s="716">
        <f>42616+1000</f>
        <v>43616</v>
      </c>
      <c r="T317" s="716">
        <v>9348</v>
      </c>
      <c r="U317" s="716">
        <f>5272-1000</f>
        <v>4272</v>
      </c>
      <c r="V317" s="245">
        <v>582</v>
      </c>
      <c r="W317" s="245">
        <v>581.59999999999991</v>
      </c>
      <c r="X317" s="245">
        <v>30</v>
      </c>
      <c r="Y317" s="717">
        <v>3690</v>
      </c>
      <c r="Z317" s="245">
        <f t="shared" si="178"/>
        <v>4272</v>
      </c>
      <c r="AA317" s="244">
        <f t="shared" ref="AA317:AA338" si="216">Q317+$Z317</f>
        <v>47888</v>
      </c>
      <c r="AB317" s="244">
        <f t="shared" ref="AB317:AB338" si="217">R317+$Z317</f>
        <v>4272</v>
      </c>
      <c r="AC317" s="244">
        <f t="shared" ref="AC317:AC338" si="218">S317+$Z317</f>
        <v>47888</v>
      </c>
      <c r="AD317" s="244">
        <f t="shared" ref="AD317:AD338" si="219">T317</f>
        <v>9348</v>
      </c>
      <c r="AE317" s="244">
        <f t="shared" ref="AE317:AE338" si="220">U317-Z317</f>
        <v>0</v>
      </c>
      <c r="AF317" s="717"/>
      <c r="AG317" s="245"/>
      <c r="AH317" s="245"/>
      <c r="AI317" s="245"/>
      <c r="AJ317" s="245"/>
      <c r="AK317" s="245"/>
      <c r="AL317" s="245"/>
      <c r="AM317" s="245"/>
      <c r="AN317" s="718"/>
      <c r="AQ317" s="215"/>
      <c r="AR317" s="215"/>
      <c r="AS317" s="216"/>
      <c r="AY317" s="216"/>
      <c r="AZ317" s="216"/>
      <c r="BA317" s="216"/>
    </row>
    <row r="318" spans="1:53" ht="38.25" customHeight="1">
      <c r="A318" s="708">
        <v>2</v>
      </c>
      <c r="B318" s="719" t="s">
        <v>1192</v>
      </c>
      <c r="C318" s="719" t="s">
        <v>1193</v>
      </c>
      <c r="D318" s="720">
        <v>15789.357</v>
      </c>
      <c r="E318" s="711" t="s">
        <v>1194</v>
      </c>
      <c r="F318" s="712" t="s">
        <v>1188</v>
      </c>
      <c r="G318" s="711" t="s">
        <v>333</v>
      </c>
      <c r="H318" s="713">
        <v>2010</v>
      </c>
      <c r="I318" s="713">
        <v>2010</v>
      </c>
      <c r="J318" s="713">
        <v>2012</v>
      </c>
      <c r="K318" s="713">
        <v>2012</v>
      </c>
      <c r="L318" s="713"/>
      <c r="M318" s="721" t="s">
        <v>1195</v>
      </c>
      <c r="N318" s="716">
        <v>15990</v>
      </c>
      <c r="O318" s="716">
        <v>0</v>
      </c>
      <c r="P318" s="716">
        <v>15990</v>
      </c>
      <c r="Q318" s="716">
        <v>15599</v>
      </c>
      <c r="R318" s="716">
        <v>0</v>
      </c>
      <c r="S318" s="716">
        <v>15599</v>
      </c>
      <c r="T318" s="716">
        <v>2890</v>
      </c>
      <c r="U318" s="716">
        <v>190</v>
      </c>
      <c r="V318" s="245">
        <v>190</v>
      </c>
      <c r="W318" s="245">
        <v>190</v>
      </c>
      <c r="X318" s="245">
        <v>100</v>
      </c>
      <c r="Y318" s="717"/>
      <c r="Z318" s="245">
        <f t="shared" si="178"/>
        <v>190</v>
      </c>
      <c r="AA318" s="244">
        <f t="shared" si="216"/>
        <v>15789</v>
      </c>
      <c r="AB318" s="244">
        <f t="shared" si="217"/>
        <v>190</v>
      </c>
      <c r="AC318" s="244">
        <f t="shared" si="218"/>
        <v>15789</v>
      </c>
      <c r="AD318" s="244">
        <f t="shared" si="219"/>
        <v>2890</v>
      </c>
      <c r="AE318" s="244">
        <f t="shared" si="220"/>
        <v>0</v>
      </c>
      <c r="AF318" s="717"/>
      <c r="AG318" s="245"/>
      <c r="AH318" s="245"/>
      <c r="AI318" s="245"/>
      <c r="AJ318" s="245"/>
      <c r="AK318" s="245"/>
      <c r="AL318" s="245"/>
      <c r="AM318" s="245"/>
      <c r="AN318" s="716"/>
      <c r="AQ318" s="215"/>
      <c r="AR318" s="215"/>
      <c r="AS318" s="216"/>
      <c r="AY318" s="216"/>
      <c r="AZ318" s="216"/>
      <c r="BA318" s="216"/>
    </row>
    <row r="319" spans="1:53" s="224" customFormat="1" ht="38.25">
      <c r="A319" s="722">
        <v>3</v>
      </c>
      <c r="B319" s="723" t="s">
        <v>1196</v>
      </c>
      <c r="C319" s="723" t="s">
        <v>1197</v>
      </c>
      <c r="D319" s="724"/>
      <c r="E319" s="725" t="s">
        <v>1194</v>
      </c>
      <c r="F319" s="726" t="s">
        <v>1188</v>
      </c>
      <c r="G319" s="727" t="s">
        <v>373</v>
      </c>
      <c r="H319" s="728">
        <v>2010</v>
      </c>
      <c r="I319" s="728">
        <v>2011</v>
      </c>
      <c r="J319" s="728">
        <v>2013</v>
      </c>
      <c r="K319" s="728">
        <v>2014</v>
      </c>
      <c r="L319" s="728"/>
      <c r="M319" s="729" t="s">
        <v>1198</v>
      </c>
      <c r="N319" s="730">
        <v>8753</v>
      </c>
      <c r="O319" s="730">
        <v>0</v>
      </c>
      <c r="P319" s="730">
        <v>8753</v>
      </c>
      <c r="Q319" s="730">
        <v>5840</v>
      </c>
      <c r="R319" s="730">
        <v>0</v>
      </c>
      <c r="S319" s="730">
        <v>5840</v>
      </c>
      <c r="T319" s="730">
        <v>2770</v>
      </c>
      <c r="U319" s="730">
        <v>209</v>
      </c>
      <c r="V319" s="245">
        <v>209</v>
      </c>
      <c r="W319" s="245">
        <v>209</v>
      </c>
      <c r="X319" s="245">
        <v>100</v>
      </c>
      <c r="Y319" s="731"/>
      <c r="Z319" s="245">
        <f t="shared" si="178"/>
        <v>209</v>
      </c>
      <c r="AA319" s="244">
        <f t="shared" si="216"/>
        <v>6049</v>
      </c>
      <c r="AB319" s="244">
        <f t="shared" si="217"/>
        <v>209</v>
      </c>
      <c r="AC319" s="244">
        <f t="shared" si="218"/>
        <v>6049</v>
      </c>
      <c r="AD319" s="244">
        <f t="shared" si="219"/>
        <v>2770</v>
      </c>
      <c r="AE319" s="244">
        <f t="shared" si="220"/>
        <v>0</v>
      </c>
      <c r="AF319" s="731"/>
      <c r="AG319" s="373"/>
      <c r="AH319" s="373"/>
      <c r="AI319" s="373"/>
      <c r="AJ319" s="373"/>
      <c r="AK319" s="373"/>
      <c r="AL319" s="373"/>
      <c r="AM319" s="373"/>
      <c r="AN319" s="730" t="s">
        <v>1199</v>
      </c>
      <c r="AQ319" s="225"/>
      <c r="AR319" s="225"/>
      <c r="AS319" s="226"/>
      <c r="AY319" s="226"/>
      <c r="AZ319" s="226"/>
      <c r="BA319" s="226"/>
    </row>
    <row r="320" spans="1:53" ht="38.25" customHeight="1">
      <c r="A320" s="708">
        <v>4</v>
      </c>
      <c r="B320" s="719" t="s">
        <v>1200</v>
      </c>
      <c r="C320" s="719" t="s">
        <v>1201</v>
      </c>
      <c r="D320" s="732">
        <v>32737.117999999999</v>
      </c>
      <c r="E320" s="711" t="s">
        <v>1194</v>
      </c>
      <c r="F320" s="712" t="s">
        <v>1188</v>
      </c>
      <c r="G320" s="711" t="s">
        <v>378</v>
      </c>
      <c r="H320" s="713">
        <v>2012</v>
      </c>
      <c r="I320" s="714" t="s">
        <v>1202</v>
      </c>
      <c r="J320" s="713">
        <v>2013</v>
      </c>
      <c r="K320" s="714" t="s">
        <v>1203</v>
      </c>
      <c r="L320" s="713"/>
      <c r="M320" s="733" t="s">
        <v>1204</v>
      </c>
      <c r="N320" s="716">
        <v>38908</v>
      </c>
      <c r="O320" s="716">
        <v>0</v>
      </c>
      <c r="P320" s="716">
        <v>3280</v>
      </c>
      <c r="Q320" s="716">
        <v>32338</v>
      </c>
      <c r="R320" s="716">
        <v>0</v>
      </c>
      <c r="S320" s="716">
        <v>2938</v>
      </c>
      <c r="T320" s="716">
        <v>2995</v>
      </c>
      <c r="U320" s="716">
        <v>537</v>
      </c>
      <c r="V320" s="245">
        <v>537</v>
      </c>
      <c r="W320" s="245">
        <v>537</v>
      </c>
      <c r="X320" s="245">
        <v>100</v>
      </c>
      <c r="Y320" s="717"/>
      <c r="Z320" s="245">
        <f t="shared" si="178"/>
        <v>537</v>
      </c>
      <c r="AA320" s="244">
        <f t="shared" si="216"/>
        <v>32875</v>
      </c>
      <c r="AB320" s="244">
        <f t="shared" si="217"/>
        <v>537</v>
      </c>
      <c r="AC320" s="244">
        <f t="shared" si="218"/>
        <v>3475</v>
      </c>
      <c r="AD320" s="244">
        <f t="shared" si="219"/>
        <v>2995</v>
      </c>
      <c r="AE320" s="244">
        <f t="shared" si="220"/>
        <v>0</v>
      </c>
      <c r="AF320" s="717"/>
      <c r="AG320" s="245"/>
      <c r="AH320" s="245"/>
      <c r="AI320" s="245"/>
      <c r="AJ320" s="245"/>
      <c r="AK320" s="245"/>
      <c r="AL320" s="245"/>
      <c r="AM320" s="245"/>
      <c r="AN320" s="716"/>
      <c r="AQ320" s="215"/>
      <c r="AR320" s="215"/>
      <c r="AS320" s="216"/>
      <c r="AY320" s="216"/>
      <c r="AZ320" s="216"/>
      <c r="BA320" s="216"/>
    </row>
    <row r="321" spans="1:53" ht="63.75">
      <c r="A321" s="708">
        <v>5</v>
      </c>
      <c r="B321" s="734" t="s">
        <v>1205</v>
      </c>
      <c r="C321" s="735" t="s">
        <v>1206</v>
      </c>
      <c r="D321" s="710">
        <v>6013</v>
      </c>
      <c r="E321" s="711" t="s">
        <v>1187</v>
      </c>
      <c r="F321" s="712" t="s">
        <v>1188</v>
      </c>
      <c r="G321" s="711" t="s">
        <v>378</v>
      </c>
      <c r="H321" s="713">
        <v>2011</v>
      </c>
      <c r="I321" s="713"/>
      <c r="J321" s="713">
        <v>2015</v>
      </c>
      <c r="K321" s="713"/>
      <c r="L321" s="713"/>
      <c r="M321" s="736" t="s">
        <v>1207</v>
      </c>
      <c r="N321" s="716">
        <v>19577</v>
      </c>
      <c r="O321" s="716">
        <v>0</v>
      </c>
      <c r="P321" s="716">
        <v>4013</v>
      </c>
      <c r="Q321" s="730">
        <f>4600+1100</f>
        <v>5700</v>
      </c>
      <c r="R321" s="730">
        <v>0</v>
      </c>
      <c r="S321" s="730">
        <f>2600+1100</f>
        <v>3700</v>
      </c>
      <c r="T321" s="716">
        <v>3513</v>
      </c>
      <c r="U321" s="716">
        <f>2513-1100</f>
        <v>1413</v>
      </c>
      <c r="V321" s="245">
        <v>1413</v>
      </c>
      <c r="W321" s="245">
        <v>1413</v>
      </c>
      <c r="X321" s="245">
        <v>100</v>
      </c>
      <c r="Y321" s="717"/>
      <c r="Z321" s="245">
        <f t="shared" si="178"/>
        <v>1413</v>
      </c>
      <c r="AA321" s="244">
        <f t="shared" si="216"/>
        <v>7113</v>
      </c>
      <c r="AB321" s="244">
        <f t="shared" si="217"/>
        <v>1413</v>
      </c>
      <c r="AC321" s="244">
        <f t="shared" si="218"/>
        <v>5113</v>
      </c>
      <c r="AD321" s="244">
        <f t="shared" si="219"/>
        <v>3513</v>
      </c>
      <c r="AE321" s="244">
        <f t="shared" si="220"/>
        <v>0</v>
      </c>
      <c r="AF321" s="717"/>
      <c r="AG321" s="245"/>
      <c r="AH321" s="245"/>
      <c r="AI321" s="245"/>
      <c r="AJ321" s="245"/>
      <c r="AK321" s="245"/>
      <c r="AL321" s="245"/>
      <c r="AM321" s="245"/>
      <c r="AN321" s="716" t="s">
        <v>1208</v>
      </c>
      <c r="AQ321" s="215"/>
      <c r="AR321" s="215"/>
      <c r="AS321" s="216"/>
      <c r="AY321" s="216"/>
      <c r="AZ321" s="216"/>
      <c r="BA321" s="216"/>
    </row>
    <row r="322" spans="1:53" ht="38.25">
      <c r="A322" s="708">
        <v>6</v>
      </c>
      <c r="B322" s="734" t="s">
        <v>1209</v>
      </c>
      <c r="C322" s="734"/>
      <c r="D322" s="734"/>
      <c r="E322" s="711" t="s">
        <v>1187</v>
      </c>
      <c r="F322" s="712" t="s">
        <v>1188</v>
      </c>
      <c r="G322" s="711" t="s">
        <v>333</v>
      </c>
      <c r="H322" s="713">
        <v>2010</v>
      </c>
      <c r="I322" s="713"/>
      <c r="J322" s="713">
        <v>2014</v>
      </c>
      <c r="K322" s="713"/>
      <c r="L322" s="713"/>
      <c r="M322" s="737" t="s">
        <v>1210</v>
      </c>
      <c r="N322" s="716">
        <v>175084</v>
      </c>
      <c r="O322" s="716">
        <v>0</v>
      </c>
      <c r="P322" s="716">
        <v>113063</v>
      </c>
      <c r="Q322" s="730">
        <v>166695</v>
      </c>
      <c r="R322" s="716">
        <v>0</v>
      </c>
      <c r="S322" s="716">
        <v>103954</v>
      </c>
      <c r="T322" s="716">
        <v>2121</v>
      </c>
      <c r="U322" s="716">
        <v>1121</v>
      </c>
      <c r="V322" s="245">
        <v>1121</v>
      </c>
      <c r="W322" s="245">
        <v>1121</v>
      </c>
      <c r="X322" s="245">
        <v>100</v>
      </c>
      <c r="Y322" s="717"/>
      <c r="Z322" s="245">
        <f t="shared" si="178"/>
        <v>1121</v>
      </c>
      <c r="AA322" s="244">
        <f t="shared" si="216"/>
        <v>167816</v>
      </c>
      <c r="AB322" s="244">
        <f t="shared" si="217"/>
        <v>1121</v>
      </c>
      <c r="AC322" s="244">
        <f t="shared" si="218"/>
        <v>105075</v>
      </c>
      <c r="AD322" s="244">
        <f t="shared" si="219"/>
        <v>2121</v>
      </c>
      <c r="AE322" s="244">
        <f t="shared" si="220"/>
        <v>0</v>
      </c>
      <c r="AF322" s="717"/>
      <c r="AG322" s="245"/>
      <c r="AH322" s="245"/>
      <c r="AI322" s="245"/>
      <c r="AJ322" s="245"/>
      <c r="AK322" s="245"/>
      <c r="AL322" s="245"/>
      <c r="AM322" s="245"/>
      <c r="AN322" s="716" t="s">
        <v>1208</v>
      </c>
      <c r="AQ322" s="215"/>
      <c r="AR322" s="215"/>
      <c r="AS322" s="216"/>
      <c r="AY322" s="216"/>
      <c r="AZ322" s="216"/>
      <c r="BA322" s="216"/>
    </row>
    <row r="323" spans="1:53" ht="38.25">
      <c r="A323" s="708">
        <v>7</v>
      </c>
      <c r="B323" s="734" t="s">
        <v>1211</v>
      </c>
      <c r="C323" s="734"/>
      <c r="D323" s="734"/>
      <c r="E323" s="711" t="s">
        <v>1187</v>
      </c>
      <c r="F323" s="712" t="s">
        <v>1188</v>
      </c>
      <c r="G323" s="738" t="s">
        <v>395</v>
      </c>
      <c r="H323" s="713">
        <v>2011</v>
      </c>
      <c r="I323" s="713"/>
      <c r="J323" s="713">
        <v>2012</v>
      </c>
      <c r="K323" s="713"/>
      <c r="L323" s="713"/>
      <c r="M323" s="739" t="s">
        <v>1212</v>
      </c>
      <c r="N323" s="716">
        <v>18047</v>
      </c>
      <c r="O323" s="716">
        <v>0</v>
      </c>
      <c r="P323" s="716">
        <v>3980</v>
      </c>
      <c r="Q323" s="716">
        <v>17000</v>
      </c>
      <c r="R323" s="716">
        <v>0</v>
      </c>
      <c r="S323" s="716">
        <v>2000</v>
      </c>
      <c r="T323" s="716">
        <v>1980</v>
      </c>
      <c r="U323" s="716">
        <v>980</v>
      </c>
      <c r="V323" s="245">
        <v>980</v>
      </c>
      <c r="W323" s="245">
        <v>980</v>
      </c>
      <c r="X323" s="245">
        <v>100</v>
      </c>
      <c r="Y323" s="717"/>
      <c r="Z323" s="245">
        <f t="shared" si="178"/>
        <v>980</v>
      </c>
      <c r="AA323" s="244">
        <f t="shared" si="216"/>
        <v>17980</v>
      </c>
      <c r="AB323" s="244">
        <f t="shared" si="217"/>
        <v>980</v>
      </c>
      <c r="AC323" s="244">
        <f t="shared" si="218"/>
        <v>2980</v>
      </c>
      <c r="AD323" s="244">
        <f t="shared" si="219"/>
        <v>1980</v>
      </c>
      <c r="AE323" s="244">
        <f t="shared" si="220"/>
        <v>0</v>
      </c>
      <c r="AF323" s="717"/>
      <c r="AG323" s="245"/>
      <c r="AH323" s="245"/>
      <c r="AI323" s="245"/>
      <c r="AJ323" s="245"/>
      <c r="AK323" s="245"/>
      <c r="AL323" s="245"/>
      <c r="AM323" s="245"/>
      <c r="AN323" s="716"/>
      <c r="AQ323" s="215"/>
      <c r="AR323" s="215"/>
      <c r="AS323" s="216"/>
      <c r="AY323" s="216"/>
      <c r="AZ323" s="216"/>
      <c r="BA323" s="216"/>
    </row>
    <row r="324" spans="1:53" ht="25.5">
      <c r="A324" s="708">
        <v>8</v>
      </c>
      <c r="B324" s="740" t="s">
        <v>1213</v>
      </c>
      <c r="C324" s="740" t="s">
        <v>1214</v>
      </c>
      <c r="D324" s="741"/>
      <c r="E324" s="711" t="s">
        <v>1194</v>
      </c>
      <c r="F324" s="712" t="s">
        <v>1188</v>
      </c>
      <c r="G324" s="742" t="s">
        <v>435</v>
      </c>
      <c r="H324" s="743">
        <v>2012</v>
      </c>
      <c r="I324" s="743"/>
      <c r="J324" s="743" t="s">
        <v>1215</v>
      </c>
      <c r="K324" s="743"/>
      <c r="L324" s="743"/>
      <c r="M324" s="737" t="s">
        <v>1216</v>
      </c>
      <c r="N324" s="716">
        <v>51192</v>
      </c>
      <c r="O324" s="716">
        <v>0</v>
      </c>
      <c r="P324" s="716">
        <v>1900</v>
      </c>
      <c r="Q324" s="716">
        <f>32000+900</f>
        <v>32900</v>
      </c>
      <c r="R324" s="716">
        <v>0</v>
      </c>
      <c r="S324" s="716">
        <f>1000+900</f>
        <v>1900</v>
      </c>
      <c r="T324" s="716">
        <v>1900</v>
      </c>
      <c r="U324" s="716">
        <f>900-900</f>
        <v>0</v>
      </c>
      <c r="V324" s="245">
        <v>0</v>
      </c>
      <c r="W324" s="245">
        <v>0</v>
      </c>
      <c r="X324" s="245">
        <v>100</v>
      </c>
      <c r="Y324" s="717"/>
      <c r="Z324" s="245">
        <f t="shared" si="178"/>
        <v>0</v>
      </c>
      <c r="AA324" s="244">
        <f t="shared" si="216"/>
        <v>32900</v>
      </c>
      <c r="AB324" s="244">
        <f t="shared" si="217"/>
        <v>0</v>
      </c>
      <c r="AC324" s="244">
        <f t="shared" si="218"/>
        <v>1900</v>
      </c>
      <c r="AD324" s="244">
        <f t="shared" si="219"/>
        <v>1900</v>
      </c>
      <c r="AE324" s="244">
        <f t="shared" si="220"/>
        <v>0</v>
      </c>
      <c r="AF324" s="717"/>
      <c r="AG324" s="245"/>
      <c r="AH324" s="245"/>
      <c r="AI324" s="245"/>
      <c r="AJ324" s="245"/>
      <c r="AK324" s="245"/>
      <c r="AL324" s="245"/>
      <c r="AM324" s="245"/>
      <c r="AN324" s="716"/>
      <c r="AQ324" s="215"/>
      <c r="AR324" s="215"/>
      <c r="AS324" s="216"/>
      <c r="AY324" s="216"/>
      <c r="AZ324" s="216"/>
      <c r="BA324" s="216"/>
    </row>
    <row r="325" spans="1:53" ht="25.5">
      <c r="A325" s="708">
        <v>9</v>
      </c>
      <c r="B325" s="744" t="s">
        <v>1217</v>
      </c>
      <c r="C325" s="734" t="s">
        <v>1214</v>
      </c>
      <c r="D325" s="710">
        <v>100616</v>
      </c>
      <c r="E325" s="745" t="s">
        <v>1218</v>
      </c>
      <c r="F325" s="712" t="s">
        <v>1188</v>
      </c>
      <c r="G325" s="711" t="s">
        <v>378</v>
      </c>
      <c r="H325" s="713">
        <v>2008</v>
      </c>
      <c r="I325" s="746"/>
      <c r="J325" s="713">
        <v>2014</v>
      </c>
      <c r="K325" s="714" t="s">
        <v>328</v>
      </c>
      <c r="L325" s="713"/>
      <c r="M325" s="713" t="s">
        <v>1219</v>
      </c>
      <c r="N325" s="716">
        <v>112794</v>
      </c>
      <c r="O325" s="716">
        <v>88130</v>
      </c>
      <c r="P325" s="716">
        <v>24664</v>
      </c>
      <c r="Q325" s="716">
        <f>90130+1000</f>
        <v>91130</v>
      </c>
      <c r="R325" s="716">
        <v>88130</v>
      </c>
      <c r="S325" s="716">
        <f>2000+1000</f>
        <v>3000</v>
      </c>
      <c r="T325" s="716">
        <v>8649</v>
      </c>
      <c r="U325" s="716">
        <f>6649-1000</f>
        <v>5649</v>
      </c>
      <c r="V325" s="245">
        <v>995</v>
      </c>
      <c r="W325" s="245">
        <v>994.7</v>
      </c>
      <c r="X325" s="245">
        <v>30</v>
      </c>
      <c r="Y325" s="717">
        <v>4654</v>
      </c>
      <c r="Z325" s="245">
        <f t="shared" si="178"/>
        <v>5649</v>
      </c>
      <c r="AA325" s="244">
        <f t="shared" si="216"/>
        <v>96779</v>
      </c>
      <c r="AB325" s="244">
        <f t="shared" si="217"/>
        <v>93779</v>
      </c>
      <c r="AC325" s="244">
        <f t="shared" si="218"/>
        <v>8649</v>
      </c>
      <c r="AD325" s="244">
        <f t="shared" si="219"/>
        <v>8649</v>
      </c>
      <c r="AE325" s="244">
        <f t="shared" si="220"/>
        <v>0</v>
      </c>
      <c r="AF325" s="717"/>
      <c r="AG325" s="245"/>
      <c r="AH325" s="245"/>
      <c r="AI325" s="245"/>
      <c r="AJ325" s="245"/>
      <c r="AK325" s="245"/>
      <c r="AL325" s="245"/>
      <c r="AM325" s="245"/>
      <c r="AN325" s="716"/>
      <c r="AQ325" s="215"/>
      <c r="AR325" s="215"/>
      <c r="AS325" s="216"/>
      <c r="AY325" s="216"/>
      <c r="AZ325" s="216"/>
      <c r="BA325" s="216"/>
    </row>
    <row r="326" spans="1:53" ht="51">
      <c r="A326" s="708">
        <v>10</v>
      </c>
      <c r="B326" s="747" t="s">
        <v>1220</v>
      </c>
      <c r="C326" s="747" t="s">
        <v>1221</v>
      </c>
      <c r="D326" s="747">
        <v>153137</v>
      </c>
      <c r="E326" s="711" t="s">
        <v>1218</v>
      </c>
      <c r="F326" s="712" t="s">
        <v>1188</v>
      </c>
      <c r="G326" s="711" t="s">
        <v>327</v>
      </c>
      <c r="H326" s="713">
        <v>2010</v>
      </c>
      <c r="I326" s="713">
        <v>2010</v>
      </c>
      <c r="J326" s="713">
        <v>2016</v>
      </c>
      <c r="K326" s="713">
        <v>2014</v>
      </c>
      <c r="L326" s="713"/>
      <c r="M326" s="748" t="s">
        <v>1222</v>
      </c>
      <c r="N326" s="716">
        <v>257147</v>
      </c>
      <c r="O326" s="716">
        <v>0</v>
      </c>
      <c r="P326" s="716">
        <v>50000</v>
      </c>
      <c r="Q326" s="730">
        <f>50000+5000+19000+3500+3500</f>
        <v>81000</v>
      </c>
      <c r="R326" s="730">
        <v>0</v>
      </c>
      <c r="S326" s="730">
        <f>8500+3500</f>
        <v>12000</v>
      </c>
      <c r="T326" s="716">
        <v>20000</v>
      </c>
      <c r="U326" s="716">
        <f>15000-3500</f>
        <v>11500</v>
      </c>
      <c r="V326" s="245">
        <v>1000</v>
      </c>
      <c r="W326" s="245">
        <v>1000</v>
      </c>
      <c r="X326" s="245">
        <v>30</v>
      </c>
      <c r="Y326" s="717">
        <v>5250</v>
      </c>
      <c r="Z326" s="245">
        <f t="shared" si="178"/>
        <v>6250</v>
      </c>
      <c r="AA326" s="244">
        <f t="shared" si="216"/>
        <v>87250</v>
      </c>
      <c r="AB326" s="244">
        <f t="shared" si="217"/>
        <v>6250</v>
      </c>
      <c r="AC326" s="244">
        <f t="shared" si="218"/>
        <v>18250</v>
      </c>
      <c r="AD326" s="244">
        <f t="shared" si="219"/>
        <v>20000</v>
      </c>
      <c r="AE326" s="244">
        <f t="shared" si="220"/>
        <v>5250</v>
      </c>
      <c r="AF326" s="245">
        <v>5250</v>
      </c>
      <c r="AG326" s="245">
        <f t="shared" ref="AG326" si="221">AF326/AE326*100</f>
        <v>100</v>
      </c>
      <c r="AH326" s="245"/>
      <c r="AI326" s="245">
        <f t="shared" ref="AI326" si="222">AF326+AH326</f>
        <v>5250</v>
      </c>
      <c r="AJ326" s="245">
        <f t="shared" ref="AJ326" si="223">AA326+AI326</f>
        <v>92500</v>
      </c>
      <c r="AK326" s="245">
        <f t="shared" ref="AK326" si="224">AC326+AI326</f>
        <v>23500</v>
      </c>
      <c r="AL326" s="245">
        <f>T326</f>
        <v>20000</v>
      </c>
      <c r="AM326" s="245">
        <f t="shared" ref="AM326" si="225">AE326-AI326</f>
        <v>0</v>
      </c>
      <c r="AN326" s="716" t="s">
        <v>1208</v>
      </c>
      <c r="AQ326" s="215"/>
      <c r="AR326" s="215"/>
      <c r="AS326" s="216"/>
      <c r="AU326" s="749" t="s">
        <v>1223</v>
      </c>
      <c r="AY326" s="216"/>
      <c r="AZ326" s="216"/>
      <c r="BA326" s="216"/>
    </row>
    <row r="327" spans="1:53" ht="38.25">
      <c r="A327" s="708">
        <v>11</v>
      </c>
      <c r="B327" s="734" t="s">
        <v>1224</v>
      </c>
      <c r="C327" s="734" t="s">
        <v>1214</v>
      </c>
      <c r="D327" s="750">
        <v>21720</v>
      </c>
      <c r="E327" s="711" t="s">
        <v>1187</v>
      </c>
      <c r="F327" s="712" t="s">
        <v>1188</v>
      </c>
      <c r="G327" s="711" t="s">
        <v>333</v>
      </c>
      <c r="H327" s="713">
        <v>2013</v>
      </c>
      <c r="I327" s="713">
        <v>2013</v>
      </c>
      <c r="J327" s="713">
        <v>2014</v>
      </c>
      <c r="K327" s="713">
        <v>2014</v>
      </c>
      <c r="L327" s="713"/>
      <c r="M327" s="737" t="s">
        <v>1225</v>
      </c>
      <c r="N327" s="716">
        <v>35209</v>
      </c>
      <c r="O327" s="716">
        <v>0</v>
      </c>
      <c r="P327" s="716">
        <v>21720</v>
      </c>
      <c r="Q327" s="716">
        <f>21150+1000</f>
        <v>22150</v>
      </c>
      <c r="R327" s="716">
        <v>0</v>
      </c>
      <c r="S327" s="716">
        <f>21150+1000</f>
        <v>22150</v>
      </c>
      <c r="T327" s="716">
        <v>2570</v>
      </c>
      <c r="U327" s="716">
        <f>1570-1000</f>
        <v>570</v>
      </c>
      <c r="V327" s="245">
        <v>570</v>
      </c>
      <c r="W327" s="245">
        <v>570</v>
      </c>
      <c r="X327" s="245">
        <v>100</v>
      </c>
      <c r="Y327" s="717"/>
      <c r="Z327" s="245">
        <f t="shared" si="178"/>
        <v>570</v>
      </c>
      <c r="AA327" s="244">
        <f t="shared" si="216"/>
        <v>22720</v>
      </c>
      <c r="AB327" s="244">
        <f t="shared" si="217"/>
        <v>570</v>
      </c>
      <c r="AC327" s="244">
        <f t="shared" si="218"/>
        <v>22720</v>
      </c>
      <c r="AD327" s="244">
        <f t="shared" si="219"/>
        <v>2570</v>
      </c>
      <c r="AE327" s="244">
        <f t="shared" si="220"/>
        <v>0</v>
      </c>
      <c r="AF327" s="717"/>
      <c r="AG327" s="245"/>
      <c r="AH327" s="245"/>
      <c r="AI327" s="245"/>
      <c r="AJ327" s="245"/>
      <c r="AK327" s="245"/>
      <c r="AL327" s="245"/>
      <c r="AM327" s="245"/>
      <c r="AN327" s="716"/>
      <c r="AQ327" s="215"/>
      <c r="AR327" s="215"/>
      <c r="AS327" s="216"/>
      <c r="AY327" s="216"/>
      <c r="AZ327" s="216"/>
      <c r="BA327" s="216"/>
    </row>
    <row r="328" spans="1:53" ht="25.5">
      <c r="A328" s="708">
        <v>12</v>
      </c>
      <c r="B328" s="734" t="s">
        <v>1226</v>
      </c>
      <c r="C328" s="734"/>
      <c r="D328" s="751"/>
      <c r="E328" s="711" t="s">
        <v>1187</v>
      </c>
      <c r="F328" s="712" t="s">
        <v>1188</v>
      </c>
      <c r="G328" s="737" t="s">
        <v>373</v>
      </c>
      <c r="H328" s="713">
        <v>2014</v>
      </c>
      <c r="I328" s="713">
        <v>2015</v>
      </c>
      <c r="J328" s="713">
        <v>2016</v>
      </c>
      <c r="K328" s="713" t="s">
        <v>328</v>
      </c>
      <c r="L328" s="713"/>
      <c r="M328" s="737" t="s">
        <v>1227</v>
      </c>
      <c r="N328" s="716">
        <v>3735</v>
      </c>
      <c r="O328" s="716">
        <v>0</v>
      </c>
      <c r="P328" s="716">
        <v>3361</v>
      </c>
      <c r="Q328" s="716">
        <v>3300</v>
      </c>
      <c r="R328" s="716">
        <v>0</v>
      </c>
      <c r="S328" s="716">
        <v>3300</v>
      </c>
      <c r="T328" s="716">
        <v>1061</v>
      </c>
      <c r="U328" s="716">
        <v>61</v>
      </c>
      <c r="V328" s="245">
        <v>61</v>
      </c>
      <c r="W328" s="245">
        <v>61</v>
      </c>
      <c r="X328" s="245">
        <v>100</v>
      </c>
      <c r="Y328" s="717"/>
      <c r="Z328" s="245">
        <f t="shared" si="178"/>
        <v>61</v>
      </c>
      <c r="AA328" s="244">
        <f t="shared" si="216"/>
        <v>3361</v>
      </c>
      <c r="AB328" s="244">
        <f t="shared" si="217"/>
        <v>61</v>
      </c>
      <c r="AC328" s="244">
        <f t="shared" si="218"/>
        <v>3361</v>
      </c>
      <c r="AD328" s="244">
        <f t="shared" si="219"/>
        <v>1061</v>
      </c>
      <c r="AE328" s="244">
        <f t="shared" si="220"/>
        <v>0</v>
      </c>
      <c r="AF328" s="717"/>
      <c r="AG328" s="245"/>
      <c r="AH328" s="245"/>
      <c r="AI328" s="245"/>
      <c r="AJ328" s="245"/>
      <c r="AK328" s="245"/>
      <c r="AL328" s="245"/>
      <c r="AM328" s="245"/>
      <c r="AN328" s="716"/>
      <c r="AQ328" s="215"/>
      <c r="AR328" s="215"/>
      <c r="AS328" s="216"/>
      <c r="AY328" s="216"/>
      <c r="AZ328" s="216"/>
      <c r="BA328" s="216"/>
    </row>
    <row r="329" spans="1:53">
      <c r="A329" s="708">
        <v>13</v>
      </c>
      <c r="B329" s="740" t="s">
        <v>1228</v>
      </c>
      <c r="C329" s="740"/>
      <c r="D329" s="740"/>
      <c r="E329" s="711" t="s">
        <v>1169</v>
      </c>
      <c r="F329" s="712" t="s">
        <v>1188</v>
      </c>
      <c r="G329" s="711" t="s">
        <v>327</v>
      </c>
      <c r="H329" s="752" t="s">
        <v>1229</v>
      </c>
      <c r="I329" s="752"/>
      <c r="J329" s="743" t="s">
        <v>1229</v>
      </c>
      <c r="K329" s="743"/>
      <c r="L329" s="743"/>
      <c r="M329" s="753"/>
      <c r="N329" s="716">
        <v>0</v>
      </c>
      <c r="O329" s="716">
        <v>0</v>
      </c>
      <c r="P329" s="716">
        <v>0</v>
      </c>
      <c r="Q329" s="716">
        <v>1000</v>
      </c>
      <c r="R329" s="716">
        <v>0</v>
      </c>
      <c r="S329" s="716">
        <v>1000</v>
      </c>
      <c r="T329" s="716">
        <v>3300</v>
      </c>
      <c r="U329" s="716">
        <v>2300</v>
      </c>
      <c r="V329" s="245">
        <v>2300</v>
      </c>
      <c r="W329" s="245">
        <v>2300</v>
      </c>
      <c r="X329" s="245">
        <v>100</v>
      </c>
      <c r="Y329" s="717"/>
      <c r="Z329" s="245">
        <f t="shared" si="178"/>
        <v>2300</v>
      </c>
      <c r="AA329" s="244">
        <f t="shared" si="216"/>
        <v>3300</v>
      </c>
      <c r="AB329" s="244">
        <f t="shared" si="217"/>
        <v>2300</v>
      </c>
      <c r="AC329" s="244">
        <f t="shared" si="218"/>
        <v>3300</v>
      </c>
      <c r="AD329" s="244">
        <f t="shared" si="219"/>
        <v>3300</v>
      </c>
      <c r="AE329" s="244">
        <f t="shared" si="220"/>
        <v>0</v>
      </c>
      <c r="AF329" s="717"/>
      <c r="AG329" s="245"/>
      <c r="AH329" s="245"/>
      <c r="AI329" s="245"/>
      <c r="AJ329" s="245"/>
      <c r="AK329" s="245"/>
      <c r="AL329" s="245"/>
      <c r="AM329" s="245"/>
      <c r="AN329" s="716"/>
      <c r="AQ329" s="215"/>
      <c r="AR329" s="215"/>
      <c r="AS329" s="216"/>
      <c r="AY329" s="216"/>
      <c r="AZ329" s="216"/>
      <c r="BA329" s="216"/>
    </row>
    <row r="330" spans="1:53" ht="52.5" customHeight="1">
      <c r="A330" s="708">
        <v>14</v>
      </c>
      <c r="B330" s="734" t="s">
        <v>1230</v>
      </c>
      <c r="C330" s="754" t="s">
        <v>1231</v>
      </c>
      <c r="D330" s="732">
        <v>14899</v>
      </c>
      <c r="E330" s="711" t="s">
        <v>1194</v>
      </c>
      <c r="F330" s="712" t="s">
        <v>1188</v>
      </c>
      <c r="G330" s="738" t="s">
        <v>395</v>
      </c>
      <c r="H330" s="713">
        <v>2009</v>
      </c>
      <c r="I330" s="713">
        <v>2009</v>
      </c>
      <c r="J330" s="713">
        <v>2012</v>
      </c>
      <c r="K330" s="713">
        <v>2012</v>
      </c>
      <c r="L330" s="713"/>
      <c r="M330" s="739" t="s">
        <v>1232</v>
      </c>
      <c r="N330" s="716">
        <v>17000</v>
      </c>
      <c r="O330" s="716">
        <v>0</v>
      </c>
      <c r="P330" s="716">
        <v>4190</v>
      </c>
      <c r="Q330" s="716">
        <f>11757+2056</f>
        <v>13813</v>
      </c>
      <c r="R330" s="716">
        <v>0</v>
      </c>
      <c r="S330" s="716">
        <f>1047+2056</f>
        <v>3103</v>
      </c>
      <c r="T330" s="716">
        <v>4190</v>
      </c>
      <c r="U330" s="716">
        <f>3143-2056</f>
        <v>1087</v>
      </c>
      <c r="V330" s="245">
        <v>1087</v>
      </c>
      <c r="W330" s="245">
        <v>1087</v>
      </c>
      <c r="X330" s="245">
        <v>100</v>
      </c>
      <c r="Y330" s="717"/>
      <c r="Z330" s="245">
        <f t="shared" si="178"/>
        <v>1087</v>
      </c>
      <c r="AA330" s="244">
        <f t="shared" si="216"/>
        <v>14900</v>
      </c>
      <c r="AB330" s="244">
        <f t="shared" si="217"/>
        <v>1087</v>
      </c>
      <c r="AC330" s="244">
        <f t="shared" si="218"/>
        <v>4190</v>
      </c>
      <c r="AD330" s="244">
        <f t="shared" si="219"/>
        <v>4190</v>
      </c>
      <c r="AE330" s="244">
        <f t="shared" si="220"/>
        <v>0</v>
      </c>
      <c r="AF330" s="717"/>
      <c r="AG330" s="245"/>
      <c r="AH330" s="245"/>
      <c r="AI330" s="245"/>
      <c r="AJ330" s="245"/>
      <c r="AK330" s="245"/>
      <c r="AL330" s="245"/>
      <c r="AM330" s="245"/>
      <c r="AN330" s="716"/>
      <c r="AQ330" s="215"/>
      <c r="AR330" s="215"/>
      <c r="AS330" s="216"/>
      <c r="AY330" s="216"/>
      <c r="AZ330" s="216"/>
      <c r="BA330" s="216"/>
    </row>
    <row r="331" spans="1:53" ht="89.25" customHeight="1">
      <c r="A331" s="708">
        <v>15</v>
      </c>
      <c r="B331" s="734" t="s">
        <v>1233</v>
      </c>
      <c r="C331" s="734" t="s">
        <v>1234</v>
      </c>
      <c r="D331" s="732">
        <v>25302.133999999998</v>
      </c>
      <c r="E331" s="711" t="s">
        <v>1194</v>
      </c>
      <c r="F331" s="712" t="s">
        <v>1188</v>
      </c>
      <c r="G331" s="711" t="s">
        <v>378</v>
      </c>
      <c r="H331" s="713">
        <v>2011</v>
      </c>
      <c r="I331" s="714" t="s">
        <v>1235</v>
      </c>
      <c r="J331" s="713">
        <v>2012</v>
      </c>
      <c r="K331" s="714" t="s">
        <v>1236</v>
      </c>
      <c r="L331" s="713"/>
      <c r="M331" s="739" t="s">
        <v>1237</v>
      </c>
      <c r="N331" s="716">
        <v>27139</v>
      </c>
      <c r="O331" s="716">
        <v>0</v>
      </c>
      <c r="P331" s="716">
        <v>1802</v>
      </c>
      <c r="Q331" s="716">
        <v>24500</v>
      </c>
      <c r="R331" s="716">
        <v>0</v>
      </c>
      <c r="S331" s="716">
        <v>1000</v>
      </c>
      <c r="T331" s="716">
        <v>1802</v>
      </c>
      <c r="U331" s="716">
        <v>802</v>
      </c>
      <c r="V331" s="245">
        <v>802</v>
      </c>
      <c r="W331" s="245">
        <v>802</v>
      </c>
      <c r="X331" s="245">
        <v>100</v>
      </c>
      <c r="Y331" s="717"/>
      <c r="Z331" s="245">
        <f t="shared" si="178"/>
        <v>802</v>
      </c>
      <c r="AA331" s="244">
        <f t="shared" si="216"/>
        <v>25302</v>
      </c>
      <c r="AB331" s="244">
        <f t="shared" si="217"/>
        <v>802</v>
      </c>
      <c r="AC331" s="244">
        <f t="shared" si="218"/>
        <v>1802</v>
      </c>
      <c r="AD331" s="244">
        <f t="shared" si="219"/>
        <v>1802</v>
      </c>
      <c r="AE331" s="244">
        <f t="shared" si="220"/>
        <v>0</v>
      </c>
      <c r="AF331" s="717"/>
      <c r="AG331" s="245"/>
      <c r="AH331" s="245"/>
      <c r="AI331" s="245"/>
      <c r="AJ331" s="245"/>
      <c r="AK331" s="245"/>
      <c r="AL331" s="245"/>
      <c r="AM331" s="245"/>
      <c r="AN331" s="716"/>
      <c r="AQ331" s="215"/>
      <c r="AR331" s="215"/>
      <c r="AS331" s="216"/>
      <c r="AY331" s="216"/>
      <c r="AZ331" s="216"/>
      <c r="BA331" s="216"/>
    </row>
    <row r="332" spans="1:53" ht="63.75">
      <c r="A332" s="708">
        <v>16</v>
      </c>
      <c r="B332" s="719" t="s">
        <v>1238</v>
      </c>
      <c r="C332" s="719" t="s">
        <v>1239</v>
      </c>
      <c r="D332" s="755">
        <v>22606</v>
      </c>
      <c r="E332" s="711" t="s">
        <v>1194</v>
      </c>
      <c r="F332" s="712" t="s">
        <v>1188</v>
      </c>
      <c r="G332" s="737" t="s">
        <v>341</v>
      </c>
      <c r="H332" s="713">
        <v>2013</v>
      </c>
      <c r="I332" s="714" t="s">
        <v>1240</v>
      </c>
      <c r="J332" s="713">
        <v>2015</v>
      </c>
      <c r="K332" s="714" t="s">
        <v>1241</v>
      </c>
      <c r="L332" s="713"/>
      <c r="M332" s="753" t="s">
        <v>1242</v>
      </c>
      <c r="N332" s="716">
        <v>22981</v>
      </c>
      <c r="O332" s="716">
        <v>0</v>
      </c>
      <c r="P332" s="716">
        <v>2981</v>
      </c>
      <c r="Q332" s="716">
        <f>21000+1000</f>
        <v>22000</v>
      </c>
      <c r="R332" s="716">
        <v>0</v>
      </c>
      <c r="S332" s="716">
        <f>1000+1000</f>
        <v>2000</v>
      </c>
      <c r="T332" s="716">
        <v>2606</v>
      </c>
      <c r="U332" s="716">
        <f>1606-1000</f>
        <v>606</v>
      </c>
      <c r="V332" s="245">
        <v>606</v>
      </c>
      <c r="W332" s="245">
        <v>606</v>
      </c>
      <c r="X332" s="245">
        <v>100</v>
      </c>
      <c r="Y332" s="717"/>
      <c r="Z332" s="245">
        <f t="shared" si="178"/>
        <v>606</v>
      </c>
      <c r="AA332" s="244">
        <f t="shared" si="216"/>
        <v>22606</v>
      </c>
      <c r="AB332" s="244">
        <f t="shared" si="217"/>
        <v>606</v>
      </c>
      <c r="AC332" s="244">
        <f t="shared" si="218"/>
        <v>2606</v>
      </c>
      <c r="AD332" s="244">
        <f t="shared" si="219"/>
        <v>2606</v>
      </c>
      <c r="AE332" s="244">
        <f t="shared" si="220"/>
        <v>0</v>
      </c>
      <c r="AF332" s="717"/>
      <c r="AG332" s="245"/>
      <c r="AH332" s="245"/>
      <c r="AI332" s="245"/>
      <c r="AJ332" s="245"/>
      <c r="AK332" s="245"/>
      <c r="AL332" s="245"/>
      <c r="AM332" s="245"/>
      <c r="AN332" s="716"/>
      <c r="AQ332" s="215"/>
      <c r="AR332" s="215"/>
      <c r="AS332" s="216"/>
      <c r="AY332" s="216"/>
      <c r="AZ332" s="216"/>
      <c r="BA332" s="216"/>
    </row>
    <row r="333" spans="1:53" s="224" customFormat="1" ht="25.5">
      <c r="A333" s="722">
        <v>17</v>
      </c>
      <c r="B333" s="756" t="s">
        <v>1243</v>
      </c>
      <c r="C333" s="756" t="s">
        <v>1244</v>
      </c>
      <c r="D333" s="757"/>
      <c r="E333" s="725" t="s">
        <v>1194</v>
      </c>
      <c r="F333" s="726" t="s">
        <v>1188</v>
      </c>
      <c r="G333" s="758" t="s">
        <v>373</v>
      </c>
      <c r="H333" s="728">
        <v>2013</v>
      </c>
      <c r="I333" s="728"/>
      <c r="J333" s="728">
        <v>2015</v>
      </c>
      <c r="K333" s="728"/>
      <c r="L333" s="728"/>
      <c r="M333" s="759" t="s">
        <v>1245</v>
      </c>
      <c r="N333" s="730">
        <v>7578</v>
      </c>
      <c r="O333" s="730">
        <v>0</v>
      </c>
      <c r="P333" s="730">
        <v>1647.1999999999998</v>
      </c>
      <c r="Q333" s="730">
        <v>6173</v>
      </c>
      <c r="R333" s="730">
        <v>0</v>
      </c>
      <c r="S333" s="730">
        <v>1000</v>
      </c>
      <c r="T333" s="730">
        <v>1647</v>
      </c>
      <c r="U333" s="730">
        <v>469</v>
      </c>
      <c r="V333" s="245">
        <v>469</v>
      </c>
      <c r="W333" s="245">
        <v>469</v>
      </c>
      <c r="X333" s="245">
        <v>100</v>
      </c>
      <c r="Y333" s="731"/>
      <c r="Z333" s="245">
        <f t="shared" si="178"/>
        <v>469</v>
      </c>
      <c r="AA333" s="244">
        <f t="shared" si="216"/>
        <v>6642</v>
      </c>
      <c r="AB333" s="244">
        <f t="shared" si="217"/>
        <v>469</v>
      </c>
      <c r="AC333" s="244">
        <f t="shared" si="218"/>
        <v>1469</v>
      </c>
      <c r="AD333" s="244">
        <f t="shared" si="219"/>
        <v>1647</v>
      </c>
      <c r="AE333" s="244">
        <f t="shared" si="220"/>
        <v>0</v>
      </c>
      <c r="AF333" s="731"/>
      <c r="AG333" s="373"/>
      <c r="AH333" s="373"/>
      <c r="AI333" s="373"/>
      <c r="AJ333" s="373"/>
      <c r="AK333" s="373"/>
      <c r="AL333" s="373"/>
      <c r="AM333" s="373"/>
      <c r="AN333" s="730" t="s">
        <v>1246</v>
      </c>
      <c r="AQ333" s="225"/>
      <c r="AR333" s="225"/>
      <c r="AS333" s="226"/>
      <c r="AY333" s="226"/>
      <c r="AZ333" s="226"/>
      <c r="BA333" s="226"/>
    </row>
    <row r="334" spans="1:53" ht="73.5" customHeight="1">
      <c r="A334" s="708">
        <v>18</v>
      </c>
      <c r="B334" s="734" t="s">
        <v>1247</v>
      </c>
      <c r="C334" s="734" t="s">
        <v>1248</v>
      </c>
      <c r="D334" s="720">
        <v>14791</v>
      </c>
      <c r="E334" s="711" t="s">
        <v>1194</v>
      </c>
      <c r="F334" s="712" t="s">
        <v>1188</v>
      </c>
      <c r="G334" s="711" t="s">
        <v>378</v>
      </c>
      <c r="H334" s="713">
        <v>2014</v>
      </c>
      <c r="I334" s="714" t="s">
        <v>1249</v>
      </c>
      <c r="J334" s="713">
        <v>2015</v>
      </c>
      <c r="K334" s="746" t="s">
        <v>1250</v>
      </c>
      <c r="L334" s="713"/>
      <c r="M334" s="739" t="s">
        <v>1251</v>
      </c>
      <c r="N334" s="716">
        <v>15029</v>
      </c>
      <c r="O334" s="716">
        <v>0</v>
      </c>
      <c r="P334" s="716">
        <v>2791</v>
      </c>
      <c r="Q334" s="716">
        <f>14000+1000</f>
        <v>15000</v>
      </c>
      <c r="R334" s="716">
        <v>0</v>
      </c>
      <c r="S334" s="716">
        <f>2000+1000</f>
        <v>3000</v>
      </c>
      <c r="T334" s="716">
        <v>2791</v>
      </c>
      <c r="U334" s="716">
        <f>1791-1000</f>
        <v>791</v>
      </c>
      <c r="V334" s="245">
        <v>791</v>
      </c>
      <c r="W334" s="245">
        <v>791</v>
      </c>
      <c r="X334" s="245">
        <v>100</v>
      </c>
      <c r="Y334" s="717"/>
      <c r="Z334" s="245">
        <f t="shared" si="178"/>
        <v>791</v>
      </c>
      <c r="AA334" s="244">
        <f t="shared" si="216"/>
        <v>15791</v>
      </c>
      <c r="AB334" s="244">
        <f t="shared" si="217"/>
        <v>791</v>
      </c>
      <c r="AC334" s="244">
        <f t="shared" si="218"/>
        <v>3791</v>
      </c>
      <c r="AD334" s="244">
        <f t="shared" si="219"/>
        <v>2791</v>
      </c>
      <c r="AE334" s="244">
        <f t="shared" si="220"/>
        <v>0</v>
      </c>
      <c r="AF334" s="717"/>
      <c r="AG334" s="245"/>
      <c r="AH334" s="245"/>
      <c r="AI334" s="245"/>
      <c r="AJ334" s="245"/>
      <c r="AK334" s="245"/>
      <c r="AL334" s="245"/>
      <c r="AM334" s="245"/>
      <c r="AN334" s="716"/>
      <c r="AQ334" s="215"/>
      <c r="AR334" s="215"/>
      <c r="AS334" s="216"/>
      <c r="AY334" s="216"/>
      <c r="AZ334" s="216"/>
      <c r="BA334" s="216"/>
    </row>
    <row r="335" spans="1:53" ht="53.25" customHeight="1">
      <c r="A335" s="708">
        <v>19</v>
      </c>
      <c r="B335" s="734" t="s">
        <v>1252</v>
      </c>
      <c r="C335" s="734" t="s">
        <v>1253</v>
      </c>
      <c r="D335" s="720">
        <v>13157.465</v>
      </c>
      <c r="E335" s="711" t="s">
        <v>1194</v>
      </c>
      <c r="F335" s="712" t="s">
        <v>1188</v>
      </c>
      <c r="G335" s="737" t="s">
        <v>341</v>
      </c>
      <c r="H335" s="743">
        <v>2014</v>
      </c>
      <c r="I335" s="760" t="s">
        <v>1254</v>
      </c>
      <c r="J335" s="743" t="s">
        <v>1255</v>
      </c>
      <c r="K335" s="760" t="s">
        <v>1256</v>
      </c>
      <c r="L335" s="743"/>
      <c r="M335" s="737" t="s">
        <v>1257</v>
      </c>
      <c r="N335" s="716">
        <v>13414</v>
      </c>
      <c r="O335" s="716">
        <v>0</v>
      </c>
      <c r="P335" s="716">
        <v>13414</v>
      </c>
      <c r="Q335" s="716">
        <v>13000</v>
      </c>
      <c r="R335" s="716">
        <v>0</v>
      </c>
      <c r="S335" s="716">
        <v>13000</v>
      </c>
      <c r="T335" s="716">
        <v>1166</v>
      </c>
      <c r="U335" s="716">
        <v>166</v>
      </c>
      <c r="V335" s="245">
        <v>166</v>
      </c>
      <c r="W335" s="245">
        <v>166</v>
      </c>
      <c r="X335" s="245">
        <v>100</v>
      </c>
      <c r="Y335" s="717"/>
      <c r="Z335" s="245">
        <f t="shared" si="178"/>
        <v>166</v>
      </c>
      <c r="AA335" s="244">
        <f t="shared" si="216"/>
        <v>13166</v>
      </c>
      <c r="AB335" s="244">
        <f t="shared" si="217"/>
        <v>166</v>
      </c>
      <c r="AC335" s="244">
        <f t="shared" si="218"/>
        <v>13166</v>
      </c>
      <c r="AD335" s="244">
        <f t="shared" si="219"/>
        <v>1166</v>
      </c>
      <c r="AE335" s="244">
        <f t="shared" si="220"/>
        <v>0</v>
      </c>
      <c r="AF335" s="717"/>
      <c r="AG335" s="245"/>
      <c r="AH335" s="245"/>
      <c r="AI335" s="245"/>
      <c r="AJ335" s="245"/>
      <c r="AK335" s="245"/>
      <c r="AL335" s="245"/>
      <c r="AM335" s="245"/>
      <c r="AN335" s="716"/>
      <c r="AQ335" s="215"/>
      <c r="AR335" s="215"/>
      <c r="AS335" s="216"/>
      <c r="AY335" s="216"/>
      <c r="AZ335" s="216"/>
      <c r="BA335" s="216"/>
    </row>
    <row r="336" spans="1:53" ht="49.5" customHeight="1">
      <c r="A336" s="708">
        <v>20</v>
      </c>
      <c r="B336" s="719" t="s">
        <v>1258</v>
      </c>
      <c r="C336" s="761" t="s">
        <v>1259</v>
      </c>
      <c r="D336" s="720">
        <v>10014.373</v>
      </c>
      <c r="E336" s="711" t="s">
        <v>1194</v>
      </c>
      <c r="F336" s="712" t="s">
        <v>1188</v>
      </c>
      <c r="G336" s="742" t="s">
        <v>435</v>
      </c>
      <c r="H336" s="713">
        <v>2015</v>
      </c>
      <c r="I336" s="714" t="s">
        <v>1260</v>
      </c>
      <c r="J336" s="713">
        <v>2017</v>
      </c>
      <c r="K336" s="714" t="s">
        <v>1261</v>
      </c>
      <c r="L336" s="713"/>
      <c r="M336" s="753" t="s">
        <v>1262</v>
      </c>
      <c r="N336" s="716">
        <v>10124</v>
      </c>
      <c r="O336" s="716">
        <v>0</v>
      </c>
      <c r="P336" s="716">
        <v>2171</v>
      </c>
      <c r="Q336" s="730">
        <v>8843</v>
      </c>
      <c r="R336" s="716">
        <v>8843</v>
      </c>
      <c r="S336" s="716">
        <v>1000</v>
      </c>
      <c r="T336" s="716">
        <v>2171</v>
      </c>
      <c r="U336" s="716">
        <v>1171</v>
      </c>
      <c r="V336" s="245">
        <v>1170</v>
      </c>
      <c r="W336" s="245">
        <v>1171</v>
      </c>
      <c r="X336" s="245">
        <v>100</v>
      </c>
      <c r="Y336" s="717"/>
      <c r="Z336" s="245">
        <f t="shared" si="178"/>
        <v>1170</v>
      </c>
      <c r="AA336" s="244">
        <f t="shared" si="216"/>
        <v>10013</v>
      </c>
      <c r="AB336" s="244">
        <f t="shared" si="217"/>
        <v>10013</v>
      </c>
      <c r="AC336" s="244">
        <f t="shared" si="218"/>
        <v>2170</v>
      </c>
      <c r="AD336" s="244">
        <f t="shared" si="219"/>
        <v>2171</v>
      </c>
      <c r="AE336" s="244">
        <f t="shared" si="220"/>
        <v>1</v>
      </c>
      <c r="AF336" s="717"/>
      <c r="AG336" s="245"/>
      <c r="AH336" s="245"/>
      <c r="AI336" s="245"/>
      <c r="AJ336" s="245"/>
      <c r="AK336" s="245"/>
      <c r="AL336" s="245"/>
      <c r="AM336" s="245"/>
      <c r="AN336" s="716" t="s">
        <v>1208</v>
      </c>
      <c r="AQ336" s="215"/>
      <c r="AR336" s="215"/>
      <c r="AS336" s="216"/>
      <c r="AY336" s="216"/>
      <c r="AZ336" s="216"/>
      <c r="BA336" s="216"/>
    </row>
    <row r="337" spans="1:258" ht="68.25" customHeight="1">
      <c r="A337" s="708">
        <v>21</v>
      </c>
      <c r="B337" s="762" t="s">
        <v>1263</v>
      </c>
      <c r="C337" s="762"/>
      <c r="D337" s="763"/>
      <c r="E337" s="252" t="s">
        <v>1194</v>
      </c>
      <c r="F337" s="250" t="s">
        <v>1188</v>
      </c>
      <c r="G337" s="764" t="s">
        <v>395</v>
      </c>
      <c r="H337" s="253">
        <v>2011</v>
      </c>
      <c r="I337" s="253">
        <v>2011</v>
      </c>
      <c r="J337" s="253">
        <v>2013</v>
      </c>
      <c r="K337" s="253"/>
      <c r="L337" s="253"/>
      <c r="M337" s="252" t="s">
        <v>1264</v>
      </c>
      <c r="N337" s="716">
        <v>91090</v>
      </c>
      <c r="O337" s="716">
        <v>0</v>
      </c>
      <c r="P337" s="716">
        <v>0</v>
      </c>
      <c r="Q337" s="716">
        <f>30500+3500</f>
        <v>34000</v>
      </c>
      <c r="R337" s="716">
        <v>0</v>
      </c>
      <c r="S337" s="716">
        <v>3500</v>
      </c>
      <c r="T337" s="716">
        <v>14863</v>
      </c>
      <c r="U337" s="716">
        <f>14863-3500</f>
        <v>11363</v>
      </c>
      <c r="V337" s="245">
        <v>2032</v>
      </c>
      <c r="W337" s="245">
        <v>2031.7500000001564</v>
      </c>
      <c r="X337" s="245">
        <v>43.946376909104195</v>
      </c>
      <c r="Y337" s="717">
        <v>4044</v>
      </c>
      <c r="Z337" s="245">
        <f t="shared" si="178"/>
        <v>6076</v>
      </c>
      <c r="AA337" s="244">
        <f t="shared" si="216"/>
        <v>40076</v>
      </c>
      <c r="AB337" s="244">
        <f t="shared" si="217"/>
        <v>6076</v>
      </c>
      <c r="AC337" s="244">
        <f t="shared" si="218"/>
        <v>9576</v>
      </c>
      <c r="AD337" s="244">
        <f t="shared" si="219"/>
        <v>14863</v>
      </c>
      <c r="AE337" s="244">
        <f t="shared" si="220"/>
        <v>5287</v>
      </c>
      <c r="AF337" s="245">
        <v>5287</v>
      </c>
      <c r="AG337" s="245">
        <f t="shared" ref="AG337" si="226">AF337/AE337*100</f>
        <v>100</v>
      </c>
      <c r="AH337" s="245"/>
      <c r="AI337" s="245">
        <f t="shared" ref="AI337" si="227">AF337+AH337</f>
        <v>5287</v>
      </c>
      <c r="AJ337" s="245">
        <f t="shared" ref="AJ337" si="228">AA337+AI337</f>
        <v>45363</v>
      </c>
      <c r="AK337" s="245">
        <f t="shared" ref="AK337" si="229">AC337+AI337</f>
        <v>14863</v>
      </c>
      <c r="AL337" s="245">
        <f>T337</f>
        <v>14863</v>
      </c>
      <c r="AM337" s="245">
        <f t="shared" ref="AM337" si="230">AE337-AI337</f>
        <v>0</v>
      </c>
      <c r="AN337" s="716" t="s">
        <v>1265</v>
      </c>
      <c r="AQ337" s="215"/>
      <c r="AR337" s="215"/>
      <c r="AS337" s="216"/>
      <c r="AU337" s="749" t="s">
        <v>793</v>
      </c>
      <c r="AY337" s="216"/>
      <c r="AZ337" s="216"/>
      <c r="BA337" s="216"/>
    </row>
    <row r="338" spans="1:258" s="256" customFormat="1" ht="35.25" customHeight="1">
      <c r="A338" s="708">
        <v>22</v>
      </c>
      <c r="B338" s="762" t="s">
        <v>1266</v>
      </c>
      <c r="C338" s="762"/>
      <c r="D338" s="763"/>
      <c r="E338" s="252" t="s">
        <v>1194</v>
      </c>
      <c r="F338" s="250" t="s">
        <v>1188</v>
      </c>
      <c r="G338" s="764" t="s">
        <v>395</v>
      </c>
      <c r="H338" s="253">
        <v>2011</v>
      </c>
      <c r="I338" s="253">
        <v>2011</v>
      </c>
      <c r="J338" s="253">
        <v>2013</v>
      </c>
      <c r="K338" s="253"/>
      <c r="L338" s="253"/>
      <c r="M338" s="252" t="s">
        <v>1267</v>
      </c>
      <c r="N338" s="716">
        <v>29493</v>
      </c>
      <c r="O338" s="716">
        <v>0</v>
      </c>
      <c r="P338" s="716">
        <v>0</v>
      </c>
      <c r="Q338" s="716">
        <f>21345+1000</f>
        <v>22345</v>
      </c>
      <c r="R338" s="716">
        <v>0</v>
      </c>
      <c r="S338" s="716">
        <f>2000+1000</f>
        <v>3000</v>
      </c>
      <c r="T338" s="716">
        <v>6655</v>
      </c>
      <c r="U338" s="716">
        <f>4655-1000</f>
        <v>3655</v>
      </c>
      <c r="V338" s="245">
        <v>1397</v>
      </c>
      <c r="W338" s="245">
        <v>1396.5</v>
      </c>
      <c r="X338" s="245">
        <v>30</v>
      </c>
      <c r="Y338" s="717">
        <v>2258</v>
      </c>
      <c r="Z338" s="245">
        <f t="shared" si="178"/>
        <v>3655</v>
      </c>
      <c r="AA338" s="244">
        <f t="shared" si="216"/>
        <v>26000</v>
      </c>
      <c r="AB338" s="244">
        <f t="shared" si="217"/>
        <v>3655</v>
      </c>
      <c r="AC338" s="244">
        <f t="shared" si="218"/>
        <v>6655</v>
      </c>
      <c r="AD338" s="244">
        <f t="shared" si="219"/>
        <v>6655</v>
      </c>
      <c r="AE338" s="244">
        <f t="shared" si="220"/>
        <v>0</v>
      </c>
      <c r="AF338" s="717"/>
      <c r="AG338" s="255"/>
      <c r="AH338" s="255"/>
      <c r="AI338" s="255"/>
      <c r="AJ338" s="255"/>
      <c r="AK338" s="255"/>
      <c r="AL338" s="255"/>
      <c r="AM338" s="255"/>
      <c r="AN338" s="716"/>
      <c r="AQ338" s="257"/>
      <c r="AR338" s="257"/>
      <c r="AS338" s="258"/>
      <c r="AY338" s="258"/>
      <c r="AZ338" s="258"/>
      <c r="BA338" s="258"/>
    </row>
    <row r="339" spans="1:258" ht="69.75" customHeight="1">
      <c r="A339" s="765"/>
      <c r="B339" s="766" t="s">
        <v>1268</v>
      </c>
      <c r="C339" s="766"/>
      <c r="D339" s="766"/>
      <c r="E339" s="766"/>
      <c r="F339" s="766"/>
      <c r="G339" s="767"/>
      <c r="H339" s="426"/>
      <c r="I339" s="426"/>
      <c r="J339" s="426"/>
      <c r="K339" s="426"/>
      <c r="L339" s="426"/>
      <c r="M339" s="768"/>
      <c r="N339" s="769"/>
      <c r="O339" s="769"/>
      <c r="P339" s="769"/>
      <c r="Q339" s="769"/>
      <c r="R339" s="769"/>
      <c r="S339" s="769"/>
      <c r="T339" s="769"/>
      <c r="U339" s="769"/>
      <c r="V339" s="769"/>
      <c r="W339" s="769"/>
      <c r="X339" s="769"/>
      <c r="Y339" s="769"/>
      <c r="Z339" s="769"/>
      <c r="AA339" s="769"/>
      <c r="AB339" s="769"/>
      <c r="AC339" s="769"/>
      <c r="AD339" s="769"/>
      <c r="AE339" s="769"/>
      <c r="AF339" s="770"/>
      <c r="AG339" s="771"/>
      <c r="AH339" s="771"/>
      <c r="AI339" s="771"/>
      <c r="AJ339" s="771"/>
      <c r="AK339" s="771"/>
      <c r="AL339" s="771"/>
      <c r="AM339" s="771"/>
      <c r="AN339" s="771" t="s">
        <v>1269</v>
      </c>
      <c r="AQ339" s="215"/>
      <c r="AR339" s="215"/>
      <c r="AS339" s="216"/>
      <c r="AU339" s="772"/>
      <c r="AV339" s="226"/>
      <c r="AW339" s="439"/>
      <c r="AY339" s="226"/>
      <c r="AZ339" s="226"/>
      <c r="BA339" s="285"/>
    </row>
    <row r="340" spans="1:258" ht="67.5" customHeight="1">
      <c r="A340" s="629">
        <v>1</v>
      </c>
      <c r="B340" s="773" t="s">
        <v>1270</v>
      </c>
      <c r="C340" s="773"/>
      <c r="D340" s="773"/>
      <c r="E340" s="773"/>
      <c r="F340" s="773"/>
      <c r="G340" s="288" t="s">
        <v>382</v>
      </c>
      <c r="H340" s="286">
        <v>2014</v>
      </c>
      <c r="I340" s="286"/>
      <c r="J340" s="286">
        <v>2017</v>
      </c>
      <c r="K340" s="286"/>
      <c r="L340" s="286"/>
      <c r="M340" s="252" t="s">
        <v>1271</v>
      </c>
      <c r="N340" s="254">
        <v>58534</v>
      </c>
      <c r="O340" s="254"/>
      <c r="P340" s="254">
        <v>12680</v>
      </c>
      <c r="Q340" s="254"/>
      <c r="R340" s="254"/>
      <c r="S340" s="254"/>
      <c r="T340" s="254"/>
      <c r="U340" s="254"/>
      <c r="V340" s="254"/>
      <c r="W340" s="254"/>
      <c r="X340" s="254"/>
      <c r="Y340" s="254"/>
      <c r="Z340" s="254"/>
      <c r="AA340" s="254">
        <v>47412</v>
      </c>
      <c r="AB340" s="254"/>
      <c r="AC340" s="254">
        <v>7412</v>
      </c>
      <c r="AD340" s="254">
        <f>P340-AC340</f>
        <v>5268</v>
      </c>
      <c r="AE340" s="254">
        <f>AD340</f>
        <v>5268</v>
      </c>
      <c r="AF340" s="245"/>
      <c r="AG340" s="245">
        <f t="shared" ref="AG340" si="231">AF340/AE340*100</f>
        <v>0</v>
      </c>
      <c r="AH340" s="245"/>
      <c r="AI340" s="245"/>
      <c r="AJ340" s="245"/>
      <c r="AK340" s="245"/>
      <c r="AL340" s="245"/>
      <c r="AM340" s="245"/>
      <c r="AN340" s="774" t="s">
        <v>1272</v>
      </c>
      <c r="AQ340" s="215"/>
      <c r="AR340" s="215"/>
      <c r="AS340" s="216"/>
      <c r="AU340" s="288" t="s">
        <v>1273</v>
      </c>
      <c r="AV340" s="226"/>
      <c r="AW340" s="775"/>
      <c r="AY340" s="226"/>
      <c r="AZ340" s="226"/>
      <c r="BA340" s="285"/>
    </row>
    <row r="341" spans="1:258" s="776" customFormat="1" ht="23.25" customHeight="1">
      <c r="A341" s="218" t="s">
        <v>186</v>
      </c>
      <c r="B341" s="219" t="s">
        <v>292</v>
      </c>
      <c r="C341" s="218"/>
      <c r="D341" s="218"/>
      <c r="E341" s="218"/>
      <c r="F341" s="218"/>
      <c r="G341" s="218"/>
      <c r="H341" s="218"/>
      <c r="I341" s="218"/>
      <c r="J341" s="218"/>
      <c r="K341" s="218"/>
      <c r="L341" s="218"/>
      <c r="M341" s="218"/>
      <c r="N341" s="557">
        <f t="shared" ref="N341:AC341" si="232">SUBTOTAL(109,N342:N343)</f>
        <v>14440</v>
      </c>
      <c r="O341" s="557">
        <f t="shared" si="232"/>
        <v>0</v>
      </c>
      <c r="P341" s="557">
        <f t="shared" si="232"/>
        <v>14440</v>
      </c>
      <c r="Q341" s="557">
        <f t="shared" si="232"/>
        <v>9422</v>
      </c>
      <c r="R341" s="557">
        <f t="shared" si="232"/>
        <v>0</v>
      </c>
      <c r="S341" s="557">
        <f t="shared" si="232"/>
        <v>9422</v>
      </c>
      <c r="T341" s="557">
        <f t="shared" si="232"/>
        <v>7043</v>
      </c>
      <c r="U341" s="557">
        <f t="shared" si="232"/>
        <v>3221</v>
      </c>
      <c r="V341" s="557">
        <f t="shared" si="232"/>
        <v>3221</v>
      </c>
      <c r="W341" s="557">
        <f t="shared" si="232"/>
        <v>3221</v>
      </c>
      <c r="X341" s="557"/>
      <c r="Y341" s="557">
        <f t="shared" si="232"/>
        <v>0</v>
      </c>
      <c r="Z341" s="557">
        <f t="shared" si="232"/>
        <v>3221</v>
      </c>
      <c r="AA341" s="557">
        <f t="shared" si="232"/>
        <v>12643</v>
      </c>
      <c r="AB341" s="557">
        <f t="shared" si="232"/>
        <v>3221</v>
      </c>
      <c r="AC341" s="557">
        <f t="shared" si="232"/>
        <v>12643</v>
      </c>
      <c r="AD341" s="557">
        <f>SUBTOTAL(109,AD342:AD347)</f>
        <v>16051</v>
      </c>
      <c r="AE341" s="557">
        <f>SUBTOTAL(109,AE342:AE347)</f>
        <v>9008</v>
      </c>
      <c r="AF341" s="556"/>
      <c r="AG341" s="245"/>
      <c r="AH341" s="245"/>
      <c r="AI341" s="245"/>
      <c r="AJ341" s="245"/>
      <c r="AK341" s="245"/>
      <c r="AL341" s="245"/>
      <c r="AM341" s="245"/>
      <c r="AN341" s="218"/>
      <c r="AQ341" s="777"/>
      <c r="AR341" s="777"/>
      <c r="AS341" s="778"/>
      <c r="AY341" s="778"/>
      <c r="AZ341" s="778"/>
      <c r="BA341" s="778"/>
    </row>
    <row r="342" spans="1:258" ht="84" customHeight="1">
      <c r="A342" s="248">
        <v>1</v>
      </c>
      <c r="B342" s="779" t="s">
        <v>1274</v>
      </c>
      <c r="C342" s="779" t="s">
        <v>1275</v>
      </c>
      <c r="D342" s="780">
        <v>7987</v>
      </c>
      <c r="E342" s="252" t="s">
        <v>1187</v>
      </c>
      <c r="F342" s="665" t="s">
        <v>1276</v>
      </c>
      <c r="G342" s="781" t="s">
        <v>373</v>
      </c>
      <c r="H342" s="253">
        <v>2014</v>
      </c>
      <c r="I342" s="782" t="s">
        <v>1277</v>
      </c>
      <c r="J342" s="253">
        <v>2016</v>
      </c>
      <c r="K342" s="680" t="s">
        <v>1278</v>
      </c>
      <c r="L342" s="253"/>
      <c r="M342" s="781" t="s">
        <v>1279</v>
      </c>
      <c r="N342" s="337">
        <v>7933</v>
      </c>
      <c r="O342" s="337">
        <v>0</v>
      </c>
      <c r="P342" s="337">
        <v>7933</v>
      </c>
      <c r="Q342" s="337">
        <v>4948</v>
      </c>
      <c r="R342" s="337">
        <v>0</v>
      </c>
      <c r="S342" s="337">
        <v>4948</v>
      </c>
      <c r="T342" s="337">
        <v>3096</v>
      </c>
      <c r="U342" s="337">
        <v>1548</v>
      </c>
      <c r="V342" s="245">
        <v>1548</v>
      </c>
      <c r="W342" s="245">
        <v>1548</v>
      </c>
      <c r="X342" s="245">
        <v>100</v>
      </c>
      <c r="Y342" s="341"/>
      <c r="Z342" s="245">
        <f t="shared" si="178"/>
        <v>1548</v>
      </c>
      <c r="AA342" s="244">
        <f t="shared" ref="AA342:AC343" si="233">Q342+$Z342</f>
        <v>6496</v>
      </c>
      <c r="AB342" s="244">
        <f t="shared" si="233"/>
        <v>1548</v>
      </c>
      <c r="AC342" s="244">
        <f t="shared" si="233"/>
        <v>6496</v>
      </c>
      <c r="AD342" s="244">
        <f>T342</f>
        <v>3096</v>
      </c>
      <c r="AE342" s="244">
        <f>U342-Z342</f>
        <v>0</v>
      </c>
      <c r="AF342" s="341"/>
      <c r="AG342" s="245"/>
      <c r="AH342" s="245"/>
      <c r="AI342" s="245"/>
      <c r="AJ342" s="245"/>
      <c r="AK342" s="245"/>
      <c r="AL342" s="245"/>
      <c r="AM342" s="245"/>
      <c r="AN342" s="351"/>
      <c r="AQ342" s="215"/>
      <c r="AR342" s="215"/>
      <c r="AS342" s="216"/>
      <c r="AY342" s="216"/>
      <c r="AZ342" s="216"/>
      <c r="BA342" s="216"/>
    </row>
    <row r="343" spans="1:258" s="224" customFormat="1" ht="63.75">
      <c r="A343" s="364">
        <v>2</v>
      </c>
      <c r="B343" s="783" t="s">
        <v>1280</v>
      </c>
      <c r="C343" s="783" t="s">
        <v>1281</v>
      </c>
      <c r="D343" s="784">
        <v>6447</v>
      </c>
      <c r="E343" s="785" t="s">
        <v>1187</v>
      </c>
      <c r="F343" s="692" t="s">
        <v>1276</v>
      </c>
      <c r="G343" s="786" t="s">
        <v>435</v>
      </c>
      <c r="H343" s="368">
        <v>2015</v>
      </c>
      <c r="I343" s="676" t="s">
        <v>1282</v>
      </c>
      <c r="J343" s="368">
        <v>2017</v>
      </c>
      <c r="K343" s="676" t="s">
        <v>1283</v>
      </c>
      <c r="L343" s="368"/>
      <c r="M343" s="787" t="s">
        <v>1284</v>
      </c>
      <c r="N343" s="352">
        <v>6507</v>
      </c>
      <c r="O343" s="352">
        <v>0</v>
      </c>
      <c r="P343" s="352">
        <v>6507</v>
      </c>
      <c r="Q343" s="352">
        <v>4474</v>
      </c>
      <c r="R343" s="352">
        <v>0</v>
      </c>
      <c r="S343" s="352">
        <v>4474</v>
      </c>
      <c r="T343" s="352">
        <v>3947</v>
      </c>
      <c r="U343" s="352">
        <v>1673</v>
      </c>
      <c r="V343" s="245">
        <v>1673</v>
      </c>
      <c r="W343" s="245">
        <v>1673</v>
      </c>
      <c r="X343" s="245">
        <v>100</v>
      </c>
      <c r="Y343" s="369"/>
      <c r="Z343" s="245">
        <f t="shared" si="178"/>
        <v>1673</v>
      </c>
      <c r="AA343" s="244">
        <f t="shared" si="233"/>
        <v>6147</v>
      </c>
      <c r="AB343" s="244">
        <f t="shared" si="233"/>
        <v>1673</v>
      </c>
      <c r="AC343" s="244">
        <f t="shared" si="233"/>
        <v>6147</v>
      </c>
      <c r="AD343" s="244">
        <f>T343</f>
        <v>3947</v>
      </c>
      <c r="AE343" s="244">
        <f>U343-Z343</f>
        <v>0</v>
      </c>
      <c r="AF343" s="369"/>
      <c r="AG343" s="373"/>
      <c r="AH343" s="373"/>
      <c r="AI343" s="373"/>
      <c r="AJ343" s="373"/>
      <c r="AK343" s="373"/>
      <c r="AL343" s="373"/>
      <c r="AM343" s="373"/>
      <c r="AN343" s="786" t="s">
        <v>1285</v>
      </c>
      <c r="AQ343" s="225"/>
      <c r="AR343" s="225"/>
      <c r="AS343" s="226"/>
      <c r="AY343" s="226"/>
      <c r="AZ343" s="226"/>
      <c r="BA343" s="226"/>
    </row>
    <row r="344" spans="1:258" ht="41.25" customHeight="1">
      <c r="A344" s="765"/>
      <c r="B344" s="766" t="s">
        <v>1286</v>
      </c>
      <c r="C344" s="766"/>
      <c r="D344" s="766"/>
      <c r="E344" s="766"/>
      <c r="F344" s="766"/>
      <c r="G344" s="767"/>
      <c r="H344" s="426"/>
      <c r="I344" s="426"/>
      <c r="J344" s="426"/>
      <c r="K344" s="426"/>
      <c r="L344" s="426"/>
      <c r="M344" s="768"/>
      <c r="N344" s="769">
        <f t="shared" ref="N344:AE344" si="234">SUBTOTAL(109,N345:N347)</f>
        <v>126215</v>
      </c>
      <c r="O344" s="769"/>
      <c r="P344" s="769">
        <f t="shared" si="234"/>
        <v>0</v>
      </c>
      <c r="Q344" s="769"/>
      <c r="R344" s="769"/>
      <c r="S344" s="769"/>
      <c r="T344" s="769"/>
      <c r="U344" s="769"/>
      <c r="V344" s="769"/>
      <c r="W344" s="769"/>
      <c r="X344" s="769"/>
      <c r="Y344" s="769"/>
      <c r="Z344" s="769"/>
      <c r="AA344" s="769">
        <f t="shared" si="234"/>
        <v>37876</v>
      </c>
      <c r="AB344" s="769"/>
      <c r="AC344" s="769">
        <f t="shared" si="234"/>
        <v>1613</v>
      </c>
      <c r="AD344" s="769">
        <f t="shared" si="234"/>
        <v>9008</v>
      </c>
      <c r="AE344" s="769">
        <f t="shared" si="234"/>
        <v>9008</v>
      </c>
      <c r="AF344" s="769"/>
      <c r="AG344" s="771"/>
      <c r="AH344" s="771"/>
      <c r="AI344" s="771"/>
      <c r="AJ344" s="771"/>
      <c r="AK344" s="771"/>
      <c r="AL344" s="771"/>
      <c r="AM344" s="771"/>
      <c r="AN344" s="771"/>
      <c r="AQ344" s="215"/>
      <c r="AR344" s="215"/>
      <c r="AS344" s="216"/>
      <c r="AU344" s="772"/>
      <c r="AV344" s="226"/>
      <c r="AW344" s="439"/>
      <c r="AY344" s="226"/>
      <c r="AZ344" s="226"/>
      <c r="BA344" s="285"/>
    </row>
    <row r="345" spans="1:258" ht="59.25" customHeight="1">
      <c r="A345" s="629">
        <v>1</v>
      </c>
      <c r="B345" s="472" t="s">
        <v>1287</v>
      </c>
      <c r="C345" s="472"/>
      <c r="D345" s="472"/>
      <c r="E345" s="472"/>
      <c r="F345" s="472"/>
      <c r="G345" s="286" t="s">
        <v>395</v>
      </c>
      <c r="H345" s="286">
        <v>2010</v>
      </c>
      <c r="I345" s="286"/>
      <c r="J345" s="286">
        <v>2013</v>
      </c>
      <c r="K345" s="286"/>
      <c r="L345" s="286"/>
      <c r="M345" s="252" t="s">
        <v>1288</v>
      </c>
      <c r="N345" s="254">
        <v>16030</v>
      </c>
      <c r="O345" s="254"/>
      <c r="P345" s="254"/>
      <c r="Q345" s="254"/>
      <c r="R345" s="254"/>
      <c r="S345" s="254"/>
      <c r="T345" s="254"/>
      <c r="U345" s="254"/>
      <c r="V345" s="254"/>
      <c r="W345" s="254"/>
      <c r="X345" s="254"/>
      <c r="Y345" s="254"/>
      <c r="Z345" s="254"/>
      <c r="AA345" s="254">
        <v>10327</v>
      </c>
      <c r="AB345" s="254"/>
      <c r="AC345" s="254">
        <v>1613</v>
      </c>
      <c r="AD345" s="254">
        <f>N345-AA345</f>
        <v>5703</v>
      </c>
      <c r="AE345" s="254">
        <f t="shared" ref="AE345:AE347" si="235">AD345</f>
        <v>5703</v>
      </c>
      <c r="AF345" s="245"/>
      <c r="AG345" s="245">
        <f t="shared" ref="AG345:AG347" si="236">AF345/AE345*100</f>
        <v>0</v>
      </c>
      <c r="AH345" s="245"/>
      <c r="AI345" s="245"/>
      <c r="AJ345" s="245"/>
      <c r="AK345" s="245"/>
      <c r="AL345" s="245"/>
      <c r="AM345" s="245"/>
      <c r="AN345" s="774" t="s">
        <v>1289</v>
      </c>
      <c r="AQ345" s="215"/>
      <c r="AR345" s="215"/>
      <c r="AS345" s="216"/>
      <c r="AU345" s="288" t="s">
        <v>1290</v>
      </c>
      <c r="AV345" s="226"/>
      <c r="AW345" s="775"/>
      <c r="AY345" s="226"/>
      <c r="AZ345" s="226"/>
      <c r="BA345" s="285"/>
    </row>
    <row r="346" spans="1:258" ht="42" customHeight="1">
      <c r="A346" s="629">
        <v>2</v>
      </c>
      <c r="B346" s="773" t="s">
        <v>1291</v>
      </c>
      <c r="C346" s="773"/>
      <c r="D346" s="773"/>
      <c r="E346" s="773"/>
      <c r="F346" s="773"/>
      <c r="G346" s="288" t="s">
        <v>1292</v>
      </c>
      <c r="H346" s="286">
        <v>2012</v>
      </c>
      <c r="I346" s="286"/>
      <c r="J346" s="286">
        <v>2015</v>
      </c>
      <c r="K346" s="286"/>
      <c r="L346" s="286"/>
      <c r="M346" s="252" t="s">
        <v>1293</v>
      </c>
      <c r="N346" s="254">
        <v>95900</v>
      </c>
      <c r="O346" s="254"/>
      <c r="P346" s="254"/>
      <c r="Q346" s="254"/>
      <c r="R346" s="254"/>
      <c r="S346" s="254"/>
      <c r="T346" s="254"/>
      <c r="U346" s="254"/>
      <c r="V346" s="254"/>
      <c r="W346" s="254"/>
      <c r="X346" s="254"/>
      <c r="Y346" s="254"/>
      <c r="Z346" s="254"/>
      <c r="AA346" s="254">
        <v>15000</v>
      </c>
      <c r="AB346" s="254"/>
      <c r="AC346" s="254"/>
      <c r="AD346" s="254">
        <f>17500-AA346</f>
        <v>2500</v>
      </c>
      <c r="AE346" s="254">
        <f t="shared" si="235"/>
        <v>2500</v>
      </c>
      <c r="AF346" s="245"/>
      <c r="AG346" s="245">
        <f t="shared" si="236"/>
        <v>0</v>
      </c>
      <c r="AH346" s="245"/>
      <c r="AI346" s="245"/>
      <c r="AJ346" s="245"/>
      <c r="AK346" s="245"/>
      <c r="AL346" s="245"/>
      <c r="AM346" s="245"/>
      <c r="AN346" s="774" t="s">
        <v>1294</v>
      </c>
      <c r="AQ346" s="215"/>
      <c r="AR346" s="215"/>
      <c r="AS346" s="216"/>
      <c r="AU346" s="288" t="s">
        <v>1295</v>
      </c>
      <c r="AV346" s="226"/>
      <c r="AW346" s="775"/>
      <c r="AY346" s="226"/>
      <c r="AZ346" s="226"/>
      <c r="BA346" s="285"/>
    </row>
    <row r="347" spans="1:258" ht="45.75" customHeight="1">
      <c r="A347" s="629">
        <v>3</v>
      </c>
      <c r="B347" s="773" t="s">
        <v>1296</v>
      </c>
      <c r="C347" s="773"/>
      <c r="D347" s="773"/>
      <c r="E347" s="773"/>
      <c r="F347" s="773"/>
      <c r="G347" s="288" t="s">
        <v>395</v>
      </c>
      <c r="H347" s="286">
        <v>2014</v>
      </c>
      <c r="I347" s="286"/>
      <c r="J347" s="286">
        <v>2015</v>
      </c>
      <c r="K347" s="286"/>
      <c r="L347" s="286"/>
      <c r="M347" s="252" t="s">
        <v>1297</v>
      </c>
      <c r="N347" s="254">
        <v>14285</v>
      </c>
      <c r="O347" s="254"/>
      <c r="P347" s="254"/>
      <c r="Q347" s="254"/>
      <c r="R347" s="254"/>
      <c r="S347" s="254"/>
      <c r="T347" s="254"/>
      <c r="U347" s="254"/>
      <c r="V347" s="254"/>
      <c r="W347" s="254"/>
      <c r="X347" s="254"/>
      <c r="Y347" s="254"/>
      <c r="Z347" s="254"/>
      <c r="AA347" s="254">
        <v>12549</v>
      </c>
      <c r="AB347" s="254"/>
      <c r="AC347" s="254"/>
      <c r="AD347" s="254">
        <f>13354-AA347</f>
        <v>805</v>
      </c>
      <c r="AE347" s="254">
        <f t="shared" si="235"/>
        <v>805</v>
      </c>
      <c r="AF347" s="245"/>
      <c r="AG347" s="245">
        <f t="shared" si="236"/>
        <v>0</v>
      </c>
      <c r="AH347" s="245"/>
      <c r="AI347" s="245"/>
      <c r="AJ347" s="245"/>
      <c r="AK347" s="245"/>
      <c r="AL347" s="245"/>
      <c r="AM347" s="245"/>
      <c r="AN347" s="774" t="s">
        <v>1298</v>
      </c>
      <c r="AQ347" s="215"/>
      <c r="AR347" s="215"/>
      <c r="AS347" s="216"/>
      <c r="AU347" s="288" t="s">
        <v>1299</v>
      </c>
      <c r="AV347" s="226"/>
      <c r="AW347" s="775"/>
      <c r="AY347" s="226"/>
      <c r="AZ347" s="226"/>
      <c r="BA347" s="285"/>
    </row>
    <row r="348" spans="1:258" s="224" customFormat="1">
      <c r="A348" s="218" t="s">
        <v>1300</v>
      </c>
      <c r="B348" s="219" t="s">
        <v>1301</v>
      </c>
      <c r="C348" s="788"/>
      <c r="D348" s="788"/>
      <c r="E348" s="785"/>
      <c r="F348" s="785"/>
      <c r="G348" s="785"/>
      <c r="H348" s="785"/>
      <c r="I348" s="785"/>
      <c r="J348" s="785"/>
      <c r="K348" s="785"/>
      <c r="L348" s="785"/>
      <c r="M348" s="785"/>
      <c r="N348" s="557">
        <f>SUBTOTAL(109,N349:N361)</f>
        <v>1107865.3399999999</v>
      </c>
      <c r="O348" s="557">
        <f t="shared" ref="O348:AC348" si="237">SUBTOTAL(109,O349:O361)</f>
        <v>0</v>
      </c>
      <c r="P348" s="557">
        <f t="shared" si="237"/>
        <v>558402.46</v>
      </c>
      <c r="Q348" s="557">
        <f t="shared" si="237"/>
        <v>151613</v>
      </c>
      <c r="R348" s="557">
        <f t="shared" si="237"/>
        <v>0</v>
      </c>
      <c r="S348" s="557">
        <f t="shared" si="237"/>
        <v>116500</v>
      </c>
      <c r="T348" s="557">
        <f t="shared" si="237"/>
        <v>314133</v>
      </c>
      <c r="U348" s="557">
        <f t="shared" si="237"/>
        <v>217929</v>
      </c>
      <c r="V348" s="557">
        <f t="shared" si="237"/>
        <v>50000</v>
      </c>
      <c r="W348" s="557">
        <f t="shared" si="237"/>
        <v>50000</v>
      </c>
      <c r="X348" s="557">
        <f t="shared" si="237"/>
        <v>0</v>
      </c>
      <c r="Y348" s="557">
        <f t="shared" si="237"/>
        <v>10000</v>
      </c>
      <c r="Z348" s="557">
        <f t="shared" si="237"/>
        <v>62000</v>
      </c>
      <c r="AA348" s="557">
        <f t="shared" si="237"/>
        <v>211613</v>
      </c>
      <c r="AB348" s="557">
        <f t="shared" si="237"/>
        <v>60000</v>
      </c>
      <c r="AC348" s="557">
        <f t="shared" si="237"/>
        <v>159800</v>
      </c>
      <c r="AD348" s="557">
        <f>SUBTOTAL(109,AD349:AD365)</f>
        <v>334129</v>
      </c>
      <c r="AE348" s="557">
        <f>SUBTOTAL(109,AE349:AE365)</f>
        <v>170835</v>
      </c>
      <c r="AF348" s="556"/>
      <c r="AG348" s="245"/>
      <c r="AH348" s="245"/>
      <c r="AI348" s="245"/>
      <c r="AJ348" s="245"/>
      <c r="AK348" s="245"/>
      <c r="AL348" s="245"/>
      <c r="AM348" s="245"/>
      <c r="AN348" s="785"/>
      <c r="AQ348" s="225"/>
      <c r="AR348" s="225"/>
      <c r="AS348" s="226"/>
      <c r="AY348" s="226"/>
      <c r="AZ348" s="226"/>
      <c r="BA348" s="226"/>
    </row>
    <row r="349" spans="1:258" s="798" customFormat="1" ht="38.25">
      <c r="A349" s="326" t="s">
        <v>33</v>
      </c>
      <c r="B349" s="789" t="s">
        <v>1302</v>
      </c>
      <c r="C349" s="789"/>
      <c r="D349" s="790"/>
      <c r="E349" s="330"/>
      <c r="F349" s="330"/>
      <c r="G349" s="791"/>
      <c r="H349" s="332"/>
      <c r="I349" s="332"/>
      <c r="J349" s="332"/>
      <c r="K349" s="332"/>
      <c r="L349" s="332"/>
      <c r="M349" s="792"/>
      <c r="N349" s="330">
        <f t="shared" ref="N349:AE349" si="238">SUBTOTAL(109,N350:N359)</f>
        <v>1076535.3399999999</v>
      </c>
      <c r="O349" s="330">
        <f t="shared" si="238"/>
        <v>0</v>
      </c>
      <c r="P349" s="330">
        <f t="shared" si="238"/>
        <v>527072.46</v>
      </c>
      <c r="Q349" s="330">
        <f t="shared" si="238"/>
        <v>151613</v>
      </c>
      <c r="R349" s="330">
        <f t="shared" si="238"/>
        <v>0</v>
      </c>
      <c r="S349" s="330">
        <f t="shared" si="238"/>
        <v>116500</v>
      </c>
      <c r="T349" s="330">
        <f t="shared" si="238"/>
        <v>304633</v>
      </c>
      <c r="U349" s="330">
        <f t="shared" si="238"/>
        <v>208429</v>
      </c>
      <c r="V349" s="330">
        <f t="shared" si="238"/>
        <v>48000</v>
      </c>
      <c r="W349" s="330">
        <f t="shared" si="238"/>
        <v>48000</v>
      </c>
      <c r="X349" s="330">
        <f t="shared" si="238"/>
        <v>0</v>
      </c>
      <c r="Y349" s="330">
        <f t="shared" si="238"/>
        <v>12000</v>
      </c>
      <c r="Z349" s="330">
        <f t="shared" si="238"/>
        <v>60000</v>
      </c>
      <c r="AA349" s="330">
        <f t="shared" si="238"/>
        <v>211613</v>
      </c>
      <c r="AB349" s="330">
        <f t="shared" si="238"/>
        <v>60000</v>
      </c>
      <c r="AC349" s="330">
        <f t="shared" si="238"/>
        <v>159800</v>
      </c>
      <c r="AD349" s="330">
        <f t="shared" si="238"/>
        <v>304633</v>
      </c>
      <c r="AE349" s="330">
        <f t="shared" si="238"/>
        <v>141429</v>
      </c>
      <c r="AF349" s="793"/>
      <c r="AG349" s="245"/>
      <c r="AH349" s="245">
        <f>60446-59923</f>
        <v>523</v>
      </c>
      <c r="AI349" s="245"/>
      <c r="AJ349" s="245"/>
      <c r="AK349" s="245"/>
      <c r="AL349" s="245"/>
      <c r="AM349" s="245"/>
      <c r="AN349" s="330"/>
      <c r="AO349" s="794"/>
      <c r="AP349" s="795">
        <f t="shared" ref="AP349:AP358" si="239">N349-AO349</f>
        <v>1076535.3399999999</v>
      </c>
      <c r="AQ349" s="796"/>
      <c r="AR349" s="796"/>
      <c r="AS349" s="797"/>
      <c r="AT349" s="794"/>
      <c r="AU349" s="794"/>
      <c r="AV349" s="794"/>
      <c r="AW349" s="794"/>
      <c r="AX349" s="794"/>
      <c r="AY349" s="797"/>
      <c r="AZ349" s="797"/>
      <c r="BA349" s="797"/>
      <c r="BB349" s="794"/>
      <c r="BC349" s="794"/>
      <c r="BD349" s="794"/>
      <c r="BE349" s="794"/>
      <c r="BF349" s="794"/>
      <c r="BG349" s="794"/>
      <c r="BH349" s="794"/>
      <c r="BI349" s="794"/>
      <c r="BJ349" s="794"/>
      <c r="BK349" s="794"/>
      <c r="BL349" s="794"/>
      <c r="BM349" s="794"/>
      <c r="BN349" s="794"/>
      <c r="BO349" s="794"/>
      <c r="BP349" s="794"/>
      <c r="BQ349" s="794"/>
      <c r="BR349" s="794"/>
      <c r="BS349" s="794"/>
      <c r="BT349" s="794"/>
      <c r="BU349" s="794"/>
      <c r="BV349" s="794"/>
      <c r="BW349" s="794"/>
      <c r="BX349" s="794"/>
      <c r="BY349" s="794"/>
      <c r="BZ349" s="794"/>
      <c r="CA349" s="794"/>
      <c r="CB349" s="794"/>
      <c r="CC349" s="794"/>
      <c r="CD349" s="794"/>
      <c r="CE349" s="794"/>
      <c r="CF349" s="794"/>
      <c r="CG349" s="794"/>
      <c r="CH349" s="794"/>
      <c r="CI349" s="794"/>
      <c r="CJ349" s="794"/>
      <c r="CK349" s="794"/>
      <c r="CL349" s="794"/>
      <c r="CM349" s="794"/>
      <c r="CN349" s="794"/>
      <c r="CO349" s="794"/>
      <c r="CP349" s="794"/>
      <c r="CQ349" s="794"/>
      <c r="CR349" s="794"/>
      <c r="CS349" s="794"/>
      <c r="CT349" s="794"/>
      <c r="CU349" s="794"/>
      <c r="CV349" s="794"/>
      <c r="CW349" s="794"/>
      <c r="CX349" s="794"/>
      <c r="CY349" s="794"/>
      <c r="CZ349" s="794"/>
      <c r="DA349" s="794"/>
      <c r="DB349" s="794"/>
      <c r="DC349" s="794"/>
      <c r="DD349" s="794"/>
      <c r="DE349" s="794"/>
      <c r="DF349" s="794"/>
      <c r="DG349" s="794"/>
      <c r="DH349" s="794"/>
      <c r="DI349" s="794"/>
      <c r="DJ349" s="794"/>
      <c r="DK349" s="794"/>
      <c r="DL349" s="794"/>
      <c r="DM349" s="794"/>
      <c r="DN349" s="794"/>
      <c r="DO349" s="794"/>
      <c r="DP349" s="794"/>
      <c r="DQ349" s="794"/>
      <c r="DR349" s="794"/>
      <c r="DS349" s="794"/>
      <c r="DT349" s="794"/>
      <c r="DU349" s="794"/>
      <c r="DV349" s="794"/>
      <c r="DW349" s="794"/>
      <c r="DX349" s="794"/>
      <c r="DY349" s="794"/>
      <c r="DZ349" s="794"/>
      <c r="EA349" s="794"/>
      <c r="EB349" s="794"/>
      <c r="EC349" s="794"/>
      <c r="ED349" s="794"/>
      <c r="EE349" s="794"/>
      <c r="EF349" s="794"/>
      <c r="EG349" s="794"/>
      <c r="EH349" s="794"/>
      <c r="EI349" s="794"/>
      <c r="EJ349" s="794"/>
      <c r="EK349" s="794"/>
      <c r="EL349" s="794"/>
      <c r="EM349" s="794"/>
      <c r="EN349" s="794"/>
      <c r="EO349" s="794"/>
      <c r="EP349" s="794"/>
      <c r="EQ349" s="794"/>
      <c r="ER349" s="794"/>
      <c r="ES349" s="794"/>
      <c r="ET349" s="794"/>
      <c r="EU349" s="794"/>
      <c r="EV349" s="794"/>
      <c r="EW349" s="794"/>
      <c r="EX349" s="794"/>
      <c r="EY349" s="794"/>
      <c r="EZ349" s="794"/>
      <c r="FA349" s="794"/>
      <c r="FB349" s="794"/>
      <c r="FC349" s="794"/>
      <c r="FD349" s="794"/>
      <c r="FE349" s="794"/>
      <c r="FF349" s="794"/>
      <c r="FG349" s="794"/>
      <c r="FH349" s="794"/>
      <c r="FI349" s="794"/>
      <c r="FJ349" s="794"/>
      <c r="FK349" s="794"/>
      <c r="FL349" s="794"/>
      <c r="FM349" s="794"/>
      <c r="FN349" s="794"/>
      <c r="FO349" s="794"/>
      <c r="FP349" s="794"/>
      <c r="FQ349" s="794"/>
      <c r="FR349" s="794"/>
      <c r="FS349" s="794"/>
      <c r="FT349" s="794"/>
      <c r="FU349" s="794"/>
      <c r="FV349" s="794"/>
      <c r="FW349" s="794"/>
      <c r="FX349" s="794"/>
      <c r="FY349" s="794"/>
      <c r="FZ349" s="794"/>
      <c r="GA349" s="794"/>
      <c r="GB349" s="794"/>
      <c r="GC349" s="794"/>
      <c r="GD349" s="794"/>
      <c r="GE349" s="794"/>
      <c r="GF349" s="794"/>
      <c r="GG349" s="794"/>
      <c r="GH349" s="794"/>
      <c r="GI349" s="794"/>
      <c r="GJ349" s="794"/>
      <c r="GK349" s="794"/>
      <c r="GL349" s="794"/>
      <c r="GM349" s="794"/>
      <c r="GN349" s="794"/>
      <c r="GO349" s="794"/>
      <c r="GP349" s="794"/>
      <c r="GQ349" s="794"/>
      <c r="GR349" s="794"/>
      <c r="GS349" s="794"/>
      <c r="GT349" s="794"/>
      <c r="GU349" s="794"/>
      <c r="GV349" s="794"/>
      <c r="GW349" s="794"/>
      <c r="GX349" s="794"/>
      <c r="GY349" s="794"/>
      <c r="GZ349" s="794"/>
      <c r="HA349" s="794"/>
      <c r="HB349" s="794"/>
      <c r="HC349" s="794"/>
      <c r="HD349" s="794"/>
      <c r="HE349" s="794"/>
      <c r="HF349" s="794"/>
      <c r="HG349" s="794"/>
      <c r="HH349" s="794"/>
      <c r="HI349" s="794"/>
      <c r="HJ349" s="794"/>
      <c r="HK349" s="794"/>
      <c r="HL349" s="794"/>
      <c r="HM349" s="794"/>
      <c r="HN349" s="794"/>
      <c r="HO349" s="794"/>
      <c r="HP349" s="794"/>
      <c r="HQ349" s="794"/>
      <c r="HR349" s="794"/>
      <c r="HS349" s="794"/>
      <c r="HT349" s="794"/>
      <c r="HU349" s="794"/>
      <c r="HV349" s="794"/>
      <c r="HW349" s="794"/>
      <c r="HX349" s="794"/>
      <c r="HY349" s="794"/>
      <c r="HZ349" s="794"/>
      <c r="IA349" s="794"/>
      <c r="IB349" s="794"/>
      <c r="IC349" s="794"/>
      <c r="ID349" s="794"/>
      <c r="IE349" s="794"/>
      <c r="IF349" s="794"/>
      <c r="IG349" s="794"/>
      <c r="IH349" s="794"/>
      <c r="II349" s="794"/>
      <c r="IJ349" s="794"/>
      <c r="IK349" s="794"/>
      <c r="IL349" s="794"/>
      <c r="IM349" s="794"/>
      <c r="IN349" s="794"/>
      <c r="IO349" s="794"/>
      <c r="IP349" s="794"/>
      <c r="IQ349" s="794"/>
      <c r="IR349" s="794"/>
      <c r="IS349" s="794"/>
      <c r="IT349" s="794"/>
      <c r="IU349" s="794"/>
      <c r="IV349" s="794"/>
      <c r="IW349" s="794"/>
      <c r="IX349" s="794"/>
    </row>
    <row r="350" spans="1:258" s="811" customFormat="1" ht="38.25">
      <c r="A350" s="364">
        <v>1</v>
      </c>
      <c r="B350" s="799" t="s">
        <v>1303</v>
      </c>
      <c r="C350" s="799"/>
      <c r="D350" s="800"/>
      <c r="E350" s="785" t="s">
        <v>1187</v>
      </c>
      <c r="F350" s="366" t="s">
        <v>326</v>
      </c>
      <c r="G350" s="785" t="s">
        <v>327</v>
      </c>
      <c r="H350" s="368">
        <v>2016</v>
      </c>
      <c r="I350" s="368"/>
      <c r="J350" s="368">
        <v>2021</v>
      </c>
      <c r="K350" s="368"/>
      <c r="L350" s="368"/>
      <c r="M350" s="801" t="s">
        <v>2577</v>
      </c>
      <c r="N350" s="802">
        <v>146500</v>
      </c>
      <c r="O350" s="802"/>
      <c r="P350" s="802">
        <v>10500</v>
      </c>
      <c r="Q350" s="802">
        <v>2500</v>
      </c>
      <c r="R350" s="802"/>
      <c r="S350" s="800">
        <v>2500</v>
      </c>
      <c r="T350" s="800">
        <v>7350</v>
      </c>
      <c r="U350" s="803">
        <v>4850</v>
      </c>
      <c r="V350" s="373">
        <v>1000</v>
      </c>
      <c r="W350" s="373">
        <v>1000</v>
      </c>
      <c r="X350" s="373">
        <v>0</v>
      </c>
      <c r="Y350" s="804"/>
      <c r="Z350" s="373">
        <f t="shared" si="178"/>
        <v>1000</v>
      </c>
      <c r="AA350" s="524">
        <f t="shared" ref="AA350:AA359" si="240">Q350+$Z350</f>
        <v>3500</v>
      </c>
      <c r="AB350" s="524">
        <f t="shared" ref="AB350:AB359" si="241">R350+$Z350</f>
        <v>1000</v>
      </c>
      <c r="AC350" s="524">
        <f t="shared" ref="AC350:AC359" si="242">S350+$Z350</f>
        <v>3500</v>
      </c>
      <c r="AD350" s="524">
        <f t="shared" ref="AD350:AD359" si="243">T350</f>
        <v>7350</v>
      </c>
      <c r="AE350" s="524">
        <f t="shared" ref="AE350:AE358" si="244">U350-Z350</f>
        <v>3850</v>
      </c>
      <c r="AF350" s="245">
        <v>1925</v>
      </c>
      <c r="AG350" s="245">
        <f t="shared" ref="AG350:AG365" si="245">AF350/AE350*100</f>
        <v>50</v>
      </c>
      <c r="AH350" s="245"/>
      <c r="AI350" s="245">
        <f t="shared" ref="AI350:AI359" si="246">AF350+AH350</f>
        <v>1925</v>
      </c>
      <c r="AJ350" s="245">
        <f t="shared" ref="AJ350:AJ359" si="247">AA350+AI350</f>
        <v>5425</v>
      </c>
      <c r="AK350" s="245">
        <f t="shared" ref="AK350:AK359" si="248">AC350+AI350</f>
        <v>5425</v>
      </c>
      <c r="AL350" s="245">
        <f t="shared" ref="AL350:AL359" si="249">T350</f>
        <v>7350</v>
      </c>
      <c r="AM350" s="245">
        <f t="shared" ref="AM350:AM365" si="250">AE350-AI350</f>
        <v>1925</v>
      </c>
      <c r="AN350" s="805" t="s">
        <v>1304</v>
      </c>
      <c r="AO350" s="806"/>
      <c r="AP350" s="807">
        <f t="shared" si="239"/>
        <v>146500</v>
      </c>
      <c r="AQ350" s="808"/>
      <c r="AR350" s="808"/>
      <c r="AS350" s="809"/>
      <c r="AT350" s="806"/>
      <c r="AU350" s="810" t="s">
        <v>1304</v>
      </c>
      <c r="AV350" s="806"/>
      <c r="AW350" s="806"/>
      <c r="AX350" s="806"/>
      <c r="AY350" s="809"/>
      <c r="AZ350" s="809"/>
      <c r="BA350" s="809"/>
      <c r="BB350" s="806"/>
      <c r="BC350" s="806"/>
      <c r="BD350" s="806"/>
      <c r="BE350" s="806"/>
      <c r="BF350" s="806"/>
      <c r="BG350" s="806"/>
      <c r="BH350" s="806"/>
      <c r="BI350" s="806"/>
      <c r="BJ350" s="806"/>
      <c r="BK350" s="806"/>
      <c r="BL350" s="806"/>
      <c r="BM350" s="806"/>
      <c r="BN350" s="806"/>
      <c r="BO350" s="806"/>
      <c r="BP350" s="806"/>
      <c r="BQ350" s="806"/>
      <c r="BR350" s="806"/>
      <c r="BS350" s="806"/>
      <c r="BT350" s="806"/>
      <c r="BU350" s="806"/>
      <c r="BV350" s="806"/>
      <c r="BW350" s="806"/>
      <c r="BX350" s="806"/>
      <c r="BY350" s="806"/>
      <c r="BZ350" s="806"/>
      <c r="CA350" s="806"/>
      <c r="CB350" s="806"/>
      <c r="CC350" s="806"/>
      <c r="CD350" s="806"/>
      <c r="CE350" s="806"/>
      <c r="CF350" s="806"/>
      <c r="CG350" s="806"/>
      <c r="CH350" s="806"/>
      <c r="CI350" s="806"/>
      <c r="CJ350" s="806"/>
      <c r="CK350" s="806"/>
      <c r="CL350" s="806"/>
      <c r="CM350" s="806"/>
      <c r="CN350" s="806"/>
      <c r="CO350" s="806"/>
      <c r="CP350" s="806"/>
      <c r="CQ350" s="806"/>
      <c r="CR350" s="806"/>
      <c r="CS350" s="806"/>
      <c r="CT350" s="806"/>
      <c r="CU350" s="806"/>
      <c r="CV350" s="806"/>
      <c r="CW350" s="806"/>
      <c r="CX350" s="806"/>
      <c r="CY350" s="806"/>
      <c r="CZ350" s="806"/>
      <c r="DA350" s="806"/>
      <c r="DB350" s="806"/>
      <c r="DC350" s="806"/>
      <c r="DD350" s="806"/>
      <c r="DE350" s="806"/>
      <c r="DF350" s="806"/>
      <c r="DG350" s="806"/>
      <c r="DH350" s="806"/>
      <c r="DI350" s="806"/>
      <c r="DJ350" s="806"/>
      <c r="DK350" s="806"/>
      <c r="DL350" s="806"/>
      <c r="DM350" s="806"/>
      <c r="DN350" s="806"/>
      <c r="DO350" s="806"/>
      <c r="DP350" s="806"/>
      <c r="DQ350" s="806"/>
      <c r="DR350" s="806"/>
      <c r="DS350" s="806"/>
      <c r="DT350" s="806"/>
      <c r="DU350" s="806"/>
      <c r="DV350" s="806"/>
      <c r="DW350" s="806"/>
      <c r="DX350" s="806"/>
      <c r="DY350" s="806"/>
      <c r="DZ350" s="806"/>
      <c r="EA350" s="806"/>
      <c r="EB350" s="806"/>
      <c r="EC350" s="806"/>
      <c r="ED350" s="806"/>
      <c r="EE350" s="806"/>
      <c r="EF350" s="806"/>
      <c r="EG350" s="806"/>
      <c r="EH350" s="806"/>
      <c r="EI350" s="806"/>
      <c r="EJ350" s="806"/>
      <c r="EK350" s="806"/>
      <c r="EL350" s="806"/>
      <c r="EM350" s="806"/>
      <c r="EN350" s="806"/>
      <c r="EO350" s="806"/>
      <c r="EP350" s="806"/>
      <c r="EQ350" s="806"/>
      <c r="ER350" s="806"/>
      <c r="ES350" s="806"/>
      <c r="ET350" s="806"/>
      <c r="EU350" s="806"/>
      <c r="EV350" s="806"/>
      <c r="EW350" s="806"/>
      <c r="EX350" s="806"/>
      <c r="EY350" s="806"/>
      <c r="EZ350" s="806"/>
      <c r="FA350" s="806"/>
      <c r="FB350" s="806"/>
      <c r="FC350" s="806"/>
      <c r="FD350" s="806"/>
      <c r="FE350" s="806"/>
      <c r="FF350" s="806"/>
      <c r="FG350" s="806"/>
      <c r="FH350" s="806"/>
      <c r="FI350" s="806"/>
      <c r="FJ350" s="806"/>
      <c r="FK350" s="806"/>
      <c r="FL350" s="806"/>
      <c r="FM350" s="806"/>
      <c r="FN350" s="806"/>
      <c r="FO350" s="806"/>
      <c r="FP350" s="806"/>
      <c r="FQ350" s="806"/>
      <c r="FR350" s="806"/>
      <c r="FS350" s="806"/>
      <c r="FT350" s="806"/>
      <c r="FU350" s="806"/>
      <c r="FV350" s="806"/>
      <c r="FW350" s="806"/>
      <c r="FX350" s="806"/>
      <c r="FY350" s="806"/>
      <c r="FZ350" s="806"/>
      <c r="GA350" s="806"/>
      <c r="GB350" s="806"/>
      <c r="GC350" s="806"/>
      <c r="GD350" s="806"/>
      <c r="GE350" s="806"/>
      <c r="GF350" s="806"/>
      <c r="GG350" s="806"/>
      <c r="GH350" s="806"/>
      <c r="GI350" s="806"/>
      <c r="GJ350" s="806"/>
      <c r="GK350" s="806"/>
      <c r="GL350" s="806"/>
      <c r="GM350" s="806"/>
      <c r="GN350" s="806"/>
      <c r="GO350" s="806"/>
      <c r="GP350" s="806"/>
      <c r="GQ350" s="806"/>
      <c r="GR350" s="806"/>
      <c r="GS350" s="806"/>
      <c r="GT350" s="806"/>
      <c r="GU350" s="806"/>
      <c r="GV350" s="806"/>
      <c r="GW350" s="806"/>
      <c r="GX350" s="806"/>
      <c r="GY350" s="806"/>
      <c r="GZ350" s="806"/>
      <c r="HA350" s="806"/>
      <c r="HB350" s="806"/>
      <c r="HC350" s="806"/>
      <c r="HD350" s="806"/>
      <c r="HE350" s="806"/>
      <c r="HF350" s="806"/>
      <c r="HG350" s="806"/>
      <c r="HH350" s="806"/>
      <c r="HI350" s="806"/>
      <c r="HJ350" s="806"/>
      <c r="HK350" s="806"/>
      <c r="HL350" s="806"/>
      <c r="HM350" s="806"/>
      <c r="HN350" s="806"/>
      <c r="HO350" s="806"/>
      <c r="HP350" s="806"/>
      <c r="HQ350" s="806"/>
      <c r="HR350" s="806"/>
      <c r="HS350" s="806"/>
      <c r="HT350" s="806"/>
      <c r="HU350" s="806"/>
      <c r="HV350" s="806"/>
      <c r="HW350" s="806"/>
      <c r="HX350" s="806"/>
      <c r="HY350" s="806"/>
      <c r="HZ350" s="806"/>
      <c r="IA350" s="806"/>
      <c r="IB350" s="806"/>
      <c r="IC350" s="806"/>
      <c r="ID350" s="806"/>
      <c r="IE350" s="806"/>
      <c r="IF350" s="806"/>
      <c r="IG350" s="806"/>
      <c r="IH350" s="806"/>
      <c r="II350" s="806"/>
      <c r="IJ350" s="806"/>
      <c r="IK350" s="806"/>
      <c r="IL350" s="806"/>
      <c r="IM350" s="806"/>
      <c r="IN350" s="806"/>
      <c r="IO350" s="806"/>
      <c r="IP350" s="806"/>
      <c r="IQ350" s="806"/>
      <c r="IR350" s="806"/>
      <c r="IS350" s="806"/>
      <c r="IT350" s="806"/>
      <c r="IU350" s="806"/>
      <c r="IV350" s="806"/>
      <c r="IW350" s="806"/>
      <c r="IX350" s="806"/>
    </row>
    <row r="351" spans="1:258" s="798" customFormat="1" ht="25.5">
      <c r="A351" s="248">
        <v>2</v>
      </c>
      <c r="B351" s="812" t="s">
        <v>1305</v>
      </c>
      <c r="C351" s="812"/>
      <c r="D351" s="813"/>
      <c r="E351" s="814" t="s">
        <v>1166</v>
      </c>
      <c r="F351" s="665" t="s">
        <v>1167</v>
      </c>
      <c r="G351" s="764" t="s">
        <v>435</v>
      </c>
      <c r="H351" s="253">
        <v>2010</v>
      </c>
      <c r="I351" s="253"/>
      <c r="J351" s="253">
        <v>2019</v>
      </c>
      <c r="K351" s="253"/>
      <c r="L351" s="253"/>
      <c r="M351" s="815" t="s">
        <v>1306</v>
      </c>
      <c r="N351" s="816">
        <v>122095</v>
      </c>
      <c r="O351" s="816"/>
      <c r="P351" s="817">
        <v>69246</v>
      </c>
      <c r="Q351" s="816">
        <f>48813+23800+3500</f>
        <v>76113</v>
      </c>
      <c r="R351" s="816"/>
      <c r="S351" s="817">
        <f>8800+23800+3500+13500</f>
        <v>49600</v>
      </c>
      <c r="T351" s="817">
        <v>60446</v>
      </c>
      <c r="U351" s="818">
        <f>21646-2000</f>
        <v>19646</v>
      </c>
      <c r="V351" s="255">
        <v>6000</v>
      </c>
      <c r="W351" s="255">
        <v>6000</v>
      </c>
      <c r="X351" s="255">
        <v>0</v>
      </c>
      <c r="Y351" s="819">
        <v>-5000</v>
      </c>
      <c r="Z351" s="255">
        <f t="shared" si="178"/>
        <v>1000</v>
      </c>
      <c r="AA351" s="254">
        <f t="shared" si="240"/>
        <v>77113</v>
      </c>
      <c r="AB351" s="254">
        <f t="shared" si="241"/>
        <v>1000</v>
      </c>
      <c r="AC351" s="1471">
        <f>S351+$Z351-8800</f>
        <v>41800</v>
      </c>
      <c r="AD351" s="254">
        <f t="shared" si="243"/>
        <v>60446</v>
      </c>
      <c r="AE351" s="254">
        <f t="shared" si="244"/>
        <v>18646</v>
      </c>
      <c r="AF351" s="245">
        <v>9323</v>
      </c>
      <c r="AG351" s="245">
        <f t="shared" si="245"/>
        <v>50</v>
      </c>
      <c r="AH351" s="652"/>
      <c r="AI351" s="245">
        <f t="shared" si="246"/>
        <v>9323</v>
      </c>
      <c r="AJ351" s="245">
        <f t="shared" si="247"/>
        <v>86436</v>
      </c>
      <c r="AK351" s="245">
        <f>AC351+AI351</f>
        <v>51123</v>
      </c>
      <c r="AL351" s="245">
        <f t="shared" si="249"/>
        <v>60446</v>
      </c>
      <c r="AM351" s="245">
        <f t="shared" si="250"/>
        <v>9323</v>
      </c>
      <c r="AN351" s="814" t="s">
        <v>1307</v>
      </c>
      <c r="AO351" s="795"/>
      <c r="AP351" s="795">
        <f t="shared" si="239"/>
        <v>122095</v>
      </c>
      <c r="AQ351" s="796"/>
      <c r="AR351" s="796"/>
      <c r="AS351" s="797"/>
      <c r="AT351" s="794"/>
      <c r="AU351" s="810" t="s">
        <v>1307</v>
      </c>
      <c r="AV351" s="794"/>
      <c r="AW351" s="794"/>
      <c r="AX351" s="794"/>
      <c r="AY351" s="797"/>
      <c r="AZ351" s="797"/>
      <c r="BA351" s="797"/>
      <c r="BB351" s="794"/>
      <c r="BC351" s="794"/>
      <c r="BD351" s="794"/>
      <c r="BE351" s="794"/>
      <c r="BF351" s="794"/>
      <c r="BG351" s="794"/>
      <c r="BH351" s="794"/>
      <c r="BI351" s="794"/>
      <c r="BJ351" s="794"/>
      <c r="BK351" s="794"/>
      <c r="BL351" s="794"/>
      <c r="BM351" s="794"/>
      <c r="BN351" s="794"/>
      <c r="BO351" s="794"/>
      <c r="BP351" s="794"/>
      <c r="BQ351" s="794"/>
      <c r="BR351" s="794"/>
      <c r="BS351" s="794"/>
      <c r="BT351" s="794"/>
      <c r="BU351" s="794"/>
      <c r="BV351" s="794"/>
      <c r="BW351" s="794"/>
      <c r="BX351" s="794"/>
      <c r="BY351" s="794"/>
      <c r="BZ351" s="794"/>
      <c r="CA351" s="794"/>
      <c r="CB351" s="794"/>
      <c r="CC351" s="794"/>
      <c r="CD351" s="794"/>
      <c r="CE351" s="794"/>
      <c r="CF351" s="794"/>
      <c r="CG351" s="794"/>
      <c r="CH351" s="794"/>
      <c r="CI351" s="794"/>
      <c r="CJ351" s="794"/>
      <c r="CK351" s="794"/>
      <c r="CL351" s="794"/>
      <c r="CM351" s="794"/>
      <c r="CN351" s="794"/>
      <c r="CO351" s="794"/>
      <c r="CP351" s="794"/>
      <c r="CQ351" s="794"/>
      <c r="CR351" s="794"/>
      <c r="CS351" s="794"/>
      <c r="CT351" s="794"/>
      <c r="CU351" s="794"/>
      <c r="CV351" s="794"/>
      <c r="CW351" s="794"/>
      <c r="CX351" s="794"/>
      <c r="CY351" s="794"/>
      <c r="CZ351" s="794"/>
      <c r="DA351" s="794"/>
      <c r="DB351" s="794"/>
      <c r="DC351" s="794"/>
      <c r="DD351" s="794"/>
      <c r="DE351" s="794"/>
      <c r="DF351" s="794"/>
      <c r="DG351" s="794"/>
      <c r="DH351" s="794"/>
      <c r="DI351" s="794"/>
      <c r="DJ351" s="794"/>
      <c r="DK351" s="794"/>
      <c r="DL351" s="794"/>
      <c r="DM351" s="794"/>
      <c r="DN351" s="794"/>
      <c r="DO351" s="794"/>
      <c r="DP351" s="794"/>
      <c r="DQ351" s="794"/>
      <c r="DR351" s="794"/>
      <c r="DS351" s="794"/>
      <c r="DT351" s="794"/>
      <c r="DU351" s="794"/>
      <c r="DV351" s="794"/>
      <c r="DW351" s="794"/>
      <c r="DX351" s="794"/>
      <c r="DY351" s="794"/>
      <c r="DZ351" s="794"/>
      <c r="EA351" s="794"/>
      <c r="EB351" s="794"/>
      <c r="EC351" s="794"/>
      <c r="ED351" s="794"/>
      <c r="EE351" s="794"/>
      <c r="EF351" s="794"/>
      <c r="EG351" s="794"/>
      <c r="EH351" s="794"/>
      <c r="EI351" s="794"/>
      <c r="EJ351" s="794"/>
      <c r="EK351" s="794"/>
      <c r="EL351" s="794"/>
      <c r="EM351" s="794"/>
      <c r="EN351" s="794"/>
      <c r="EO351" s="794"/>
      <c r="EP351" s="794"/>
      <c r="EQ351" s="794"/>
      <c r="ER351" s="794"/>
      <c r="ES351" s="794"/>
      <c r="ET351" s="794"/>
      <c r="EU351" s="794"/>
      <c r="EV351" s="794"/>
      <c r="EW351" s="794"/>
      <c r="EX351" s="794"/>
      <c r="EY351" s="794"/>
      <c r="EZ351" s="794"/>
      <c r="FA351" s="794"/>
      <c r="FB351" s="794"/>
      <c r="FC351" s="794"/>
      <c r="FD351" s="794"/>
      <c r="FE351" s="794"/>
      <c r="FF351" s="794"/>
      <c r="FG351" s="794"/>
      <c r="FH351" s="794"/>
      <c r="FI351" s="794"/>
      <c r="FJ351" s="794"/>
      <c r="FK351" s="794"/>
      <c r="FL351" s="794"/>
      <c r="FM351" s="794"/>
      <c r="FN351" s="794"/>
      <c r="FO351" s="794"/>
      <c r="FP351" s="794"/>
      <c r="FQ351" s="794"/>
      <c r="FR351" s="794"/>
      <c r="FS351" s="794"/>
      <c r="FT351" s="794"/>
      <c r="FU351" s="794"/>
      <c r="FV351" s="794"/>
      <c r="FW351" s="794"/>
      <c r="FX351" s="794"/>
      <c r="FY351" s="794"/>
      <c r="FZ351" s="794"/>
      <c r="GA351" s="794"/>
      <c r="GB351" s="794"/>
      <c r="GC351" s="794"/>
      <c r="GD351" s="794"/>
      <c r="GE351" s="794"/>
      <c r="GF351" s="794"/>
      <c r="GG351" s="794"/>
      <c r="GH351" s="794"/>
      <c r="GI351" s="794"/>
      <c r="GJ351" s="794"/>
      <c r="GK351" s="794"/>
      <c r="GL351" s="794"/>
      <c r="GM351" s="794"/>
      <c r="GN351" s="794"/>
      <c r="GO351" s="794"/>
      <c r="GP351" s="794"/>
      <c r="GQ351" s="794"/>
      <c r="GR351" s="794"/>
      <c r="GS351" s="794"/>
      <c r="GT351" s="794"/>
      <c r="GU351" s="794"/>
      <c r="GV351" s="794"/>
      <c r="GW351" s="794"/>
      <c r="GX351" s="794"/>
      <c r="GY351" s="794"/>
      <c r="GZ351" s="794"/>
      <c r="HA351" s="794"/>
      <c r="HB351" s="794"/>
      <c r="HC351" s="794"/>
      <c r="HD351" s="794"/>
      <c r="HE351" s="794"/>
      <c r="HF351" s="794"/>
      <c r="HG351" s="794"/>
      <c r="HH351" s="794"/>
      <c r="HI351" s="794"/>
      <c r="HJ351" s="794"/>
      <c r="HK351" s="794"/>
      <c r="HL351" s="794"/>
      <c r="HM351" s="794"/>
      <c r="HN351" s="794"/>
      <c r="HO351" s="794"/>
      <c r="HP351" s="794"/>
      <c r="HQ351" s="794"/>
      <c r="HR351" s="794"/>
      <c r="HS351" s="794"/>
      <c r="HT351" s="794"/>
      <c r="HU351" s="794"/>
      <c r="HV351" s="794"/>
      <c r="HW351" s="794"/>
      <c r="HX351" s="794"/>
      <c r="HY351" s="794"/>
      <c r="HZ351" s="794"/>
      <c r="IA351" s="794"/>
      <c r="IB351" s="794"/>
      <c r="IC351" s="794"/>
      <c r="ID351" s="794"/>
      <c r="IE351" s="794"/>
      <c r="IF351" s="794"/>
      <c r="IG351" s="794"/>
      <c r="IH351" s="794"/>
      <c r="II351" s="794"/>
      <c r="IJ351" s="794"/>
      <c r="IK351" s="794"/>
      <c r="IL351" s="794"/>
      <c r="IM351" s="794"/>
      <c r="IN351" s="794"/>
      <c r="IO351" s="794"/>
      <c r="IP351" s="794"/>
      <c r="IQ351" s="794"/>
      <c r="IR351" s="794"/>
      <c r="IS351" s="794"/>
      <c r="IT351" s="794"/>
      <c r="IU351" s="794"/>
      <c r="IV351" s="794"/>
      <c r="IW351" s="794"/>
      <c r="IX351" s="794"/>
    </row>
    <row r="352" spans="1:258" s="798" customFormat="1" ht="63.75">
      <c r="A352" s="248">
        <v>3</v>
      </c>
      <c r="B352" s="812" t="s">
        <v>1308</v>
      </c>
      <c r="C352" s="812"/>
      <c r="D352" s="813"/>
      <c r="E352" s="820" t="s">
        <v>1166</v>
      </c>
      <c r="F352" s="251" t="s">
        <v>326</v>
      </c>
      <c r="G352" s="252" t="s">
        <v>333</v>
      </c>
      <c r="H352" s="253">
        <v>2017</v>
      </c>
      <c r="I352" s="253"/>
      <c r="J352" s="253">
        <v>2022</v>
      </c>
      <c r="K352" s="253"/>
      <c r="L352" s="253"/>
      <c r="M352" s="821" t="s">
        <v>2576</v>
      </c>
      <c r="N352" s="816">
        <v>176748</v>
      </c>
      <c r="O352" s="816"/>
      <c r="P352" s="816">
        <v>176748</v>
      </c>
      <c r="Q352" s="1470">
        <f>16000+1000+1000</f>
        <v>18000</v>
      </c>
      <c r="R352" s="822"/>
      <c r="S352" s="1470">
        <f>Q352</f>
        <v>18000</v>
      </c>
      <c r="T352" s="817">
        <v>83000</v>
      </c>
      <c r="U352" s="818">
        <f>63000+10000-1000</f>
        <v>72000</v>
      </c>
      <c r="V352" s="255">
        <v>10000</v>
      </c>
      <c r="W352" s="255">
        <v>10000</v>
      </c>
      <c r="X352" s="255">
        <v>0</v>
      </c>
      <c r="Y352" s="804">
        <f>12800</f>
        <v>12800</v>
      </c>
      <c r="Z352" s="255">
        <f t="shared" si="178"/>
        <v>22800</v>
      </c>
      <c r="AA352" s="1485">
        <f t="shared" si="240"/>
        <v>40800</v>
      </c>
      <c r="AB352" s="254">
        <f t="shared" si="241"/>
        <v>22800</v>
      </c>
      <c r="AC352" s="1471">
        <f>S352+$Z352-7000</f>
        <v>33800</v>
      </c>
      <c r="AD352" s="254">
        <f t="shared" si="243"/>
        <v>83000</v>
      </c>
      <c r="AE352" s="254">
        <f t="shared" si="244"/>
        <v>49200</v>
      </c>
      <c r="AF352" s="245">
        <v>24600</v>
      </c>
      <c r="AG352" s="245">
        <f t="shared" si="245"/>
        <v>50</v>
      </c>
      <c r="AH352" s="245"/>
      <c r="AI352" s="245">
        <f t="shared" si="246"/>
        <v>24600</v>
      </c>
      <c r="AJ352" s="245">
        <f t="shared" si="247"/>
        <v>65400</v>
      </c>
      <c r="AK352" s="1483">
        <f>AC352+AI352+3843</f>
        <v>62243</v>
      </c>
      <c r="AL352" s="245">
        <f t="shared" si="249"/>
        <v>83000</v>
      </c>
      <c r="AM352" s="1483">
        <f>AD352-AK352</f>
        <v>20757</v>
      </c>
      <c r="AN352" s="823" t="s">
        <v>1309</v>
      </c>
      <c r="AO352" s="794" t="s">
        <v>1310</v>
      </c>
      <c r="AP352" s="795" t="e">
        <f t="shared" si="239"/>
        <v>#VALUE!</v>
      </c>
      <c r="AQ352" s="796"/>
      <c r="AR352" s="796"/>
      <c r="AS352" s="797"/>
      <c r="AT352" s="794"/>
      <c r="AU352" s="810" t="s">
        <v>1309</v>
      </c>
      <c r="AV352" s="794"/>
      <c r="AW352" s="794"/>
      <c r="AX352" s="794"/>
      <c r="AY352" s="797"/>
      <c r="AZ352" s="797"/>
      <c r="BA352" s="797"/>
      <c r="BB352" s="794"/>
      <c r="BC352" s="794"/>
      <c r="BD352" s="794"/>
      <c r="BE352" s="794"/>
      <c r="BF352" s="794"/>
      <c r="BG352" s="794"/>
      <c r="BH352" s="794"/>
      <c r="BI352" s="794"/>
      <c r="BJ352" s="794"/>
      <c r="BK352" s="794"/>
      <c r="BL352" s="794"/>
      <c r="BM352" s="794"/>
      <c r="BN352" s="794"/>
      <c r="BO352" s="794"/>
      <c r="BP352" s="794"/>
      <c r="BQ352" s="794"/>
      <c r="BR352" s="794"/>
      <c r="BS352" s="794"/>
      <c r="BT352" s="794"/>
      <c r="BU352" s="794"/>
      <c r="BV352" s="794"/>
      <c r="BW352" s="794"/>
      <c r="BX352" s="794"/>
      <c r="BY352" s="794"/>
      <c r="BZ352" s="794"/>
      <c r="CA352" s="794"/>
      <c r="CB352" s="794"/>
      <c r="CC352" s="794"/>
      <c r="CD352" s="794"/>
      <c r="CE352" s="794"/>
      <c r="CF352" s="794"/>
      <c r="CG352" s="794"/>
      <c r="CH352" s="794"/>
      <c r="CI352" s="794"/>
      <c r="CJ352" s="794"/>
      <c r="CK352" s="794"/>
      <c r="CL352" s="794"/>
      <c r="CM352" s="794"/>
      <c r="CN352" s="794"/>
      <c r="CO352" s="794"/>
      <c r="CP352" s="794"/>
      <c r="CQ352" s="794"/>
      <c r="CR352" s="794"/>
      <c r="CS352" s="794"/>
      <c r="CT352" s="794"/>
      <c r="CU352" s="794"/>
      <c r="CV352" s="794"/>
      <c r="CW352" s="794"/>
      <c r="CX352" s="794"/>
      <c r="CY352" s="794"/>
      <c r="CZ352" s="794"/>
      <c r="DA352" s="794"/>
      <c r="DB352" s="794"/>
      <c r="DC352" s="794"/>
      <c r="DD352" s="794"/>
      <c r="DE352" s="794"/>
      <c r="DF352" s="794"/>
      <c r="DG352" s="794"/>
      <c r="DH352" s="794"/>
      <c r="DI352" s="794"/>
      <c r="DJ352" s="794"/>
      <c r="DK352" s="794"/>
      <c r="DL352" s="794"/>
      <c r="DM352" s="794"/>
      <c r="DN352" s="794"/>
      <c r="DO352" s="794"/>
      <c r="DP352" s="794"/>
      <c r="DQ352" s="794"/>
      <c r="DR352" s="794"/>
      <c r="DS352" s="794"/>
      <c r="DT352" s="794"/>
      <c r="DU352" s="794"/>
      <c r="DV352" s="794"/>
      <c r="DW352" s="794"/>
      <c r="DX352" s="794"/>
      <c r="DY352" s="794"/>
      <c r="DZ352" s="794"/>
      <c r="EA352" s="794"/>
      <c r="EB352" s="794"/>
      <c r="EC352" s="794"/>
      <c r="ED352" s="794"/>
      <c r="EE352" s="794"/>
      <c r="EF352" s="794"/>
      <c r="EG352" s="794"/>
      <c r="EH352" s="794"/>
      <c r="EI352" s="794"/>
      <c r="EJ352" s="794"/>
      <c r="EK352" s="794"/>
      <c r="EL352" s="794"/>
      <c r="EM352" s="794"/>
      <c r="EN352" s="794"/>
      <c r="EO352" s="794"/>
      <c r="EP352" s="794"/>
      <c r="EQ352" s="794"/>
      <c r="ER352" s="794"/>
      <c r="ES352" s="794"/>
      <c r="ET352" s="794"/>
      <c r="EU352" s="794"/>
      <c r="EV352" s="794"/>
      <c r="EW352" s="794"/>
      <c r="EX352" s="794"/>
      <c r="EY352" s="794"/>
      <c r="EZ352" s="794"/>
      <c r="FA352" s="794"/>
      <c r="FB352" s="794"/>
      <c r="FC352" s="794"/>
      <c r="FD352" s="794"/>
      <c r="FE352" s="794"/>
      <c r="FF352" s="794"/>
      <c r="FG352" s="794"/>
      <c r="FH352" s="794"/>
      <c r="FI352" s="794"/>
      <c r="FJ352" s="794"/>
      <c r="FK352" s="794"/>
      <c r="FL352" s="794"/>
      <c r="FM352" s="794"/>
      <c r="FN352" s="794"/>
      <c r="FO352" s="794"/>
      <c r="FP352" s="794"/>
      <c r="FQ352" s="794"/>
      <c r="FR352" s="794"/>
      <c r="FS352" s="794"/>
      <c r="FT352" s="794"/>
      <c r="FU352" s="794"/>
      <c r="FV352" s="794"/>
      <c r="FW352" s="794"/>
      <c r="FX352" s="794"/>
      <c r="FY352" s="794"/>
      <c r="FZ352" s="794"/>
      <c r="GA352" s="794"/>
      <c r="GB352" s="794"/>
      <c r="GC352" s="794"/>
      <c r="GD352" s="794"/>
      <c r="GE352" s="794"/>
      <c r="GF352" s="794"/>
      <c r="GG352" s="794"/>
      <c r="GH352" s="794"/>
      <c r="GI352" s="794"/>
      <c r="GJ352" s="794"/>
      <c r="GK352" s="794"/>
      <c r="GL352" s="794"/>
      <c r="GM352" s="794"/>
      <c r="GN352" s="794"/>
      <c r="GO352" s="794"/>
      <c r="GP352" s="794"/>
      <c r="GQ352" s="794"/>
      <c r="GR352" s="794"/>
      <c r="GS352" s="794"/>
      <c r="GT352" s="794"/>
      <c r="GU352" s="794"/>
      <c r="GV352" s="794"/>
      <c r="GW352" s="794"/>
      <c r="GX352" s="794"/>
      <c r="GY352" s="794"/>
      <c r="GZ352" s="794"/>
      <c r="HA352" s="794"/>
      <c r="HB352" s="794"/>
      <c r="HC352" s="794"/>
      <c r="HD352" s="794"/>
      <c r="HE352" s="794"/>
      <c r="HF352" s="794"/>
      <c r="HG352" s="794"/>
      <c r="HH352" s="794"/>
      <c r="HI352" s="794"/>
      <c r="HJ352" s="794"/>
      <c r="HK352" s="794"/>
      <c r="HL352" s="794"/>
      <c r="HM352" s="794"/>
      <c r="HN352" s="794"/>
      <c r="HO352" s="794"/>
      <c r="HP352" s="794"/>
      <c r="HQ352" s="794"/>
      <c r="HR352" s="794"/>
      <c r="HS352" s="794"/>
      <c r="HT352" s="794"/>
      <c r="HU352" s="794"/>
      <c r="HV352" s="794"/>
      <c r="HW352" s="794"/>
      <c r="HX352" s="794"/>
      <c r="HY352" s="794"/>
      <c r="HZ352" s="794"/>
      <c r="IA352" s="794"/>
      <c r="IB352" s="794"/>
      <c r="IC352" s="794"/>
      <c r="ID352" s="794"/>
      <c r="IE352" s="794"/>
      <c r="IF352" s="794"/>
      <c r="IG352" s="794"/>
      <c r="IH352" s="794"/>
      <c r="II352" s="794"/>
      <c r="IJ352" s="794"/>
      <c r="IK352" s="794"/>
      <c r="IL352" s="794"/>
      <c r="IM352" s="794"/>
      <c r="IN352" s="794"/>
      <c r="IO352" s="794"/>
      <c r="IP352" s="794"/>
      <c r="IQ352" s="794"/>
      <c r="IR352" s="794"/>
      <c r="IS352" s="794"/>
      <c r="IT352" s="794"/>
      <c r="IU352" s="794"/>
      <c r="IV352" s="794"/>
      <c r="IW352" s="794"/>
      <c r="IX352" s="794"/>
    </row>
    <row r="353" spans="1:258" s="811" customFormat="1" ht="38.25">
      <c r="A353" s="364">
        <v>4</v>
      </c>
      <c r="B353" s="799" t="s">
        <v>1311</v>
      </c>
      <c r="C353" s="799"/>
      <c r="D353" s="800"/>
      <c r="E353" s="824" t="s">
        <v>1166</v>
      </c>
      <c r="F353" s="366" t="s">
        <v>326</v>
      </c>
      <c r="G353" s="785" t="s">
        <v>327</v>
      </c>
      <c r="H353" s="368">
        <v>2018</v>
      </c>
      <c r="I353" s="368"/>
      <c r="J353" s="368">
        <v>2023</v>
      </c>
      <c r="K353" s="368"/>
      <c r="L353" s="368"/>
      <c r="M353" s="1472" t="s">
        <v>2575</v>
      </c>
      <c r="N353" s="802">
        <v>259649.99999999997</v>
      </c>
      <c r="O353" s="802"/>
      <c r="P353" s="802">
        <v>118029.99999999997</v>
      </c>
      <c r="Q353" s="802">
        <v>10000</v>
      </c>
      <c r="R353" s="802"/>
      <c r="S353" s="800">
        <v>10000</v>
      </c>
      <c r="T353" s="802">
        <v>61000</v>
      </c>
      <c r="U353" s="803">
        <v>51000</v>
      </c>
      <c r="V353" s="373">
        <v>10000</v>
      </c>
      <c r="W353" s="373">
        <v>10000</v>
      </c>
      <c r="X353" s="373">
        <v>0</v>
      </c>
      <c r="Y353" s="804"/>
      <c r="Z353" s="373">
        <f t="shared" si="178"/>
        <v>10000</v>
      </c>
      <c r="AA353" s="524">
        <f t="shared" si="240"/>
        <v>20000</v>
      </c>
      <c r="AB353" s="524">
        <f t="shared" si="241"/>
        <v>10000</v>
      </c>
      <c r="AC353" s="524">
        <f t="shared" si="242"/>
        <v>20000</v>
      </c>
      <c r="AD353" s="524">
        <f t="shared" si="243"/>
        <v>61000</v>
      </c>
      <c r="AE353" s="524">
        <f t="shared" si="244"/>
        <v>41000</v>
      </c>
      <c r="AF353" s="245">
        <v>20500</v>
      </c>
      <c r="AG353" s="245">
        <f t="shared" si="245"/>
        <v>50</v>
      </c>
      <c r="AH353" s="245"/>
      <c r="AI353" s="245">
        <f t="shared" si="246"/>
        <v>20500</v>
      </c>
      <c r="AJ353" s="245">
        <f t="shared" si="247"/>
        <v>40500</v>
      </c>
      <c r="AK353" s="245">
        <f t="shared" si="248"/>
        <v>40500</v>
      </c>
      <c r="AL353" s="245">
        <f t="shared" si="249"/>
        <v>61000</v>
      </c>
      <c r="AM353" s="245">
        <f t="shared" si="250"/>
        <v>20500</v>
      </c>
      <c r="AN353" s="805" t="s">
        <v>1312</v>
      </c>
      <c r="AO353" s="806"/>
      <c r="AP353" s="807">
        <f t="shared" si="239"/>
        <v>259649.99999999997</v>
      </c>
      <c r="AQ353" s="808"/>
      <c r="AR353" s="808"/>
      <c r="AS353" s="809"/>
      <c r="AT353" s="806"/>
      <c r="AU353" s="810" t="s">
        <v>1312</v>
      </c>
      <c r="AV353" s="806"/>
      <c r="AW353" s="806"/>
      <c r="AX353" s="806"/>
      <c r="AY353" s="809"/>
      <c r="AZ353" s="809"/>
      <c r="BA353" s="809"/>
      <c r="BB353" s="806"/>
      <c r="BC353" s="806"/>
      <c r="BD353" s="806"/>
      <c r="BE353" s="806"/>
      <c r="BF353" s="806"/>
      <c r="BG353" s="806"/>
      <c r="BH353" s="806"/>
      <c r="BI353" s="806"/>
      <c r="BJ353" s="806"/>
      <c r="BK353" s="806"/>
      <c r="BL353" s="806"/>
      <c r="BM353" s="806"/>
      <c r="BN353" s="806"/>
      <c r="BO353" s="806"/>
      <c r="BP353" s="806"/>
      <c r="BQ353" s="806"/>
      <c r="BR353" s="806"/>
      <c r="BS353" s="806"/>
      <c r="BT353" s="806"/>
      <c r="BU353" s="806"/>
      <c r="BV353" s="806"/>
      <c r="BW353" s="806"/>
      <c r="BX353" s="806"/>
      <c r="BY353" s="806"/>
      <c r="BZ353" s="806"/>
      <c r="CA353" s="806"/>
      <c r="CB353" s="806"/>
      <c r="CC353" s="806"/>
      <c r="CD353" s="806"/>
      <c r="CE353" s="806"/>
      <c r="CF353" s="806"/>
      <c r="CG353" s="806"/>
      <c r="CH353" s="806"/>
      <c r="CI353" s="806"/>
      <c r="CJ353" s="806"/>
      <c r="CK353" s="806"/>
      <c r="CL353" s="806"/>
      <c r="CM353" s="806"/>
      <c r="CN353" s="806"/>
      <c r="CO353" s="806"/>
      <c r="CP353" s="806"/>
      <c r="CQ353" s="806"/>
      <c r="CR353" s="806"/>
      <c r="CS353" s="806"/>
      <c r="CT353" s="806"/>
      <c r="CU353" s="806"/>
      <c r="CV353" s="806"/>
      <c r="CW353" s="806"/>
      <c r="CX353" s="806"/>
      <c r="CY353" s="806"/>
      <c r="CZ353" s="806"/>
      <c r="DA353" s="806"/>
      <c r="DB353" s="806"/>
      <c r="DC353" s="806"/>
      <c r="DD353" s="806"/>
      <c r="DE353" s="806"/>
      <c r="DF353" s="806"/>
      <c r="DG353" s="806"/>
      <c r="DH353" s="806"/>
      <c r="DI353" s="806"/>
      <c r="DJ353" s="806"/>
      <c r="DK353" s="806"/>
      <c r="DL353" s="806"/>
      <c r="DM353" s="806"/>
      <c r="DN353" s="806"/>
      <c r="DO353" s="806"/>
      <c r="DP353" s="806"/>
      <c r="DQ353" s="806"/>
      <c r="DR353" s="806"/>
      <c r="DS353" s="806"/>
      <c r="DT353" s="806"/>
      <c r="DU353" s="806"/>
      <c r="DV353" s="806"/>
      <c r="DW353" s="806"/>
      <c r="DX353" s="806"/>
      <c r="DY353" s="806"/>
      <c r="DZ353" s="806"/>
      <c r="EA353" s="806"/>
      <c r="EB353" s="806"/>
      <c r="EC353" s="806"/>
      <c r="ED353" s="806"/>
      <c r="EE353" s="806"/>
      <c r="EF353" s="806"/>
      <c r="EG353" s="806"/>
      <c r="EH353" s="806"/>
      <c r="EI353" s="806"/>
      <c r="EJ353" s="806"/>
      <c r="EK353" s="806"/>
      <c r="EL353" s="806"/>
      <c r="EM353" s="806"/>
      <c r="EN353" s="806"/>
      <c r="EO353" s="806"/>
      <c r="EP353" s="806"/>
      <c r="EQ353" s="806"/>
      <c r="ER353" s="806"/>
      <c r="ES353" s="806"/>
      <c r="ET353" s="806"/>
      <c r="EU353" s="806"/>
      <c r="EV353" s="806"/>
      <c r="EW353" s="806"/>
      <c r="EX353" s="806"/>
      <c r="EY353" s="806"/>
      <c r="EZ353" s="806"/>
      <c r="FA353" s="806"/>
      <c r="FB353" s="806"/>
      <c r="FC353" s="806"/>
      <c r="FD353" s="806"/>
      <c r="FE353" s="806"/>
      <c r="FF353" s="806"/>
      <c r="FG353" s="806"/>
      <c r="FH353" s="806"/>
      <c r="FI353" s="806"/>
      <c r="FJ353" s="806"/>
      <c r="FK353" s="806"/>
      <c r="FL353" s="806"/>
      <c r="FM353" s="806"/>
      <c r="FN353" s="806"/>
      <c r="FO353" s="806"/>
      <c r="FP353" s="806"/>
      <c r="FQ353" s="806"/>
      <c r="FR353" s="806"/>
      <c r="FS353" s="806"/>
      <c r="FT353" s="806"/>
      <c r="FU353" s="806"/>
      <c r="FV353" s="806"/>
      <c r="FW353" s="806"/>
      <c r="FX353" s="806"/>
      <c r="FY353" s="806"/>
      <c r="FZ353" s="806"/>
      <c r="GA353" s="806"/>
      <c r="GB353" s="806"/>
      <c r="GC353" s="806"/>
      <c r="GD353" s="806"/>
      <c r="GE353" s="806"/>
      <c r="GF353" s="806"/>
      <c r="GG353" s="806"/>
      <c r="GH353" s="806"/>
      <c r="GI353" s="806"/>
      <c r="GJ353" s="806"/>
      <c r="GK353" s="806"/>
      <c r="GL353" s="806"/>
      <c r="GM353" s="806"/>
      <c r="GN353" s="806"/>
      <c r="GO353" s="806"/>
      <c r="GP353" s="806"/>
      <c r="GQ353" s="806"/>
      <c r="GR353" s="806"/>
      <c r="GS353" s="806"/>
      <c r="GT353" s="806"/>
      <c r="GU353" s="806"/>
      <c r="GV353" s="806"/>
      <c r="GW353" s="806"/>
      <c r="GX353" s="806"/>
      <c r="GY353" s="806"/>
      <c r="GZ353" s="806"/>
      <c r="HA353" s="806"/>
      <c r="HB353" s="806"/>
      <c r="HC353" s="806"/>
      <c r="HD353" s="806"/>
      <c r="HE353" s="806"/>
      <c r="HF353" s="806"/>
      <c r="HG353" s="806"/>
      <c r="HH353" s="806"/>
      <c r="HI353" s="806"/>
      <c r="HJ353" s="806"/>
      <c r="HK353" s="806"/>
      <c r="HL353" s="806"/>
      <c r="HM353" s="806"/>
      <c r="HN353" s="806"/>
      <c r="HO353" s="806"/>
      <c r="HP353" s="806"/>
      <c r="HQ353" s="806"/>
      <c r="HR353" s="806"/>
      <c r="HS353" s="806"/>
      <c r="HT353" s="806"/>
      <c r="HU353" s="806"/>
      <c r="HV353" s="806"/>
      <c r="HW353" s="806"/>
      <c r="HX353" s="806"/>
      <c r="HY353" s="806"/>
      <c r="HZ353" s="806"/>
      <c r="IA353" s="806"/>
      <c r="IB353" s="806"/>
      <c r="IC353" s="806"/>
      <c r="ID353" s="806"/>
      <c r="IE353" s="806"/>
      <c r="IF353" s="806"/>
      <c r="IG353" s="806"/>
      <c r="IH353" s="806"/>
      <c r="II353" s="806"/>
      <c r="IJ353" s="806"/>
      <c r="IK353" s="806"/>
      <c r="IL353" s="806"/>
      <c r="IM353" s="806"/>
      <c r="IN353" s="806"/>
      <c r="IO353" s="806"/>
      <c r="IP353" s="806"/>
      <c r="IQ353" s="806"/>
      <c r="IR353" s="806"/>
      <c r="IS353" s="806"/>
      <c r="IT353" s="806"/>
      <c r="IU353" s="806"/>
      <c r="IV353" s="806"/>
      <c r="IW353" s="806"/>
      <c r="IX353" s="806"/>
    </row>
    <row r="354" spans="1:258" s="798" customFormat="1" ht="25.5">
      <c r="A354" s="248">
        <v>5</v>
      </c>
      <c r="B354" s="825" t="s">
        <v>1313</v>
      </c>
      <c r="C354" s="825"/>
      <c r="D354" s="826"/>
      <c r="E354" s="820" t="s">
        <v>1166</v>
      </c>
      <c r="F354" s="251" t="s">
        <v>326</v>
      </c>
      <c r="G354" s="252" t="s">
        <v>333</v>
      </c>
      <c r="H354" s="253">
        <v>2017</v>
      </c>
      <c r="I354" s="253"/>
      <c r="J354" s="253">
        <v>2022</v>
      </c>
      <c r="K354" s="253"/>
      <c r="L354" s="253"/>
      <c r="M354" s="1473" t="s">
        <v>1314</v>
      </c>
      <c r="N354" s="817">
        <v>177769.33999999994</v>
      </c>
      <c r="O354" s="817"/>
      <c r="P354" s="817">
        <v>96413.459999999948</v>
      </c>
      <c r="Q354" s="817">
        <v>20900</v>
      </c>
      <c r="R354" s="817"/>
      <c r="S354" s="817">
        <f>10900+10000</f>
        <v>20900</v>
      </c>
      <c r="T354" s="817">
        <v>48000</v>
      </c>
      <c r="U354" s="818">
        <f>38000-10000</f>
        <v>28000</v>
      </c>
      <c r="V354" s="255">
        <v>15000</v>
      </c>
      <c r="W354" s="255">
        <v>15000</v>
      </c>
      <c r="X354" s="255">
        <v>0</v>
      </c>
      <c r="Y354" s="819">
        <v>4500</v>
      </c>
      <c r="Z354" s="255">
        <f t="shared" si="178"/>
        <v>19500</v>
      </c>
      <c r="AA354" s="254">
        <f t="shared" si="240"/>
        <v>40400</v>
      </c>
      <c r="AB354" s="254">
        <f t="shared" si="241"/>
        <v>19500</v>
      </c>
      <c r="AC354" s="1471">
        <f>S354+$Z354-900</f>
        <v>39500</v>
      </c>
      <c r="AD354" s="254">
        <f t="shared" si="243"/>
        <v>48000</v>
      </c>
      <c r="AE354" s="254">
        <f t="shared" si="244"/>
        <v>8500</v>
      </c>
      <c r="AF354" s="245">
        <v>4250</v>
      </c>
      <c r="AG354" s="245">
        <f t="shared" si="245"/>
        <v>50</v>
      </c>
      <c r="AH354" s="245"/>
      <c r="AI354" s="245">
        <f t="shared" si="246"/>
        <v>4250</v>
      </c>
      <c r="AJ354" s="245">
        <f t="shared" si="247"/>
        <v>44650</v>
      </c>
      <c r="AK354" s="1483">
        <f>AC354+AI354-3543</f>
        <v>40207</v>
      </c>
      <c r="AL354" s="245">
        <f t="shared" si="249"/>
        <v>48000</v>
      </c>
      <c r="AM354" s="1483">
        <f>AD354-AK354</f>
        <v>7793</v>
      </c>
      <c r="AN354" s="828" t="s">
        <v>1309</v>
      </c>
      <c r="AO354" s="794"/>
      <c r="AP354" s="795">
        <f t="shared" si="239"/>
        <v>177769.33999999994</v>
      </c>
      <c r="AQ354" s="796"/>
      <c r="AR354" s="796"/>
      <c r="AS354" s="797"/>
      <c r="AT354" s="794"/>
      <c r="AU354" s="829" t="s">
        <v>1309</v>
      </c>
      <c r="AV354" s="794"/>
      <c r="AW354" s="794"/>
      <c r="AX354" s="794"/>
      <c r="AY354" s="797"/>
      <c r="AZ354" s="797"/>
      <c r="BA354" s="797"/>
      <c r="BB354" s="794"/>
      <c r="BC354" s="794"/>
      <c r="BD354" s="794"/>
      <c r="BE354" s="794"/>
      <c r="BF354" s="794"/>
      <c r="BG354" s="794"/>
      <c r="BH354" s="794"/>
      <c r="BI354" s="794"/>
      <c r="BJ354" s="794"/>
      <c r="BK354" s="794"/>
      <c r="BL354" s="794"/>
      <c r="BM354" s="794"/>
      <c r="BN354" s="794"/>
      <c r="BO354" s="794"/>
      <c r="BP354" s="794"/>
      <c r="BQ354" s="794"/>
      <c r="BR354" s="794"/>
      <c r="BS354" s="794"/>
      <c r="BT354" s="794"/>
      <c r="BU354" s="794"/>
      <c r="BV354" s="794"/>
      <c r="BW354" s="794"/>
      <c r="BX354" s="794"/>
      <c r="BY354" s="794"/>
      <c r="BZ354" s="794"/>
      <c r="CA354" s="794"/>
      <c r="CB354" s="794"/>
      <c r="CC354" s="794"/>
      <c r="CD354" s="794"/>
      <c r="CE354" s="794"/>
      <c r="CF354" s="794"/>
      <c r="CG354" s="794"/>
      <c r="CH354" s="794"/>
      <c r="CI354" s="794"/>
      <c r="CJ354" s="794"/>
      <c r="CK354" s="794"/>
      <c r="CL354" s="794"/>
      <c r="CM354" s="794"/>
      <c r="CN354" s="794"/>
      <c r="CO354" s="794"/>
      <c r="CP354" s="794"/>
      <c r="CQ354" s="794"/>
      <c r="CR354" s="794"/>
      <c r="CS354" s="794"/>
      <c r="CT354" s="794"/>
      <c r="CU354" s="794"/>
      <c r="CV354" s="794"/>
      <c r="CW354" s="794"/>
      <c r="CX354" s="794"/>
      <c r="CY354" s="794"/>
      <c r="CZ354" s="794"/>
      <c r="DA354" s="794"/>
      <c r="DB354" s="794"/>
      <c r="DC354" s="794"/>
      <c r="DD354" s="794"/>
      <c r="DE354" s="794"/>
      <c r="DF354" s="794"/>
      <c r="DG354" s="794"/>
      <c r="DH354" s="794"/>
      <c r="DI354" s="794"/>
      <c r="DJ354" s="794"/>
      <c r="DK354" s="794"/>
      <c r="DL354" s="794"/>
      <c r="DM354" s="794"/>
      <c r="DN354" s="794"/>
      <c r="DO354" s="794"/>
      <c r="DP354" s="794"/>
      <c r="DQ354" s="794"/>
      <c r="DR354" s="794"/>
      <c r="DS354" s="794"/>
      <c r="DT354" s="794"/>
      <c r="DU354" s="794"/>
      <c r="DV354" s="794"/>
      <c r="DW354" s="794"/>
      <c r="DX354" s="794"/>
      <c r="DY354" s="794"/>
      <c r="DZ354" s="794"/>
      <c r="EA354" s="794"/>
      <c r="EB354" s="794"/>
      <c r="EC354" s="794"/>
      <c r="ED354" s="794"/>
      <c r="EE354" s="794"/>
      <c r="EF354" s="794"/>
      <c r="EG354" s="794"/>
      <c r="EH354" s="794"/>
      <c r="EI354" s="794"/>
      <c r="EJ354" s="794"/>
      <c r="EK354" s="794"/>
      <c r="EL354" s="794"/>
      <c r="EM354" s="794"/>
      <c r="EN354" s="794"/>
      <c r="EO354" s="794"/>
      <c r="EP354" s="794"/>
      <c r="EQ354" s="794"/>
      <c r="ER354" s="794"/>
      <c r="ES354" s="794"/>
      <c r="ET354" s="794"/>
      <c r="EU354" s="794"/>
      <c r="EV354" s="794"/>
      <c r="EW354" s="794"/>
      <c r="EX354" s="794"/>
      <c r="EY354" s="794"/>
      <c r="EZ354" s="794"/>
      <c r="FA354" s="794"/>
      <c r="FB354" s="794"/>
      <c r="FC354" s="794"/>
      <c r="FD354" s="794"/>
      <c r="FE354" s="794"/>
      <c r="FF354" s="794"/>
      <c r="FG354" s="794"/>
      <c r="FH354" s="794"/>
      <c r="FI354" s="794"/>
      <c r="FJ354" s="794"/>
      <c r="FK354" s="794"/>
      <c r="FL354" s="794"/>
      <c r="FM354" s="794"/>
      <c r="FN354" s="794"/>
      <c r="FO354" s="794"/>
      <c r="FP354" s="794"/>
      <c r="FQ354" s="794"/>
      <c r="FR354" s="794"/>
      <c r="FS354" s="794"/>
      <c r="FT354" s="794"/>
      <c r="FU354" s="794"/>
      <c r="FV354" s="794"/>
      <c r="FW354" s="794"/>
      <c r="FX354" s="794"/>
      <c r="FY354" s="794"/>
      <c r="FZ354" s="794"/>
      <c r="GA354" s="794"/>
      <c r="GB354" s="794"/>
      <c r="GC354" s="794"/>
      <c r="GD354" s="794"/>
      <c r="GE354" s="794"/>
      <c r="GF354" s="794"/>
      <c r="GG354" s="794"/>
      <c r="GH354" s="794"/>
      <c r="GI354" s="794"/>
      <c r="GJ354" s="794"/>
      <c r="GK354" s="794"/>
      <c r="GL354" s="794"/>
      <c r="GM354" s="794"/>
      <c r="GN354" s="794"/>
      <c r="GO354" s="794"/>
      <c r="GP354" s="794"/>
      <c r="GQ354" s="794"/>
      <c r="GR354" s="794"/>
      <c r="GS354" s="794"/>
      <c r="GT354" s="794"/>
      <c r="GU354" s="794"/>
      <c r="GV354" s="794"/>
      <c r="GW354" s="794"/>
      <c r="GX354" s="794"/>
      <c r="GY354" s="794"/>
      <c r="GZ354" s="794"/>
      <c r="HA354" s="794"/>
      <c r="HB354" s="794"/>
      <c r="HC354" s="794"/>
      <c r="HD354" s="794"/>
      <c r="HE354" s="794"/>
      <c r="HF354" s="794"/>
      <c r="HG354" s="794"/>
      <c r="HH354" s="794"/>
      <c r="HI354" s="794"/>
      <c r="HJ354" s="794"/>
      <c r="HK354" s="794"/>
      <c r="HL354" s="794"/>
      <c r="HM354" s="794"/>
      <c r="HN354" s="794"/>
      <c r="HO354" s="794"/>
      <c r="HP354" s="794"/>
      <c r="HQ354" s="794"/>
      <c r="HR354" s="794"/>
      <c r="HS354" s="794"/>
      <c r="HT354" s="794"/>
      <c r="HU354" s="794"/>
      <c r="HV354" s="794"/>
      <c r="HW354" s="794"/>
      <c r="HX354" s="794"/>
      <c r="HY354" s="794"/>
      <c r="HZ354" s="794"/>
      <c r="IA354" s="794"/>
      <c r="IB354" s="794"/>
      <c r="IC354" s="794"/>
      <c r="ID354" s="794"/>
      <c r="IE354" s="794"/>
      <c r="IF354" s="794"/>
      <c r="IG354" s="794"/>
      <c r="IH354" s="794"/>
      <c r="II354" s="794"/>
      <c r="IJ354" s="794"/>
      <c r="IK354" s="794"/>
      <c r="IL354" s="794"/>
      <c r="IM354" s="794"/>
      <c r="IN354" s="794"/>
      <c r="IO354" s="794"/>
      <c r="IP354" s="794"/>
      <c r="IQ354" s="794"/>
      <c r="IR354" s="794"/>
      <c r="IS354" s="794"/>
      <c r="IT354" s="794"/>
      <c r="IU354" s="794"/>
      <c r="IV354" s="794"/>
      <c r="IW354" s="794"/>
      <c r="IX354" s="794"/>
    </row>
    <row r="355" spans="1:258" s="798" customFormat="1" ht="53.25" customHeight="1">
      <c r="A355" s="248">
        <v>6</v>
      </c>
      <c r="B355" s="1486" t="s">
        <v>1315</v>
      </c>
      <c r="C355" s="812"/>
      <c r="D355" s="813"/>
      <c r="E355" s="252" t="s">
        <v>1194</v>
      </c>
      <c r="F355" s="665" t="s">
        <v>1167</v>
      </c>
      <c r="G355" s="252" t="s">
        <v>327</v>
      </c>
      <c r="H355" s="253">
        <v>2012</v>
      </c>
      <c r="I355" s="253"/>
      <c r="J355" s="253">
        <v>2021</v>
      </c>
      <c r="K355" s="253"/>
      <c r="L355" s="253"/>
      <c r="M355" s="821" t="s">
        <v>1316</v>
      </c>
      <c r="N355" s="830">
        <v>21367</v>
      </c>
      <c r="O355" s="830"/>
      <c r="P355" s="817">
        <v>20367</v>
      </c>
      <c r="Q355" s="817">
        <f>1400+2000+3500-200</f>
        <v>6700</v>
      </c>
      <c r="R355" s="831"/>
      <c r="S355" s="817">
        <f>400+2000+3500-500-400</f>
        <v>5000</v>
      </c>
      <c r="T355" s="817">
        <f>29223-9256</f>
        <v>19967</v>
      </c>
      <c r="U355" s="832">
        <f>P355-S355</f>
        <v>15367</v>
      </c>
      <c r="V355" s="255">
        <v>1000</v>
      </c>
      <c r="W355" s="255">
        <v>1000</v>
      </c>
      <c r="X355" s="255">
        <v>0</v>
      </c>
      <c r="Y355" s="804">
        <v>-1000</v>
      </c>
      <c r="Z355" s="255">
        <f t="shared" si="178"/>
        <v>0</v>
      </c>
      <c r="AA355" s="1485">
        <f t="shared" si="240"/>
        <v>6700</v>
      </c>
      <c r="AB355" s="254">
        <f t="shared" si="241"/>
        <v>0</v>
      </c>
      <c r="AC355" s="254">
        <f t="shared" si="242"/>
        <v>5000</v>
      </c>
      <c r="AD355" s="254">
        <f t="shared" si="243"/>
        <v>19967</v>
      </c>
      <c r="AE355" s="254">
        <f t="shared" si="244"/>
        <v>15367</v>
      </c>
      <c r="AF355" s="245">
        <v>7983.5</v>
      </c>
      <c r="AG355" s="245">
        <f t="shared" si="245"/>
        <v>51.952235309429298</v>
      </c>
      <c r="AH355" s="652">
        <f>-5784</f>
        <v>-5784</v>
      </c>
      <c r="AI355" s="1483">
        <f t="shared" si="246"/>
        <v>2199.5</v>
      </c>
      <c r="AJ355" s="1483">
        <f t="shared" si="247"/>
        <v>8899.5</v>
      </c>
      <c r="AK355" s="245">
        <f t="shared" si="248"/>
        <v>7199.5</v>
      </c>
      <c r="AL355" s="245">
        <f t="shared" si="249"/>
        <v>19967</v>
      </c>
      <c r="AM355" s="245">
        <f>AD355-AK355</f>
        <v>12767.5</v>
      </c>
      <c r="AN355" s="814" t="s">
        <v>1317</v>
      </c>
      <c r="AO355" s="794"/>
      <c r="AP355" s="795">
        <f t="shared" si="239"/>
        <v>21367</v>
      </c>
      <c r="AQ355" s="796"/>
      <c r="AR355" s="796"/>
      <c r="AS355" s="797"/>
      <c r="AT355" s="794"/>
      <c r="AU355" s="810" t="s">
        <v>1317</v>
      </c>
      <c r="AV355" s="794"/>
      <c r="AW355" s="794"/>
      <c r="AX355" s="794"/>
      <c r="AY355" s="797"/>
      <c r="AZ355" s="797"/>
      <c r="BA355" s="797"/>
      <c r="BB355" s="794"/>
      <c r="BC355" s="794"/>
      <c r="BD355" s="794"/>
      <c r="BE355" s="794"/>
      <c r="BF355" s="794"/>
      <c r="BG355" s="794"/>
      <c r="BH355" s="794"/>
      <c r="BI355" s="794"/>
      <c r="BJ355" s="794"/>
      <c r="BK355" s="794"/>
      <c r="BL355" s="794"/>
      <c r="BM355" s="794"/>
      <c r="BN355" s="794"/>
      <c r="BO355" s="794"/>
      <c r="BP355" s="794"/>
      <c r="BQ355" s="794"/>
      <c r="BR355" s="794"/>
      <c r="BS355" s="794"/>
      <c r="BT355" s="794"/>
      <c r="BU355" s="794"/>
      <c r="BV355" s="794"/>
      <c r="BW355" s="794"/>
      <c r="BX355" s="794"/>
      <c r="BY355" s="794"/>
      <c r="BZ355" s="794"/>
      <c r="CA355" s="794"/>
      <c r="CB355" s="794"/>
      <c r="CC355" s="794"/>
      <c r="CD355" s="794"/>
      <c r="CE355" s="794"/>
      <c r="CF355" s="794"/>
      <c r="CG355" s="794"/>
      <c r="CH355" s="794"/>
      <c r="CI355" s="794"/>
      <c r="CJ355" s="794"/>
      <c r="CK355" s="794"/>
      <c r="CL355" s="794"/>
      <c r="CM355" s="794"/>
      <c r="CN355" s="794"/>
      <c r="CO355" s="794"/>
      <c r="CP355" s="794"/>
      <c r="CQ355" s="794"/>
      <c r="CR355" s="794"/>
      <c r="CS355" s="794"/>
      <c r="CT355" s="794"/>
      <c r="CU355" s="794"/>
      <c r="CV355" s="794"/>
      <c r="CW355" s="794"/>
      <c r="CX355" s="794"/>
      <c r="CY355" s="794"/>
      <c r="CZ355" s="794"/>
      <c r="DA355" s="794"/>
      <c r="DB355" s="794"/>
      <c r="DC355" s="794"/>
      <c r="DD355" s="794"/>
      <c r="DE355" s="794"/>
      <c r="DF355" s="794"/>
      <c r="DG355" s="794"/>
      <c r="DH355" s="794"/>
      <c r="DI355" s="794"/>
      <c r="DJ355" s="794"/>
      <c r="DK355" s="794"/>
      <c r="DL355" s="794"/>
      <c r="DM355" s="794"/>
      <c r="DN355" s="794"/>
      <c r="DO355" s="794"/>
      <c r="DP355" s="794"/>
      <c r="DQ355" s="794"/>
      <c r="DR355" s="794"/>
      <c r="DS355" s="794"/>
      <c r="DT355" s="794"/>
      <c r="DU355" s="794"/>
      <c r="DV355" s="794"/>
      <c r="DW355" s="794"/>
      <c r="DX355" s="794"/>
      <c r="DY355" s="794"/>
      <c r="DZ355" s="794"/>
      <c r="EA355" s="794"/>
      <c r="EB355" s="794"/>
      <c r="EC355" s="794"/>
      <c r="ED355" s="794"/>
      <c r="EE355" s="794"/>
      <c r="EF355" s="794"/>
      <c r="EG355" s="794"/>
      <c r="EH355" s="794"/>
      <c r="EI355" s="794"/>
      <c r="EJ355" s="794"/>
      <c r="EK355" s="794"/>
      <c r="EL355" s="794"/>
      <c r="EM355" s="794"/>
      <c r="EN355" s="794"/>
      <c r="EO355" s="794"/>
      <c r="EP355" s="794"/>
      <c r="EQ355" s="794"/>
      <c r="ER355" s="794"/>
      <c r="ES355" s="794"/>
      <c r="ET355" s="794"/>
      <c r="EU355" s="794"/>
      <c r="EV355" s="794"/>
      <c r="EW355" s="794"/>
      <c r="EX355" s="794"/>
      <c r="EY355" s="794"/>
      <c r="EZ355" s="794"/>
      <c r="FA355" s="794"/>
      <c r="FB355" s="794"/>
      <c r="FC355" s="794"/>
      <c r="FD355" s="794"/>
      <c r="FE355" s="794"/>
      <c r="FF355" s="794"/>
      <c r="FG355" s="794"/>
      <c r="FH355" s="794"/>
      <c r="FI355" s="794"/>
      <c r="FJ355" s="794"/>
      <c r="FK355" s="794"/>
      <c r="FL355" s="794"/>
      <c r="FM355" s="794"/>
      <c r="FN355" s="794"/>
      <c r="FO355" s="794"/>
      <c r="FP355" s="794"/>
      <c r="FQ355" s="794"/>
      <c r="FR355" s="794"/>
      <c r="FS355" s="794"/>
      <c r="FT355" s="794"/>
      <c r="FU355" s="794"/>
      <c r="FV355" s="794"/>
      <c r="FW355" s="794"/>
      <c r="FX355" s="794"/>
      <c r="FY355" s="794"/>
      <c r="FZ355" s="794"/>
      <c r="GA355" s="794"/>
      <c r="GB355" s="794"/>
      <c r="GC355" s="794"/>
      <c r="GD355" s="794"/>
      <c r="GE355" s="794"/>
      <c r="GF355" s="794"/>
      <c r="GG355" s="794"/>
      <c r="GH355" s="794"/>
      <c r="GI355" s="794"/>
      <c r="GJ355" s="794"/>
      <c r="GK355" s="794"/>
      <c r="GL355" s="794"/>
      <c r="GM355" s="794"/>
      <c r="GN355" s="794"/>
      <c r="GO355" s="794"/>
      <c r="GP355" s="794"/>
      <c r="GQ355" s="794"/>
      <c r="GR355" s="794"/>
      <c r="GS355" s="794"/>
      <c r="GT355" s="794"/>
      <c r="GU355" s="794"/>
      <c r="GV355" s="794"/>
      <c r="GW355" s="794"/>
      <c r="GX355" s="794"/>
      <c r="GY355" s="794"/>
      <c r="GZ355" s="794"/>
      <c r="HA355" s="794"/>
      <c r="HB355" s="794"/>
      <c r="HC355" s="794"/>
      <c r="HD355" s="794"/>
      <c r="HE355" s="794"/>
      <c r="HF355" s="794"/>
      <c r="HG355" s="794"/>
      <c r="HH355" s="794"/>
      <c r="HI355" s="794"/>
      <c r="HJ355" s="794"/>
      <c r="HK355" s="794"/>
      <c r="HL355" s="794"/>
      <c r="HM355" s="794"/>
      <c r="HN355" s="794"/>
      <c r="HO355" s="794"/>
      <c r="HP355" s="794"/>
      <c r="HQ355" s="794"/>
      <c r="HR355" s="794"/>
      <c r="HS355" s="794"/>
      <c r="HT355" s="794"/>
      <c r="HU355" s="794"/>
      <c r="HV355" s="794"/>
      <c r="HW355" s="794"/>
      <c r="HX355" s="794"/>
      <c r="HY355" s="794"/>
      <c r="HZ355" s="794"/>
      <c r="IA355" s="794"/>
      <c r="IB355" s="794"/>
      <c r="IC355" s="794"/>
      <c r="ID355" s="794"/>
      <c r="IE355" s="794"/>
      <c r="IF355" s="794"/>
      <c r="IG355" s="794"/>
      <c r="IH355" s="794"/>
      <c r="II355" s="794"/>
      <c r="IJ355" s="794"/>
      <c r="IK355" s="794"/>
      <c r="IL355" s="794"/>
      <c r="IM355" s="794"/>
      <c r="IN355" s="794"/>
      <c r="IO355" s="794"/>
      <c r="IP355" s="794"/>
      <c r="IQ355" s="794"/>
      <c r="IR355" s="794"/>
      <c r="IS355" s="794"/>
      <c r="IT355" s="794"/>
      <c r="IU355" s="794"/>
      <c r="IV355" s="794"/>
      <c r="IW355" s="794"/>
      <c r="IX355" s="794"/>
    </row>
    <row r="356" spans="1:258" s="811" customFormat="1" ht="25.5">
      <c r="A356" s="364">
        <v>7</v>
      </c>
      <c r="B356" s="833" t="s">
        <v>1318</v>
      </c>
      <c r="C356" s="833"/>
      <c r="D356" s="834"/>
      <c r="E356" s="785" t="s">
        <v>1194</v>
      </c>
      <c r="F356" s="692" t="s">
        <v>1167</v>
      </c>
      <c r="G356" s="785" t="s">
        <v>327</v>
      </c>
      <c r="H356" s="368">
        <v>2013</v>
      </c>
      <c r="I356" s="368"/>
      <c r="J356" s="368">
        <v>2018</v>
      </c>
      <c r="K356" s="368"/>
      <c r="L356" s="368"/>
      <c r="M356" s="835" t="s">
        <v>1319</v>
      </c>
      <c r="N356" s="836">
        <v>141538</v>
      </c>
      <c r="O356" s="836"/>
      <c r="P356" s="802">
        <v>4900</v>
      </c>
      <c r="Q356" s="836">
        <f>2500+4000+2000+1900</f>
        <v>10400</v>
      </c>
      <c r="R356" s="836"/>
      <c r="S356" s="802">
        <f>500+1000+2000</f>
        <v>3500</v>
      </c>
      <c r="T356" s="802">
        <v>4127</v>
      </c>
      <c r="U356" s="803">
        <v>1127</v>
      </c>
      <c r="V356" s="373">
        <v>1000</v>
      </c>
      <c r="W356" s="373">
        <v>1000</v>
      </c>
      <c r="X356" s="373">
        <v>0</v>
      </c>
      <c r="Y356" s="804"/>
      <c r="Z356" s="373">
        <f t="shared" si="178"/>
        <v>1000</v>
      </c>
      <c r="AA356" s="524">
        <f t="shared" si="240"/>
        <v>11400</v>
      </c>
      <c r="AB356" s="524">
        <f t="shared" si="241"/>
        <v>1000</v>
      </c>
      <c r="AC356" s="524">
        <f t="shared" si="242"/>
        <v>4500</v>
      </c>
      <c r="AD356" s="524">
        <f t="shared" si="243"/>
        <v>4127</v>
      </c>
      <c r="AE356" s="524">
        <f t="shared" si="244"/>
        <v>127</v>
      </c>
      <c r="AF356" s="245">
        <v>127</v>
      </c>
      <c r="AG356" s="245">
        <f t="shared" si="245"/>
        <v>100</v>
      </c>
      <c r="AH356" s="245"/>
      <c r="AI356" s="245">
        <f t="shared" si="246"/>
        <v>127</v>
      </c>
      <c r="AJ356" s="245">
        <f t="shared" si="247"/>
        <v>11527</v>
      </c>
      <c r="AK356" s="245">
        <f t="shared" si="248"/>
        <v>4627</v>
      </c>
      <c r="AL356" s="245">
        <f t="shared" si="249"/>
        <v>4127</v>
      </c>
      <c r="AM356" s="245">
        <f t="shared" si="250"/>
        <v>0</v>
      </c>
      <c r="AN356" s="837" t="s">
        <v>1309</v>
      </c>
      <c r="AO356" s="806"/>
      <c r="AP356" s="807">
        <f t="shared" si="239"/>
        <v>141538</v>
      </c>
      <c r="AQ356" s="808"/>
      <c r="AR356" s="808"/>
      <c r="AS356" s="809"/>
      <c r="AT356" s="806"/>
      <c r="AU356" s="810" t="s">
        <v>1309</v>
      </c>
      <c r="AV356" s="806"/>
      <c r="AW356" s="806"/>
      <c r="AX356" s="806"/>
      <c r="AY356" s="809"/>
      <c r="AZ356" s="809"/>
      <c r="BA356" s="809"/>
      <c r="BB356" s="806"/>
      <c r="BC356" s="806"/>
      <c r="BD356" s="806"/>
      <c r="BE356" s="806"/>
      <c r="BF356" s="806"/>
      <c r="BG356" s="806"/>
      <c r="BH356" s="806"/>
      <c r="BI356" s="806"/>
      <c r="BJ356" s="806"/>
      <c r="BK356" s="806"/>
      <c r="BL356" s="806"/>
      <c r="BM356" s="806"/>
      <c r="BN356" s="806"/>
      <c r="BO356" s="806"/>
      <c r="BP356" s="806"/>
      <c r="BQ356" s="806"/>
      <c r="BR356" s="806"/>
      <c r="BS356" s="806"/>
      <c r="BT356" s="806"/>
      <c r="BU356" s="806"/>
      <c r="BV356" s="806"/>
      <c r="BW356" s="806"/>
      <c r="BX356" s="806"/>
      <c r="BY356" s="806"/>
      <c r="BZ356" s="806"/>
      <c r="CA356" s="806"/>
      <c r="CB356" s="806"/>
      <c r="CC356" s="806"/>
      <c r="CD356" s="806"/>
      <c r="CE356" s="806"/>
      <c r="CF356" s="806"/>
      <c r="CG356" s="806"/>
      <c r="CH356" s="806"/>
      <c r="CI356" s="806"/>
      <c r="CJ356" s="806"/>
      <c r="CK356" s="806"/>
      <c r="CL356" s="806"/>
      <c r="CM356" s="806"/>
      <c r="CN356" s="806"/>
      <c r="CO356" s="806"/>
      <c r="CP356" s="806"/>
      <c r="CQ356" s="806"/>
      <c r="CR356" s="806"/>
      <c r="CS356" s="806"/>
      <c r="CT356" s="806"/>
      <c r="CU356" s="806"/>
      <c r="CV356" s="806"/>
      <c r="CW356" s="806"/>
      <c r="CX356" s="806"/>
      <c r="CY356" s="806"/>
      <c r="CZ356" s="806"/>
      <c r="DA356" s="806"/>
      <c r="DB356" s="806"/>
      <c r="DC356" s="806"/>
      <c r="DD356" s="806"/>
      <c r="DE356" s="806"/>
      <c r="DF356" s="806"/>
      <c r="DG356" s="806"/>
      <c r="DH356" s="806"/>
      <c r="DI356" s="806"/>
      <c r="DJ356" s="806"/>
      <c r="DK356" s="806"/>
      <c r="DL356" s="806"/>
      <c r="DM356" s="806"/>
      <c r="DN356" s="806"/>
      <c r="DO356" s="806"/>
      <c r="DP356" s="806"/>
      <c r="DQ356" s="806"/>
      <c r="DR356" s="806"/>
      <c r="DS356" s="806"/>
      <c r="DT356" s="806"/>
      <c r="DU356" s="806"/>
      <c r="DV356" s="806"/>
      <c r="DW356" s="806"/>
      <c r="DX356" s="806"/>
      <c r="DY356" s="806"/>
      <c r="DZ356" s="806"/>
      <c r="EA356" s="806"/>
      <c r="EB356" s="806"/>
      <c r="EC356" s="806"/>
      <c r="ED356" s="806"/>
      <c r="EE356" s="806"/>
      <c r="EF356" s="806"/>
      <c r="EG356" s="806"/>
      <c r="EH356" s="806"/>
      <c r="EI356" s="806"/>
      <c r="EJ356" s="806"/>
      <c r="EK356" s="806"/>
      <c r="EL356" s="806"/>
      <c r="EM356" s="806"/>
      <c r="EN356" s="806"/>
      <c r="EO356" s="806"/>
      <c r="EP356" s="806"/>
      <c r="EQ356" s="806"/>
      <c r="ER356" s="806"/>
      <c r="ES356" s="806"/>
      <c r="ET356" s="806"/>
      <c r="EU356" s="806"/>
      <c r="EV356" s="806"/>
      <c r="EW356" s="806"/>
      <c r="EX356" s="806"/>
      <c r="EY356" s="806"/>
      <c r="EZ356" s="806"/>
      <c r="FA356" s="806"/>
      <c r="FB356" s="806"/>
      <c r="FC356" s="806"/>
      <c r="FD356" s="806"/>
      <c r="FE356" s="806"/>
      <c r="FF356" s="806"/>
      <c r="FG356" s="806"/>
      <c r="FH356" s="806"/>
      <c r="FI356" s="806"/>
      <c r="FJ356" s="806"/>
      <c r="FK356" s="806"/>
      <c r="FL356" s="806"/>
      <c r="FM356" s="806"/>
      <c r="FN356" s="806"/>
      <c r="FO356" s="806"/>
      <c r="FP356" s="806"/>
      <c r="FQ356" s="806"/>
      <c r="FR356" s="806"/>
      <c r="FS356" s="806"/>
      <c r="FT356" s="806"/>
      <c r="FU356" s="806"/>
      <c r="FV356" s="806"/>
      <c r="FW356" s="806"/>
      <c r="FX356" s="806"/>
      <c r="FY356" s="806"/>
      <c r="FZ356" s="806"/>
      <c r="GA356" s="806"/>
      <c r="GB356" s="806"/>
      <c r="GC356" s="806"/>
      <c r="GD356" s="806"/>
      <c r="GE356" s="806"/>
      <c r="GF356" s="806"/>
      <c r="GG356" s="806"/>
      <c r="GH356" s="806"/>
      <c r="GI356" s="806"/>
      <c r="GJ356" s="806"/>
      <c r="GK356" s="806"/>
      <c r="GL356" s="806"/>
      <c r="GM356" s="806"/>
      <c r="GN356" s="806"/>
      <c r="GO356" s="806"/>
      <c r="GP356" s="806"/>
      <c r="GQ356" s="806"/>
      <c r="GR356" s="806"/>
      <c r="GS356" s="806"/>
      <c r="GT356" s="806"/>
      <c r="GU356" s="806"/>
      <c r="GV356" s="806"/>
      <c r="GW356" s="806"/>
      <c r="GX356" s="806"/>
      <c r="GY356" s="806"/>
      <c r="GZ356" s="806"/>
      <c r="HA356" s="806"/>
      <c r="HB356" s="806"/>
      <c r="HC356" s="806"/>
      <c r="HD356" s="806"/>
      <c r="HE356" s="806"/>
      <c r="HF356" s="806"/>
      <c r="HG356" s="806"/>
      <c r="HH356" s="806"/>
      <c r="HI356" s="806"/>
      <c r="HJ356" s="806"/>
      <c r="HK356" s="806"/>
      <c r="HL356" s="806"/>
      <c r="HM356" s="806"/>
      <c r="HN356" s="806"/>
      <c r="HO356" s="806"/>
      <c r="HP356" s="806"/>
      <c r="HQ356" s="806"/>
      <c r="HR356" s="806"/>
      <c r="HS356" s="806"/>
      <c r="HT356" s="806"/>
      <c r="HU356" s="806"/>
      <c r="HV356" s="806"/>
      <c r="HW356" s="806"/>
      <c r="HX356" s="806"/>
      <c r="HY356" s="806"/>
      <c r="HZ356" s="806"/>
      <c r="IA356" s="806"/>
      <c r="IB356" s="806"/>
      <c r="IC356" s="806"/>
      <c r="ID356" s="806"/>
      <c r="IE356" s="806"/>
      <c r="IF356" s="806"/>
      <c r="IG356" s="806"/>
      <c r="IH356" s="806"/>
      <c r="II356" s="806"/>
      <c r="IJ356" s="806"/>
      <c r="IK356" s="806"/>
      <c r="IL356" s="806"/>
      <c r="IM356" s="806"/>
      <c r="IN356" s="806"/>
      <c r="IO356" s="806"/>
      <c r="IP356" s="806"/>
      <c r="IQ356" s="806"/>
      <c r="IR356" s="806"/>
      <c r="IS356" s="806"/>
      <c r="IT356" s="806"/>
      <c r="IU356" s="806"/>
      <c r="IV356" s="806"/>
      <c r="IW356" s="806"/>
      <c r="IX356" s="806"/>
    </row>
    <row r="357" spans="1:258" s="811" customFormat="1" ht="61.5" customHeight="1">
      <c r="A357" s="364">
        <v>8</v>
      </c>
      <c r="B357" s="838" t="s">
        <v>1320</v>
      </c>
      <c r="C357" s="838"/>
      <c r="D357" s="839"/>
      <c r="E357" s="785" t="s">
        <v>1194</v>
      </c>
      <c r="F357" s="366" t="s">
        <v>326</v>
      </c>
      <c r="G357" s="785" t="s">
        <v>327</v>
      </c>
      <c r="H357" s="368">
        <v>2015</v>
      </c>
      <c r="I357" s="368"/>
      <c r="J357" s="368">
        <v>2018</v>
      </c>
      <c r="K357" s="368"/>
      <c r="L357" s="368"/>
      <c r="M357" s="801" t="s">
        <v>1321</v>
      </c>
      <c r="N357" s="802">
        <v>6339</v>
      </c>
      <c r="O357" s="802"/>
      <c r="P357" s="802">
        <v>6339</v>
      </c>
      <c r="Q357" s="802">
        <f>1000+2500+200+300</f>
        <v>4000</v>
      </c>
      <c r="R357" s="802"/>
      <c r="S357" s="802">
        <f>1000+2500+500</f>
        <v>4000</v>
      </c>
      <c r="T357" s="802">
        <v>6339</v>
      </c>
      <c r="U357" s="803">
        <f>P357-S357</f>
        <v>2339</v>
      </c>
      <c r="V357" s="373">
        <v>1500</v>
      </c>
      <c r="W357" s="373">
        <v>1500</v>
      </c>
      <c r="X357" s="373">
        <v>0</v>
      </c>
      <c r="Y357" s="804"/>
      <c r="Z357" s="373">
        <f t="shared" si="178"/>
        <v>1500</v>
      </c>
      <c r="AA357" s="524">
        <f t="shared" si="240"/>
        <v>5500</v>
      </c>
      <c r="AB357" s="524">
        <f t="shared" si="241"/>
        <v>1500</v>
      </c>
      <c r="AC357" s="524">
        <f t="shared" si="242"/>
        <v>5500</v>
      </c>
      <c r="AD357" s="524">
        <f t="shared" si="243"/>
        <v>6339</v>
      </c>
      <c r="AE357" s="524">
        <f t="shared" si="244"/>
        <v>839</v>
      </c>
      <c r="AF357" s="245">
        <v>839</v>
      </c>
      <c r="AG357" s="245">
        <f t="shared" si="245"/>
        <v>100</v>
      </c>
      <c r="AH357" s="245"/>
      <c r="AI357" s="245">
        <f t="shared" si="246"/>
        <v>839</v>
      </c>
      <c r="AJ357" s="245">
        <f t="shared" si="247"/>
        <v>6339</v>
      </c>
      <c r="AK357" s="245">
        <f t="shared" si="248"/>
        <v>6339</v>
      </c>
      <c r="AL357" s="245">
        <f t="shared" si="249"/>
        <v>6339</v>
      </c>
      <c r="AM357" s="245">
        <f t="shared" si="250"/>
        <v>0</v>
      </c>
      <c r="AN357" s="805" t="s">
        <v>1317</v>
      </c>
      <c r="AO357" s="806"/>
      <c r="AP357" s="807">
        <f t="shared" si="239"/>
        <v>6339</v>
      </c>
      <c r="AQ357" s="808"/>
      <c r="AR357" s="808"/>
      <c r="AS357" s="809"/>
      <c r="AT357" s="806"/>
      <c r="AU357" s="810" t="s">
        <v>1317</v>
      </c>
      <c r="AV357" s="806"/>
      <c r="AW357" s="806"/>
      <c r="AX357" s="806"/>
      <c r="AY357" s="809"/>
      <c r="AZ357" s="809"/>
      <c r="BA357" s="809"/>
      <c r="BB357" s="806"/>
      <c r="BC357" s="806"/>
      <c r="BD357" s="806"/>
      <c r="BE357" s="806"/>
      <c r="BF357" s="806"/>
      <c r="BG357" s="806"/>
      <c r="BH357" s="806"/>
      <c r="BI357" s="806"/>
      <c r="BJ357" s="806"/>
      <c r="BK357" s="806"/>
      <c r="BL357" s="806"/>
      <c r="BM357" s="806"/>
      <c r="BN357" s="806"/>
      <c r="BO357" s="806"/>
      <c r="BP357" s="806"/>
      <c r="BQ357" s="806"/>
      <c r="BR357" s="806"/>
      <c r="BS357" s="806"/>
      <c r="BT357" s="806"/>
      <c r="BU357" s="806"/>
      <c r="BV357" s="806"/>
      <c r="BW357" s="806"/>
      <c r="BX357" s="806"/>
      <c r="BY357" s="806"/>
      <c r="BZ357" s="806"/>
      <c r="CA357" s="806"/>
      <c r="CB357" s="806"/>
      <c r="CC357" s="806"/>
      <c r="CD357" s="806"/>
      <c r="CE357" s="806"/>
      <c r="CF357" s="806"/>
      <c r="CG357" s="806"/>
      <c r="CH357" s="806"/>
      <c r="CI357" s="806"/>
      <c r="CJ357" s="806"/>
      <c r="CK357" s="806"/>
      <c r="CL357" s="806"/>
      <c r="CM357" s="806"/>
      <c r="CN357" s="806"/>
      <c r="CO357" s="806"/>
      <c r="CP357" s="806"/>
      <c r="CQ357" s="806"/>
      <c r="CR357" s="806"/>
      <c r="CS357" s="806"/>
      <c r="CT357" s="806"/>
      <c r="CU357" s="806"/>
      <c r="CV357" s="806"/>
      <c r="CW357" s="806"/>
      <c r="CX357" s="806"/>
      <c r="CY357" s="806"/>
      <c r="CZ357" s="806"/>
      <c r="DA357" s="806"/>
      <c r="DB357" s="806"/>
      <c r="DC357" s="806"/>
      <c r="DD357" s="806"/>
      <c r="DE357" s="806"/>
      <c r="DF357" s="806"/>
      <c r="DG357" s="806"/>
      <c r="DH357" s="806"/>
      <c r="DI357" s="806"/>
      <c r="DJ357" s="806"/>
      <c r="DK357" s="806"/>
      <c r="DL357" s="806"/>
      <c r="DM357" s="806"/>
      <c r="DN357" s="806"/>
      <c r="DO357" s="806"/>
      <c r="DP357" s="806"/>
      <c r="DQ357" s="806"/>
      <c r="DR357" s="806"/>
      <c r="DS357" s="806"/>
      <c r="DT357" s="806"/>
      <c r="DU357" s="806"/>
      <c r="DV357" s="806"/>
      <c r="DW357" s="806"/>
      <c r="DX357" s="806"/>
      <c r="DY357" s="806"/>
      <c r="DZ357" s="806"/>
      <c r="EA357" s="806"/>
      <c r="EB357" s="806"/>
      <c r="EC357" s="806"/>
      <c r="ED357" s="806"/>
      <c r="EE357" s="806"/>
      <c r="EF357" s="806"/>
      <c r="EG357" s="806"/>
      <c r="EH357" s="806"/>
      <c r="EI357" s="806"/>
      <c r="EJ357" s="806"/>
      <c r="EK357" s="806"/>
      <c r="EL357" s="806"/>
      <c r="EM357" s="806"/>
      <c r="EN357" s="806"/>
      <c r="EO357" s="806"/>
      <c r="EP357" s="806"/>
      <c r="EQ357" s="806"/>
      <c r="ER357" s="806"/>
      <c r="ES357" s="806"/>
      <c r="ET357" s="806"/>
      <c r="EU357" s="806"/>
      <c r="EV357" s="806"/>
      <c r="EW357" s="806"/>
      <c r="EX357" s="806"/>
      <c r="EY357" s="806"/>
      <c r="EZ357" s="806"/>
      <c r="FA357" s="806"/>
      <c r="FB357" s="806"/>
      <c r="FC357" s="806"/>
      <c r="FD357" s="806"/>
      <c r="FE357" s="806"/>
      <c r="FF357" s="806"/>
      <c r="FG357" s="806"/>
      <c r="FH357" s="806"/>
      <c r="FI357" s="806"/>
      <c r="FJ357" s="806"/>
      <c r="FK357" s="806"/>
      <c r="FL357" s="806"/>
      <c r="FM357" s="806"/>
      <c r="FN357" s="806"/>
      <c r="FO357" s="806"/>
      <c r="FP357" s="806"/>
      <c r="FQ357" s="806"/>
      <c r="FR357" s="806"/>
      <c r="FS357" s="806"/>
      <c r="FT357" s="806"/>
      <c r="FU357" s="806"/>
      <c r="FV357" s="806"/>
      <c r="FW357" s="806"/>
      <c r="FX357" s="806"/>
      <c r="FY357" s="806"/>
      <c r="FZ357" s="806"/>
      <c r="GA357" s="806"/>
      <c r="GB357" s="806"/>
      <c r="GC357" s="806"/>
      <c r="GD357" s="806"/>
      <c r="GE357" s="806"/>
      <c r="GF357" s="806"/>
      <c r="GG357" s="806"/>
      <c r="GH357" s="806"/>
      <c r="GI357" s="806"/>
      <c r="GJ357" s="806"/>
      <c r="GK357" s="806"/>
      <c r="GL357" s="806"/>
      <c r="GM357" s="806"/>
      <c r="GN357" s="806"/>
      <c r="GO357" s="806"/>
      <c r="GP357" s="806"/>
      <c r="GQ357" s="806"/>
      <c r="GR357" s="806"/>
      <c r="GS357" s="806"/>
      <c r="GT357" s="806"/>
      <c r="GU357" s="806"/>
      <c r="GV357" s="806"/>
      <c r="GW357" s="806"/>
      <c r="GX357" s="806"/>
      <c r="GY357" s="806"/>
      <c r="GZ357" s="806"/>
      <c r="HA357" s="806"/>
      <c r="HB357" s="806"/>
      <c r="HC357" s="806"/>
      <c r="HD357" s="806"/>
      <c r="HE357" s="806"/>
      <c r="HF357" s="806"/>
      <c r="HG357" s="806"/>
      <c r="HH357" s="806"/>
      <c r="HI357" s="806"/>
      <c r="HJ357" s="806"/>
      <c r="HK357" s="806"/>
      <c r="HL357" s="806"/>
      <c r="HM357" s="806"/>
      <c r="HN357" s="806"/>
      <c r="HO357" s="806"/>
      <c r="HP357" s="806"/>
      <c r="HQ357" s="806"/>
      <c r="HR357" s="806"/>
      <c r="HS357" s="806"/>
      <c r="HT357" s="806"/>
      <c r="HU357" s="806"/>
      <c r="HV357" s="806"/>
      <c r="HW357" s="806"/>
      <c r="HX357" s="806"/>
      <c r="HY357" s="806"/>
      <c r="HZ357" s="806"/>
      <c r="IA357" s="806"/>
      <c r="IB357" s="806"/>
      <c r="IC357" s="806"/>
      <c r="ID357" s="806"/>
      <c r="IE357" s="806"/>
      <c r="IF357" s="806"/>
      <c r="IG357" s="806"/>
      <c r="IH357" s="806"/>
      <c r="II357" s="806"/>
      <c r="IJ357" s="806"/>
      <c r="IK357" s="806"/>
      <c r="IL357" s="806"/>
      <c r="IM357" s="806"/>
      <c r="IN357" s="806"/>
      <c r="IO357" s="806"/>
      <c r="IP357" s="806"/>
      <c r="IQ357" s="806"/>
      <c r="IR357" s="806"/>
      <c r="IS357" s="806"/>
      <c r="IT357" s="806"/>
      <c r="IU357" s="806"/>
      <c r="IV357" s="806"/>
      <c r="IW357" s="806"/>
      <c r="IX357" s="806"/>
    </row>
    <row r="358" spans="1:258" s="841" customFormat="1" ht="38.25">
      <c r="A358" s="364">
        <v>9</v>
      </c>
      <c r="B358" s="1484" t="s">
        <v>1322</v>
      </c>
      <c r="C358" s="799"/>
      <c r="D358" s="800"/>
      <c r="E358" s="785" t="s">
        <v>1194</v>
      </c>
      <c r="F358" s="366" t="s">
        <v>326</v>
      </c>
      <c r="G358" s="785" t="s">
        <v>327</v>
      </c>
      <c r="H358" s="368">
        <v>2016</v>
      </c>
      <c r="I358" s="368"/>
      <c r="J358" s="368">
        <v>2020</v>
      </c>
      <c r="K358" s="368"/>
      <c r="L358" s="368"/>
      <c r="M358" s="801" t="s">
        <v>2580</v>
      </c>
      <c r="N358" s="802">
        <v>14404</v>
      </c>
      <c r="O358" s="802"/>
      <c r="P358" s="802">
        <v>14404</v>
      </c>
      <c r="Q358" s="802">
        <f>3000</f>
        <v>3000</v>
      </c>
      <c r="R358" s="802"/>
      <c r="S358" s="802">
        <f>3000</f>
        <v>3000</v>
      </c>
      <c r="T358" s="802">
        <f>10100+4304</f>
        <v>14404</v>
      </c>
      <c r="U358" s="803">
        <v>7100</v>
      </c>
      <c r="V358" s="373">
        <v>1500</v>
      </c>
      <c r="W358" s="373">
        <v>1500</v>
      </c>
      <c r="X358" s="373">
        <v>0</v>
      </c>
      <c r="Y358" s="840">
        <v>1700</v>
      </c>
      <c r="Z358" s="373">
        <f t="shared" si="178"/>
        <v>3200</v>
      </c>
      <c r="AA358" s="524">
        <f t="shared" si="240"/>
        <v>6200</v>
      </c>
      <c r="AB358" s="524">
        <f t="shared" si="241"/>
        <v>3200</v>
      </c>
      <c r="AC358" s="1471">
        <f>S358+$Z358</f>
        <v>6200</v>
      </c>
      <c r="AD358" s="524">
        <f t="shared" si="243"/>
        <v>14404</v>
      </c>
      <c r="AE358" s="524">
        <f t="shared" si="244"/>
        <v>3900</v>
      </c>
      <c r="AF358" s="245">
        <v>1950</v>
      </c>
      <c r="AG358" s="245">
        <f t="shared" si="245"/>
        <v>50</v>
      </c>
      <c r="AH358" s="652">
        <v>1950</v>
      </c>
      <c r="AI358" s="245">
        <f t="shared" si="246"/>
        <v>3900</v>
      </c>
      <c r="AJ358" s="1483">
        <f t="shared" si="247"/>
        <v>10100</v>
      </c>
      <c r="AK358" s="245">
        <f t="shared" si="248"/>
        <v>10100</v>
      </c>
      <c r="AL358" s="245">
        <f t="shared" si="249"/>
        <v>14404</v>
      </c>
      <c r="AM358" s="245">
        <f>AL358-AK358</f>
        <v>4304</v>
      </c>
      <c r="AN358" s="805" t="s">
        <v>1317</v>
      </c>
      <c r="AO358" s="846" t="s">
        <v>2357</v>
      </c>
      <c r="AP358" s="807" t="e">
        <f t="shared" si="239"/>
        <v>#VALUE!</v>
      </c>
      <c r="AQ358" s="808"/>
      <c r="AR358" s="808"/>
      <c r="AS358" s="809"/>
      <c r="AT358" s="806"/>
      <c r="AU358" s="810" t="s">
        <v>1317</v>
      </c>
      <c r="AV358" s="806"/>
      <c r="AW358" s="806"/>
      <c r="AX358" s="806"/>
      <c r="AY358" s="809"/>
      <c r="AZ358" s="809"/>
      <c r="BA358" s="809"/>
      <c r="BB358" s="806"/>
      <c r="BC358" s="806"/>
      <c r="BD358" s="806"/>
      <c r="BE358" s="806"/>
      <c r="BF358" s="806"/>
      <c r="BG358" s="806"/>
      <c r="BH358" s="806"/>
      <c r="BI358" s="806"/>
      <c r="BJ358" s="806"/>
      <c r="BK358" s="806"/>
      <c r="BL358" s="806"/>
      <c r="BM358" s="806"/>
      <c r="BN358" s="806"/>
      <c r="BO358" s="806"/>
      <c r="BP358" s="806"/>
      <c r="BQ358" s="806"/>
      <c r="BR358" s="806"/>
      <c r="BS358" s="806"/>
      <c r="BT358" s="806"/>
      <c r="BU358" s="806"/>
      <c r="BV358" s="806"/>
      <c r="BW358" s="806"/>
      <c r="BX358" s="806"/>
      <c r="BY358" s="806"/>
      <c r="BZ358" s="806"/>
      <c r="CA358" s="806"/>
      <c r="CB358" s="806"/>
      <c r="CC358" s="806"/>
      <c r="CD358" s="806"/>
      <c r="CE358" s="806"/>
      <c r="CF358" s="806"/>
      <c r="CG358" s="806"/>
      <c r="CH358" s="806"/>
      <c r="CI358" s="806"/>
      <c r="CJ358" s="806"/>
      <c r="CK358" s="806"/>
      <c r="CL358" s="806"/>
      <c r="CM358" s="806"/>
      <c r="CN358" s="806"/>
      <c r="CO358" s="806"/>
      <c r="CP358" s="806"/>
      <c r="CQ358" s="806"/>
      <c r="CR358" s="806"/>
      <c r="CS358" s="806"/>
      <c r="CT358" s="806"/>
      <c r="CU358" s="806"/>
      <c r="CV358" s="806"/>
      <c r="CW358" s="806"/>
      <c r="CX358" s="806"/>
      <c r="CY358" s="806"/>
      <c r="CZ358" s="806"/>
      <c r="DA358" s="806"/>
      <c r="DB358" s="806"/>
      <c r="DC358" s="806"/>
      <c r="DD358" s="806"/>
      <c r="DE358" s="806"/>
      <c r="DF358" s="806"/>
      <c r="DG358" s="806"/>
      <c r="DH358" s="806"/>
      <c r="DI358" s="806"/>
      <c r="DJ358" s="806"/>
      <c r="DK358" s="806"/>
      <c r="DL358" s="806"/>
      <c r="DM358" s="806"/>
      <c r="DN358" s="806"/>
      <c r="DO358" s="806"/>
      <c r="DP358" s="806"/>
      <c r="DQ358" s="806"/>
      <c r="DR358" s="806"/>
      <c r="DS358" s="806"/>
      <c r="DT358" s="806"/>
      <c r="DU358" s="806"/>
      <c r="DV358" s="806"/>
      <c r="DW358" s="806"/>
      <c r="DX358" s="806"/>
      <c r="DY358" s="806"/>
      <c r="DZ358" s="806"/>
      <c r="EA358" s="806"/>
      <c r="EB358" s="806"/>
      <c r="EC358" s="806"/>
      <c r="ED358" s="806"/>
      <c r="EE358" s="806"/>
      <c r="EF358" s="806"/>
      <c r="EG358" s="806"/>
      <c r="EH358" s="806"/>
      <c r="EI358" s="806"/>
      <c r="EJ358" s="806"/>
      <c r="EK358" s="806"/>
      <c r="EL358" s="806"/>
      <c r="EM358" s="806"/>
      <c r="EN358" s="806"/>
      <c r="EO358" s="806"/>
      <c r="EP358" s="806"/>
      <c r="EQ358" s="806"/>
      <c r="ER358" s="806"/>
      <c r="ES358" s="806"/>
      <c r="ET358" s="806"/>
      <c r="EU358" s="806"/>
      <c r="EV358" s="806"/>
      <c r="EW358" s="806"/>
      <c r="EX358" s="806"/>
      <c r="EY358" s="806"/>
      <c r="EZ358" s="806"/>
      <c r="FA358" s="806"/>
      <c r="FB358" s="806"/>
      <c r="FC358" s="806"/>
      <c r="FD358" s="806"/>
      <c r="FE358" s="806"/>
      <c r="FF358" s="806"/>
      <c r="FG358" s="806"/>
      <c r="FH358" s="806"/>
      <c r="FI358" s="806"/>
      <c r="FJ358" s="806"/>
      <c r="FK358" s="806"/>
      <c r="FL358" s="806"/>
      <c r="FM358" s="806"/>
      <c r="FN358" s="806"/>
      <c r="FO358" s="806"/>
      <c r="FP358" s="806"/>
      <c r="FQ358" s="806"/>
      <c r="FR358" s="806"/>
      <c r="FS358" s="806"/>
      <c r="FT358" s="806"/>
      <c r="FU358" s="806"/>
      <c r="FV358" s="806"/>
      <c r="FW358" s="806"/>
      <c r="FX358" s="806"/>
      <c r="FY358" s="806"/>
      <c r="FZ358" s="806"/>
      <c r="GA358" s="806"/>
      <c r="GB358" s="806"/>
      <c r="GC358" s="806"/>
      <c r="GD358" s="806"/>
      <c r="GE358" s="806"/>
      <c r="GF358" s="806"/>
      <c r="GG358" s="806"/>
      <c r="GH358" s="806"/>
      <c r="GI358" s="806"/>
      <c r="GJ358" s="806"/>
      <c r="GK358" s="806"/>
      <c r="GL358" s="806"/>
      <c r="GM358" s="806"/>
      <c r="GN358" s="806"/>
      <c r="GO358" s="806"/>
      <c r="GP358" s="806"/>
      <c r="GQ358" s="806"/>
      <c r="GR358" s="806"/>
      <c r="GS358" s="806"/>
      <c r="GT358" s="806"/>
      <c r="GU358" s="806"/>
      <c r="GV358" s="806"/>
      <c r="GW358" s="806"/>
      <c r="GX358" s="806"/>
      <c r="GY358" s="806"/>
      <c r="GZ358" s="806"/>
      <c r="HA358" s="806"/>
      <c r="HB358" s="806"/>
      <c r="HC358" s="806"/>
      <c r="HD358" s="806"/>
      <c r="HE358" s="806"/>
      <c r="HF358" s="806"/>
      <c r="HG358" s="806"/>
      <c r="HH358" s="806"/>
      <c r="HI358" s="806"/>
      <c r="HJ358" s="806"/>
      <c r="HK358" s="806"/>
      <c r="HL358" s="806"/>
      <c r="HM358" s="806"/>
      <c r="HN358" s="806"/>
      <c r="HO358" s="806"/>
      <c r="HP358" s="806"/>
      <c r="HQ358" s="806"/>
      <c r="HR358" s="806"/>
      <c r="HS358" s="806"/>
      <c r="HT358" s="806"/>
      <c r="HU358" s="806"/>
      <c r="HV358" s="806"/>
      <c r="HW358" s="806"/>
      <c r="HX358" s="806"/>
      <c r="HY358" s="806"/>
      <c r="HZ358" s="806"/>
      <c r="IA358" s="806"/>
      <c r="IB358" s="806"/>
      <c r="IC358" s="806"/>
      <c r="ID358" s="806"/>
      <c r="IE358" s="806"/>
      <c r="IF358" s="806"/>
      <c r="IG358" s="806"/>
      <c r="IH358" s="806"/>
      <c r="II358" s="806"/>
      <c r="IJ358" s="806"/>
      <c r="IK358" s="806"/>
      <c r="IL358" s="806"/>
      <c r="IM358" s="806"/>
      <c r="IN358" s="806"/>
      <c r="IO358" s="806"/>
      <c r="IP358" s="806"/>
      <c r="IQ358" s="806"/>
      <c r="IR358" s="806"/>
      <c r="IS358" s="806"/>
      <c r="IT358" s="806"/>
      <c r="IU358" s="806"/>
      <c r="IV358" s="806"/>
      <c r="IW358" s="806"/>
      <c r="IX358" s="806"/>
    </row>
    <row r="359" spans="1:258" s="846" customFormat="1" ht="38.25">
      <c r="A359" s="364">
        <v>10</v>
      </c>
      <c r="B359" s="842" t="s">
        <v>1323</v>
      </c>
      <c r="C359" s="842"/>
      <c r="D359" s="843"/>
      <c r="E359" s="837" t="s">
        <v>1324</v>
      </c>
      <c r="F359" s="366" t="s">
        <v>326</v>
      </c>
      <c r="G359" s="785" t="s">
        <v>327</v>
      </c>
      <c r="H359" s="368">
        <v>2017</v>
      </c>
      <c r="I359" s="368"/>
      <c r="J359" s="368">
        <v>2021</v>
      </c>
      <c r="K359" s="368"/>
      <c r="L359" s="368"/>
      <c r="M359" s="827" t="s">
        <v>1325</v>
      </c>
      <c r="N359" s="802">
        <v>10125</v>
      </c>
      <c r="O359" s="844"/>
      <c r="P359" s="845">
        <f>N359</f>
        <v>10125</v>
      </c>
      <c r="Q359" s="802">
        <v>0</v>
      </c>
      <c r="R359" s="802"/>
      <c r="S359" s="800">
        <v>0</v>
      </c>
      <c r="T359" s="845"/>
      <c r="U359" s="845">
        <v>7000</v>
      </c>
      <c r="V359" s="373">
        <v>1000</v>
      </c>
      <c r="W359" s="373">
        <v>1000</v>
      </c>
      <c r="X359" s="373">
        <v>0</v>
      </c>
      <c r="Y359" s="840">
        <v>-1000</v>
      </c>
      <c r="Z359" s="373">
        <f t="shared" si="178"/>
        <v>0</v>
      </c>
      <c r="AA359" s="524">
        <f t="shared" si="240"/>
        <v>0</v>
      </c>
      <c r="AB359" s="524">
        <f t="shared" si="241"/>
        <v>0</v>
      </c>
      <c r="AC359" s="524">
        <f t="shared" si="242"/>
        <v>0</v>
      </c>
      <c r="AD359" s="254">
        <f t="shared" si="243"/>
        <v>0</v>
      </c>
      <c r="AE359" s="254"/>
      <c r="AF359" s="245">
        <v>3500</v>
      </c>
      <c r="AG359" s="245">
        <f>AF359/7000*100</f>
        <v>50</v>
      </c>
      <c r="AH359" s="245">
        <f>-3500</f>
        <v>-3500</v>
      </c>
      <c r="AI359" s="245">
        <f t="shared" si="246"/>
        <v>0</v>
      </c>
      <c r="AJ359" s="245">
        <f t="shared" si="247"/>
        <v>0</v>
      </c>
      <c r="AK359" s="245">
        <f t="shared" si="248"/>
        <v>0</v>
      </c>
      <c r="AL359" s="245">
        <f t="shared" si="249"/>
        <v>0</v>
      </c>
      <c r="AM359" s="245">
        <f t="shared" si="250"/>
        <v>0</v>
      </c>
      <c r="AN359" s="805" t="s">
        <v>1326</v>
      </c>
      <c r="AO359" s="846" t="s">
        <v>1327</v>
      </c>
      <c r="AP359" s="807"/>
      <c r="AQ359" s="324"/>
      <c r="AR359" s="324"/>
      <c r="AS359" s="847"/>
      <c r="AU359" s="810" t="s">
        <v>1328</v>
      </c>
      <c r="AY359" s="847"/>
      <c r="AZ359" s="847"/>
      <c r="BA359" s="847"/>
    </row>
    <row r="360" spans="1:258" s="841" customFormat="1" ht="25.5">
      <c r="A360" s="671" t="s">
        <v>49</v>
      </c>
      <c r="B360" s="848" t="s">
        <v>1329</v>
      </c>
      <c r="C360" s="848"/>
      <c r="D360" s="849"/>
      <c r="E360" s="557"/>
      <c r="F360" s="557"/>
      <c r="G360" s="850"/>
      <c r="H360" s="675"/>
      <c r="I360" s="675"/>
      <c r="J360" s="675"/>
      <c r="K360" s="675"/>
      <c r="L360" s="675"/>
      <c r="M360" s="851"/>
      <c r="N360" s="557">
        <f>SUBTOTAL(109,N361:N361)</f>
        <v>31330</v>
      </c>
      <c r="O360" s="557">
        <f t="shared" ref="O360:W360" si="251">SUBTOTAL(109,O361:O361)</f>
        <v>0</v>
      </c>
      <c r="P360" s="557">
        <f t="shared" si="251"/>
        <v>31330</v>
      </c>
      <c r="Q360" s="557">
        <f t="shared" si="251"/>
        <v>0</v>
      </c>
      <c r="R360" s="557">
        <f t="shared" si="251"/>
        <v>0</v>
      </c>
      <c r="S360" s="557">
        <f t="shared" si="251"/>
        <v>0</v>
      </c>
      <c r="T360" s="557">
        <f t="shared" si="251"/>
        <v>9500</v>
      </c>
      <c r="U360" s="557">
        <f t="shared" si="251"/>
        <v>9500</v>
      </c>
      <c r="V360" s="557">
        <f t="shared" si="251"/>
        <v>2000</v>
      </c>
      <c r="W360" s="557">
        <f t="shared" si="251"/>
        <v>2000</v>
      </c>
      <c r="X360" s="373"/>
      <c r="Y360" s="330"/>
      <c r="Z360" s="373">
        <f t="shared" si="178"/>
        <v>2000</v>
      </c>
      <c r="AA360" s="557">
        <f t="shared" ref="AA360:AE360" si="252">SUBTOTAL(109,AA361:AA361)</f>
        <v>0</v>
      </c>
      <c r="AB360" s="557">
        <f t="shared" si="252"/>
        <v>0</v>
      </c>
      <c r="AC360" s="557">
        <f t="shared" si="252"/>
        <v>0</v>
      </c>
      <c r="AD360" s="557">
        <f t="shared" si="252"/>
        <v>9500</v>
      </c>
      <c r="AE360" s="557">
        <f t="shared" si="252"/>
        <v>9500</v>
      </c>
      <c r="AF360" s="557"/>
      <c r="AG360" s="373"/>
      <c r="AH360" s="373"/>
      <c r="AI360" s="373"/>
      <c r="AJ360" s="373"/>
      <c r="AK360" s="373"/>
      <c r="AL360" s="373"/>
      <c r="AM360" s="373"/>
      <c r="AN360" s="557"/>
      <c r="AO360" s="806"/>
      <c r="AP360" s="807"/>
      <c r="AQ360" s="808"/>
      <c r="AR360" s="808"/>
      <c r="AS360" s="809"/>
      <c r="AT360" s="806"/>
      <c r="AU360" s="810"/>
      <c r="AV360" s="806"/>
      <c r="AW360" s="806"/>
      <c r="AX360" s="806"/>
      <c r="AY360" s="809"/>
      <c r="AZ360" s="809"/>
      <c r="BA360" s="809"/>
      <c r="BB360" s="806"/>
      <c r="BC360" s="806"/>
      <c r="BD360" s="806"/>
      <c r="BE360" s="806"/>
      <c r="BF360" s="806"/>
      <c r="BG360" s="806"/>
      <c r="BH360" s="806"/>
      <c r="BI360" s="806"/>
      <c r="BJ360" s="806"/>
      <c r="BK360" s="806"/>
      <c r="BL360" s="806"/>
      <c r="BM360" s="806"/>
      <c r="BN360" s="806"/>
      <c r="BO360" s="806"/>
      <c r="BP360" s="806"/>
      <c r="BQ360" s="806"/>
      <c r="BR360" s="806"/>
      <c r="BS360" s="806"/>
      <c r="BT360" s="806"/>
      <c r="BU360" s="806"/>
      <c r="BV360" s="806"/>
      <c r="BW360" s="806"/>
      <c r="BX360" s="806"/>
      <c r="BY360" s="806"/>
      <c r="BZ360" s="806"/>
      <c r="CA360" s="806"/>
      <c r="CB360" s="806"/>
      <c r="CC360" s="806"/>
      <c r="CD360" s="806"/>
      <c r="CE360" s="806"/>
      <c r="CF360" s="806"/>
      <c r="CG360" s="806"/>
      <c r="CH360" s="806"/>
      <c r="CI360" s="806"/>
      <c r="CJ360" s="806"/>
      <c r="CK360" s="806"/>
      <c r="CL360" s="806"/>
      <c r="CM360" s="806"/>
      <c r="CN360" s="806"/>
      <c r="CO360" s="806"/>
      <c r="CP360" s="806"/>
      <c r="CQ360" s="806"/>
      <c r="CR360" s="806"/>
      <c r="CS360" s="806"/>
      <c r="CT360" s="806"/>
      <c r="CU360" s="806"/>
      <c r="CV360" s="806"/>
      <c r="CW360" s="806"/>
      <c r="CX360" s="806"/>
      <c r="CY360" s="806"/>
      <c r="CZ360" s="806"/>
      <c r="DA360" s="806"/>
      <c r="DB360" s="806"/>
      <c r="DC360" s="806"/>
      <c r="DD360" s="806"/>
      <c r="DE360" s="806"/>
      <c r="DF360" s="806"/>
      <c r="DG360" s="806"/>
      <c r="DH360" s="806"/>
      <c r="DI360" s="806"/>
      <c r="DJ360" s="806"/>
      <c r="DK360" s="806"/>
      <c r="DL360" s="806"/>
      <c r="DM360" s="806"/>
      <c r="DN360" s="806"/>
      <c r="DO360" s="806"/>
      <c r="DP360" s="806"/>
      <c r="DQ360" s="806"/>
      <c r="DR360" s="806"/>
      <c r="DS360" s="806"/>
      <c r="DT360" s="806"/>
      <c r="DU360" s="806"/>
      <c r="DV360" s="806"/>
      <c r="DW360" s="806"/>
      <c r="DX360" s="806"/>
      <c r="DY360" s="806"/>
      <c r="DZ360" s="806"/>
      <c r="EA360" s="806"/>
      <c r="EB360" s="806"/>
      <c r="EC360" s="806"/>
      <c r="ED360" s="806"/>
      <c r="EE360" s="806"/>
      <c r="EF360" s="806"/>
      <c r="EG360" s="806"/>
      <c r="EH360" s="806"/>
      <c r="EI360" s="806"/>
      <c r="EJ360" s="806"/>
      <c r="EK360" s="806"/>
      <c r="EL360" s="806"/>
      <c r="EM360" s="806"/>
      <c r="EN360" s="806"/>
      <c r="EO360" s="806"/>
      <c r="EP360" s="806"/>
      <c r="EQ360" s="806"/>
      <c r="ER360" s="806"/>
      <c r="ES360" s="806"/>
      <c r="ET360" s="806"/>
      <c r="EU360" s="806"/>
      <c r="EV360" s="806"/>
      <c r="EW360" s="806"/>
      <c r="EX360" s="806"/>
      <c r="EY360" s="806"/>
      <c r="EZ360" s="806"/>
      <c r="FA360" s="806"/>
      <c r="FB360" s="806"/>
      <c r="FC360" s="806"/>
      <c r="FD360" s="806"/>
      <c r="FE360" s="806"/>
      <c r="FF360" s="806"/>
      <c r="FG360" s="806"/>
      <c r="FH360" s="806"/>
      <c r="FI360" s="806"/>
      <c r="FJ360" s="806"/>
      <c r="FK360" s="806"/>
      <c r="FL360" s="806"/>
      <c r="FM360" s="806"/>
      <c r="FN360" s="806"/>
      <c r="FO360" s="806"/>
      <c r="FP360" s="806"/>
      <c r="FQ360" s="806"/>
      <c r="FR360" s="806"/>
      <c r="FS360" s="806"/>
      <c r="FT360" s="806"/>
      <c r="FU360" s="806"/>
      <c r="FV360" s="806"/>
      <c r="FW360" s="806"/>
      <c r="FX360" s="806"/>
      <c r="FY360" s="806"/>
      <c r="FZ360" s="806"/>
      <c r="GA360" s="806"/>
      <c r="GB360" s="806"/>
      <c r="GC360" s="806"/>
      <c r="GD360" s="806"/>
      <c r="GE360" s="806"/>
      <c r="GF360" s="806"/>
      <c r="GG360" s="806"/>
      <c r="GH360" s="806"/>
      <c r="GI360" s="806"/>
      <c r="GJ360" s="806"/>
      <c r="GK360" s="806"/>
      <c r="GL360" s="806"/>
      <c r="GM360" s="806"/>
      <c r="GN360" s="806"/>
      <c r="GO360" s="806"/>
      <c r="GP360" s="806"/>
      <c r="GQ360" s="806"/>
      <c r="GR360" s="806"/>
      <c r="GS360" s="806"/>
      <c r="GT360" s="806"/>
      <c r="GU360" s="806"/>
      <c r="GV360" s="806"/>
      <c r="GW360" s="806"/>
      <c r="GX360" s="806"/>
      <c r="GY360" s="806"/>
      <c r="GZ360" s="806"/>
      <c r="HA360" s="806"/>
      <c r="HB360" s="806"/>
      <c r="HC360" s="806"/>
      <c r="HD360" s="806"/>
      <c r="HE360" s="806"/>
      <c r="HF360" s="806"/>
      <c r="HG360" s="806"/>
      <c r="HH360" s="806"/>
      <c r="HI360" s="806"/>
      <c r="HJ360" s="806"/>
      <c r="HK360" s="806"/>
      <c r="HL360" s="806"/>
      <c r="HM360" s="806"/>
      <c r="HN360" s="806"/>
      <c r="HO360" s="806"/>
      <c r="HP360" s="806"/>
      <c r="HQ360" s="806"/>
      <c r="HR360" s="806"/>
      <c r="HS360" s="806"/>
      <c r="HT360" s="806"/>
      <c r="HU360" s="806"/>
      <c r="HV360" s="806"/>
      <c r="HW360" s="806"/>
      <c r="HX360" s="806"/>
      <c r="HY360" s="806"/>
      <c r="HZ360" s="806"/>
      <c r="IA360" s="806"/>
      <c r="IB360" s="806"/>
      <c r="IC360" s="806"/>
      <c r="ID360" s="806"/>
      <c r="IE360" s="806"/>
      <c r="IF360" s="806"/>
      <c r="IG360" s="806"/>
      <c r="IH360" s="806"/>
      <c r="II360" s="806"/>
      <c r="IJ360" s="806"/>
      <c r="IK360" s="806"/>
      <c r="IL360" s="806"/>
      <c r="IM360" s="806"/>
      <c r="IN360" s="806"/>
      <c r="IO360" s="806"/>
      <c r="IP360" s="806"/>
      <c r="IQ360" s="806"/>
      <c r="IR360" s="806"/>
      <c r="IS360" s="806"/>
      <c r="IT360" s="806"/>
      <c r="IU360" s="806"/>
      <c r="IV360" s="806"/>
      <c r="IW360" s="806"/>
      <c r="IX360" s="806"/>
    </row>
    <row r="361" spans="1:258" s="224" customFormat="1" ht="43.5" customHeight="1">
      <c r="A361" s="364">
        <v>1</v>
      </c>
      <c r="B361" s="852" t="s">
        <v>1330</v>
      </c>
      <c r="C361" s="842"/>
      <c r="D361" s="843"/>
      <c r="E361" s="837"/>
      <c r="F361" s="366"/>
      <c r="G361" s="785" t="s">
        <v>327</v>
      </c>
      <c r="H361" s="368">
        <v>2018</v>
      </c>
      <c r="I361" s="368"/>
      <c r="J361" s="368">
        <v>2023</v>
      </c>
      <c r="K361" s="368"/>
      <c r="L361" s="368"/>
      <c r="M361" s="801" t="s">
        <v>2581</v>
      </c>
      <c r="N361" s="802">
        <v>31330</v>
      </c>
      <c r="O361" s="844"/>
      <c r="P361" s="802">
        <v>31330</v>
      </c>
      <c r="Q361" s="802"/>
      <c r="R361" s="802"/>
      <c r="S361" s="800"/>
      <c r="T361" s="800">
        <v>9500</v>
      </c>
      <c r="U361" s="803">
        <v>9500</v>
      </c>
      <c r="V361" s="373">
        <v>2000</v>
      </c>
      <c r="W361" s="373">
        <v>2000</v>
      </c>
      <c r="X361" s="373">
        <v>0</v>
      </c>
      <c r="Y361" s="804">
        <v>-2000</v>
      </c>
      <c r="Z361" s="373">
        <f t="shared" si="178"/>
        <v>0</v>
      </c>
      <c r="AA361" s="524">
        <f>Q361+$Z361</f>
        <v>0</v>
      </c>
      <c r="AB361" s="524">
        <f>R361+$Z361</f>
        <v>0</v>
      </c>
      <c r="AC361" s="524">
        <f>S361+$Z361</f>
        <v>0</v>
      </c>
      <c r="AD361" s="524">
        <f>T361</f>
        <v>9500</v>
      </c>
      <c r="AE361" s="524">
        <f>U361-Z361</f>
        <v>9500</v>
      </c>
      <c r="AF361" s="245">
        <v>4750</v>
      </c>
      <c r="AG361" s="245">
        <f t="shared" si="245"/>
        <v>50</v>
      </c>
      <c r="AH361" s="652">
        <f>-3250</f>
        <v>-3250</v>
      </c>
      <c r="AI361" s="245">
        <f t="shared" ref="AI361" si="253">AF361+AH361</f>
        <v>1500</v>
      </c>
      <c r="AJ361" s="245">
        <f t="shared" ref="AJ361" si="254">AA361+AI361</f>
        <v>1500</v>
      </c>
      <c r="AK361" s="245">
        <f t="shared" ref="AK361" si="255">AC361+AI361</f>
        <v>1500</v>
      </c>
      <c r="AL361" s="245">
        <f>T361</f>
        <v>9500</v>
      </c>
      <c r="AM361" s="245">
        <f t="shared" si="250"/>
        <v>8000</v>
      </c>
      <c r="AN361" s="805" t="s">
        <v>1317</v>
      </c>
      <c r="AQ361" s="225"/>
      <c r="AR361" s="225"/>
      <c r="AS361" s="226"/>
      <c r="AU361" s="810" t="s">
        <v>1317</v>
      </c>
      <c r="AY361" s="226"/>
      <c r="AZ361" s="226"/>
      <c r="BA361" s="226"/>
    </row>
    <row r="362" spans="1:258" s="224" customFormat="1" ht="30.75" customHeight="1">
      <c r="A362" s="671" t="s">
        <v>181</v>
      </c>
      <c r="B362" s="853" t="s">
        <v>1331</v>
      </c>
      <c r="C362" s="853"/>
      <c r="D362" s="853"/>
      <c r="E362" s="853"/>
      <c r="F362" s="853"/>
      <c r="G362" s="854"/>
      <c r="H362" s="675"/>
      <c r="I362" s="675"/>
      <c r="J362" s="675"/>
      <c r="K362" s="675"/>
      <c r="L362" s="675"/>
      <c r="M362" s="855"/>
      <c r="N362" s="856">
        <f>SUBTOTAL(109,N363:N365)</f>
        <v>125695</v>
      </c>
      <c r="O362" s="856"/>
      <c r="P362" s="856">
        <f t="shared" ref="P362:AE362" si="256">SUBTOTAL(109,P363:P365)</f>
        <v>50695</v>
      </c>
      <c r="Q362" s="856"/>
      <c r="R362" s="856"/>
      <c r="S362" s="856"/>
      <c r="T362" s="856"/>
      <c r="U362" s="856"/>
      <c r="V362" s="856"/>
      <c r="W362" s="856"/>
      <c r="X362" s="856"/>
      <c r="Y362" s="330">
        <f t="shared" ref="Y362" si="257">SUBTOTAL(109,Y363:Y365)</f>
        <v>0</v>
      </c>
      <c r="Z362" s="856"/>
      <c r="AA362" s="856">
        <f t="shared" si="256"/>
        <v>90</v>
      </c>
      <c r="AB362" s="856"/>
      <c r="AC362" s="856">
        <f t="shared" si="256"/>
        <v>90</v>
      </c>
      <c r="AD362" s="856">
        <f t="shared" si="256"/>
        <v>19996</v>
      </c>
      <c r="AE362" s="856">
        <f t="shared" si="256"/>
        <v>19906</v>
      </c>
      <c r="AF362" s="856"/>
      <c r="AG362" s="857"/>
      <c r="AH362" s="857"/>
      <c r="AI362" s="857"/>
      <c r="AJ362" s="857"/>
      <c r="AK362" s="857"/>
      <c r="AL362" s="857"/>
      <c r="AM362" s="857"/>
      <c r="AN362" s="857"/>
      <c r="AQ362" s="225"/>
      <c r="AR362" s="225"/>
      <c r="AS362" s="226"/>
      <c r="AU362" s="557"/>
      <c r="AV362" s="226"/>
      <c r="AW362" s="675"/>
      <c r="AY362" s="226"/>
      <c r="AZ362" s="226"/>
      <c r="BA362" s="285"/>
    </row>
    <row r="363" spans="1:258" s="224" customFormat="1" ht="51" customHeight="1">
      <c r="A363" s="364">
        <v>1</v>
      </c>
      <c r="B363" s="365" t="s">
        <v>1332</v>
      </c>
      <c r="C363" s="365"/>
      <c r="D363" s="365"/>
      <c r="E363" s="365"/>
      <c r="F363" s="365"/>
      <c r="G363" s="243" t="s">
        <v>382</v>
      </c>
      <c r="H363" s="368">
        <v>2018</v>
      </c>
      <c r="I363" s="368"/>
      <c r="J363" s="368">
        <v>2020</v>
      </c>
      <c r="K363" s="439"/>
      <c r="L363" s="439"/>
      <c r="M363" s="858" t="s">
        <v>1333</v>
      </c>
      <c r="N363" s="352">
        <v>3996</v>
      </c>
      <c r="O363" s="352"/>
      <c r="P363" s="352">
        <v>3996</v>
      </c>
      <c r="Q363" s="352"/>
      <c r="R363" s="352"/>
      <c r="S363" s="352"/>
      <c r="T363" s="524">
        <v>3996</v>
      </c>
      <c r="U363" s="524">
        <v>3996</v>
      </c>
      <c r="V363" s="352"/>
      <c r="W363" s="352"/>
      <c r="X363" s="352"/>
      <c r="Y363" s="832"/>
      <c r="Z363" s="352"/>
      <c r="AA363" s="524">
        <f t="shared" ref="AA363:AC366" si="258">Q363+$Z363</f>
        <v>0</v>
      </c>
      <c r="AB363" s="524">
        <f t="shared" si="258"/>
        <v>0</v>
      </c>
      <c r="AC363" s="524">
        <f t="shared" si="258"/>
        <v>0</v>
      </c>
      <c r="AD363" s="524">
        <f>T363</f>
        <v>3996</v>
      </c>
      <c r="AE363" s="524">
        <f>U363-Z363</f>
        <v>3996</v>
      </c>
      <c r="AF363" s="245">
        <v>1998</v>
      </c>
      <c r="AG363" s="245">
        <f t="shared" si="245"/>
        <v>50</v>
      </c>
      <c r="AH363" s="245"/>
      <c r="AI363" s="245">
        <f t="shared" ref="AI363:AI366" si="259">AF363+AH363</f>
        <v>1998</v>
      </c>
      <c r="AJ363" s="245">
        <f t="shared" ref="AJ363:AJ366" si="260">AA363+AI363</f>
        <v>1998</v>
      </c>
      <c r="AK363" s="245">
        <f t="shared" ref="AK363:AK366" si="261">AC363+AI363</f>
        <v>1998</v>
      </c>
      <c r="AL363" s="245">
        <f>T363</f>
        <v>3996</v>
      </c>
      <c r="AM363" s="245">
        <f t="shared" si="250"/>
        <v>1998</v>
      </c>
      <c r="AN363" s="1670" t="s">
        <v>1334</v>
      </c>
      <c r="AQ363" s="225"/>
      <c r="AR363" s="225"/>
      <c r="AS363" s="226"/>
      <c r="AU363" s="859" t="s">
        <v>1317</v>
      </c>
      <c r="AV363" s="226"/>
      <c r="AW363" s="439"/>
      <c r="AY363" s="226"/>
      <c r="AZ363" s="226"/>
      <c r="BA363" s="285"/>
    </row>
    <row r="364" spans="1:258" s="224" customFormat="1" ht="35.25" customHeight="1">
      <c r="A364" s="364">
        <v>2</v>
      </c>
      <c r="B364" s="365" t="s">
        <v>1335</v>
      </c>
      <c r="C364" s="365"/>
      <c r="D364" s="365"/>
      <c r="E364" s="365"/>
      <c r="F364" s="365"/>
      <c r="G364" s="243" t="s">
        <v>333</v>
      </c>
      <c r="H364" s="368">
        <v>2018</v>
      </c>
      <c r="I364" s="368"/>
      <c r="J364" s="368">
        <v>2020</v>
      </c>
      <c r="K364" s="439"/>
      <c r="L364" s="439"/>
      <c r="M364" s="858" t="s">
        <v>1336</v>
      </c>
      <c r="N364" s="352">
        <v>81000</v>
      </c>
      <c r="O364" s="352"/>
      <c r="P364" s="352">
        <v>6000</v>
      </c>
      <c r="Q364" s="352">
        <v>90</v>
      </c>
      <c r="R364" s="352"/>
      <c r="S364" s="352">
        <v>90</v>
      </c>
      <c r="T364" s="524">
        <v>6000</v>
      </c>
      <c r="U364" s="524">
        <v>5910</v>
      </c>
      <c r="V364" s="352"/>
      <c r="W364" s="352"/>
      <c r="X364" s="352"/>
      <c r="Y364" s="832"/>
      <c r="Z364" s="352"/>
      <c r="AA364" s="524">
        <f t="shared" si="258"/>
        <v>90</v>
      </c>
      <c r="AB364" s="524">
        <f t="shared" si="258"/>
        <v>0</v>
      </c>
      <c r="AC364" s="524">
        <f t="shared" si="258"/>
        <v>90</v>
      </c>
      <c r="AD364" s="524">
        <f>T364</f>
        <v>6000</v>
      </c>
      <c r="AE364" s="524">
        <f>U364-Z364</f>
        <v>5910</v>
      </c>
      <c r="AF364" s="245">
        <v>2955</v>
      </c>
      <c r="AG364" s="245">
        <f t="shared" si="245"/>
        <v>50</v>
      </c>
      <c r="AH364" s="245">
        <v>2784</v>
      </c>
      <c r="AI364" s="245">
        <f t="shared" si="259"/>
        <v>5739</v>
      </c>
      <c r="AJ364" s="245">
        <f t="shared" si="260"/>
        <v>5829</v>
      </c>
      <c r="AK364" s="245">
        <f t="shared" si="261"/>
        <v>5829</v>
      </c>
      <c r="AL364" s="245">
        <f>T364</f>
        <v>6000</v>
      </c>
      <c r="AM364" s="245">
        <f t="shared" si="250"/>
        <v>171</v>
      </c>
      <c r="AN364" s="1671"/>
      <c r="AQ364" s="225"/>
      <c r="AR364" s="225"/>
      <c r="AS364" s="226"/>
      <c r="AU364" s="859" t="s">
        <v>1328</v>
      </c>
      <c r="AV364" s="226"/>
      <c r="AW364" s="368"/>
      <c r="AY364" s="226"/>
      <c r="AZ364" s="226"/>
      <c r="BA364" s="285"/>
    </row>
    <row r="365" spans="1:258" s="224" customFormat="1" ht="51">
      <c r="A365" s="722">
        <v>3</v>
      </c>
      <c r="B365" s="860" t="s">
        <v>1337</v>
      </c>
      <c r="C365" s="860"/>
      <c r="D365" s="860"/>
      <c r="E365" s="860"/>
      <c r="F365" s="860"/>
      <c r="G365" s="861" t="s">
        <v>327</v>
      </c>
      <c r="H365" s="728">
        <v>2019</v>
      </c>
      <c r="I365" s="728"/>
      <c r="J365" s="728">
        <v>2023</v>
      </c>
      <c r="K365" s="862"/>
      <c r="L365" s="862"/>
      <c r="M365" s="858" t="s">
        <v>2605</v>
      </c>
      <c r="N365" s="730">
        <v>40699</v>
      </c>
      <c r="O365" s="730"/>
      <c r="P365" s="730">
        <f>N365</f>
        <v>40699</v>
      </c>
      <c r="Q365" s="730"/>
      <c r="R365" s="730"/>
      <c r="S365" s="730"/>
      <c r="T365" s="863">
        <v>10000</v>
      </c>
      <c r="U365" s="863">
        <v>10000</v>
      </c>
      <c r="V365" s="730"/>
      <c r="W365" s="730"/>
      <c r="X365" s="730"/>
      <c r="Y365" s="832"/>
      <c r="Z365" s="730"/>
      <c r="AA365" s="524">
        <f t="shared" si="258"/>
        <v>0</v>
      </c>
      <c r="AB365" s="524">
        <f t="shared" si="258"/>
        <v>0</v>
      </c>
      <c r="AC365" s="524">
        <f t="shared" si="258"/>
        <v>0</v>
      </c>
      <c r="AD365" s="524">
        <f>T365</f>
        <v>10000</v>
      </c>
      <c r="AE365" s="524">
        <f>U365-Z365</f>
        <v>10000</v>
      </c>
      <c r="AF365" s="245">
        <v>5000</v>
      </c>
      <c r="AG365" s="245">
        <f t="shared" si="245"/>
        <v>50</v>
      </c>
      <c r="AH365" s="245">
        <f>-2330</f>
        <v>-2330</v>
      </c>
      <c r="AI365" s="245">
        <f t="shared" si="259"/>
        <v>2670</v>
      </c>
      <c r="AJ365" s="245">
        <f>AA365+AI365</f>
        <v>2670</v>
      </c>
      <c r="AK365" s="245">
        <f t="shared" si="261"/>
        <v>2670</v>
      </c>
      <c r="AL365" s="245">
        <f>T365</f>
        <v>10000</v>
      </c>
      <c r="AM365" s="245">
        <f t="shared" si="250"/>
        <v>7330</v>
      </c>
      <c r="AN365" s="1672"/>
      <c r="AQ365" s="225"/>
      <c r="AR365" s="225"/>
      <c r="AS365" s="226"/>
      <c r="AU365" s="864" t="s">
        <v>1338</v>
      </c>
      <c r="AV365" s="226"/>
      <c r="AW365" s="728" t="s">
        <v>1339</v>
      </c>
      <c r="AY365" s="226"/>
      <c r="AZ365" s="226"/>
      <c r="BA365" s="285"/>
    </row>
    <row r="366" spans="1:258" s="224" customFormat="1" ht="94.5">
      <c r="A366" s="722"/>
      <c r="B366" s="1476" t="s">
        <v>2346</v>
      </c>
      <c r="C366" s="1474"/>
      <c r="D366" s="1474"/>
      <c r="E366" s="860"/>
      <c r="F366" s="860"/>
      <c r="G366" s="1477" t="s">
        <v>327</v>
      </c>
      <c r="H366" s="1477">
        <v>2015</v>
      </c>
      <c r="I366" s="728"/>
      <c r="J366" s="1477">
        <v>2020</v>
      </c>
      <c r="K366" s="862"/>
      <c r="L366" s="862"/>
      <c r="M366" s="1477" t="s">
        <v>2347</v>
      </c>
      <c r="N366" s="1478">
        <v>4217</v>
      </c>
      <c r="O366" s="730"/>
      <c r="P366" s="1478">
        <v>4217</v>
      </c>
      <c r="Q366" s="1478">
        <f>3717-846</f>
        <v>2871</v>
      </c>
      <c r="R366" s="730"/>
      <c r="S366" s="1478">
        <f>Q366</f>
        <v>2871</v>
      </c>
      <c r="T366" s="1478">
        <f>3717+2514</f>
        <v>6231</v>
      </c>
      <c r="U366" s="863"/>
      <c r="V366" s="730"/>
      <c r="W366" s="730"/>
      <c r="X366" s="730"/>
      <c r="Y366" s="832"/>
      <c r="Z366" s="730"/>
      <c r="AA366" s="524">
        <f t="shared" si="258"/>
        <v>2871</v>
      </c>
      <c r="AB366" s="524"/>
      <c r="AC366" s="524">
        <f t="shared" si="258"/>
        <v>2871</v>
      </c>
      <c r="AD366" s="1203">
        <f>T366</f>
        <v>6231</v>
      </c>
      <c r="AE366" s="1203">
        <f>AD366</f>
        <v>6231</v>
      </c>
      <c r="AF366" s="245"/>
      <c r="AG366" s="245"/>
      <c r="AH366" s="245">
        <v>846</v>
      </c>
      <c r="AI366" s="245">
        <f t="shared" si="259"/>
        <v>846</v>
      </c>
      <c r="AJ366" s="245">
        <f t="shared" si="260"/>
        <v>3717</v>
      </c>
      <c r="AK366" s="245">
        <f t="shared" si="261"/>
        <v>3717</v>
      </c>
      <c r="AL366" s="245"/>
      <c r="AM366" s="245">
        <f>AE366-AJ366</f>
        <v>2514</v>
      </c>
      <c r="AN366" s="1469"/>
      <c r="AQ366" s="225"/>
      <c r="AR366" s="225"/>
      <c r="AS366" s="226"/>
      <c r="AU366" s="500" t="s">
        <v>2352</v>
      </c>
      <c r="AV366" s="321"/>
      <c r="AW366" s="1475"/>
      <c r="AY366" s="226"/>
      <c r="AZ366" s="226"/>
      <c r="BA366" s="285"/>
    </row>
    <row r="367" spans="1:258" s="224" customFormat="1" ht="47.25">
      <c r="A367" s="722"/>
      <c r="B367" s="1232" t="s">
        <v>2356</v>
      </c>
      <c r="C367" s="1474"/>
      <c r="D367" s="1474"/>
      <c r="E367" s="860"/>
      <c r="F367" s="860"/>
      <c r="G367" s="500" t="s">
        <v>327</v>
      </c>
      <c r="H367" s="500">
        <v>2018</v>
      </c>
      <c r="I367" s="728"/>
      <c r="J367" s="500">
        <v>2020</v>
      </c>
      <c r="K367" s="862"/>
      <c r="L367" s="862"/>
      <c r="M367" s="500" t="s">
        <v>2350</v>
      </c>
      <c r="N367" s="1203">
        <v>12965.618</v>
      </c>
      <c r="O367" s="730"/>
      <c r="P367" s="1203">
        <v>12965.618</v>
      </c>
      <c r="Q367" s="1203"/>
      <c r="R367" s="730"/>
      <c r="S367" s="1478"/>
      <c r="T367" s="1203">
        <f>1423+5543</f>
        <v>6966</v>
      </c>
      <c r="U367" s="1203">
        <v>1423</v>
      </c>
      <c r="V367" s="730"/>
      <c r="W367" s="730"/>
      <c r="X367" s="730"/>
      <c r="Y367" s="832"/>
      <c r="Z367" s="730"/>
      <c r="AA367" s="524"/>
      <c r="AB367" s="524"/>
      <c r="AC367" s="524"/>
      <c r="AD367" s="1203">
        <f>T367</f>
        <v>6966</v>
      </c>
      <c r="AE367" s="1203">
        <f>AD367</f>
        <v>6966</v>
      </c>
      <c r="AF367" s="1203">
        <v>1423</v>
      </c>
      <c r="AG367" s="245"/>
      <c r="AH367" s="245"/>
      <c r="AI367" s="1203">
        <v>1423</v>
      </c>
      <c r="AJ367" s="245">
        <f t="shared" ref="AJ367" si="262">AA367+AI367</f>
        <v>1423</v>
      </c>
      <c r="AK367" s="245">
        <f t="shared" ref="AK367" si="263">AC367+AI367</f>
        <v>1423</v>
      </c>
      <c r="AL367" s="245">
        <f>T367</f>
        <v>6966</v>
      </c>
      <c r="AM367" s="245">
        <f t="shared" ref="AM367" si="264">AE367-AI367</f>
        <v>5543</v>
      </c>
      <c r="AN367" s="1482" t="s">
        <v>2358</v>
      </c>
      <c r="AQ367" s="225"/>
      <c r="AR367" s="225"/>
      <c r="AS367" s="226"/>
      <c r="AU367" s="500" t="s">
        <v>2353</v>
      </c>
      <c r="AV367" s="321"/>
      <c r="AW367" s="1475"/>
      <c r="AY367" s="226"/>
      <c r="AZ367" s="226"/>
      <c r="BA367" s="285"/>
    </row>
    <row r="368" spans="1:258" s="224" customFormat="1" ht="63">
      <c r="A368" s="722"/>
      <c r="B368" s="1232" t="s">
        <v>2578</v>
      </c>
      <c r="C368" s="1474"/>
      <c r="D368" s="1474"/>
      <c r="E368" s="860"/>
      <c r="F368" s="860"/>
      <c r="G368" s="500" t="s">
        <v>327</v>
      </c>
      <c r="H368" s="500">
        <v>2020</v>
      </c>
      <c r="I368" s="728"/>
      <c r="J368" s="500">
        <v>2024</v>
      </c>
      <c r="K368" s="862"/>
      <c r="L368" s="862"/>
      <c r="M368" s="500" t="s">
        <v>2579</v>
      </c>
      <c r="N368" s="1203">
        <v>35686</v>
      </c>
      <c r="O368" s="730"/>
      <c r="P368" s="1203">
        <v>35686</v>
      </c>
      <c r="Q368" s="730"/>
      <c r="R368" s="730"/>
      <c r="S368" s="730"/>
      <c r="T368" s="1203">
        <v>5000</v>
      </c>
      <c r="U368" s="863"/>
      <c r="V368" s="730"/>
      <c r="W368" s="730"/>
      <c r="X368" s="730"/>
      <c r="Y368" s="832"/>
      <c r="Z368" s="730"/>
      <c r="AA368" s="524"/>
      <c r="AB368" s="524"/>
      <c r="AC368" s="524"/>
      <c r="AD368" s="1203">
        <f t="shared" ref="AD368:AD370" si="265">T368</f>
        <v>5000</v>
      </c>
      <c r="AE368" s="1203">
        <f t="shared" ref="AE368:AE370" si="266">AD368</f>
        <v>5000</v>
      </c>
      <c r="AF368" s="245"/>
      <c r="AG368" s="245"/>
      <c r="AH368" s="245"/>
      <c r="AI368" s="1203"/>
      <c r="AJ368" s="245">
        <f t="shared" ref="AJ368:AJ370" si="267">AA368+AI368</f>
        <v>0</v>
      </c>
      <c r="AK368" s="245">
        <f t="shared" ref="AK368:AK370" si="268">AC368+AI368</f>
        <v>0</v>
      </c>
      <c r="AL368" s="245">
        <f t="shared" ref="AL368:AL370" si="269">T368</f>
        <v>5000</v>
      </c>
      <c r="AM368" s="245">
        <f t="shared" ref="AM368:AM370" si="270">AE368-AI368</f>
        <v>5000</v>
      </c>
      <c r="AN368" s="1469"/>
      <c r="AQ368" s="225"/>
      <c r="AR368" s="225"/>
      <c r="AS368" s="226"/>
      <c r="AU368" s="500" t="s">
        <v>1142</v>
      </c>
      <c r="AV368" s="321"/>
      <c r="AW368" s="1475"/>
      <c r="AY368" s="226"/>
      <c r="AZ368" s="226"/>
      <c r="BA368" s="285"/>
    </row>
    <row r="369" spans="1:53" s="224" customFormat="1" ht="31.5">
      <c r="A369" s="722"/>
      <c r="B369" s="1232" t="s">
        <v>2348</v>
      </c>
      <c r="C369" s="1474"/>
      <c r="D369" s="1474"/>
      <c r="E369" s="860"/>
      <c r="F369" s="860"/>
      <c r="G369" s="500" t="s">
        <v>327</v>
      </c>
      <c r="H369" s="500">
        <v>2019</v>
      </c>
      <c r="I369" s="728"/>
      <c r="J369" s="500">
        <v>2020</v>
      </c>
      <c r="K369" s="862"/>
      <c r="L369" s="862"/>
      <c r="M369" s="500" t="s">
        <v>2351</v>
      </c>
      <c r="N369" s="1203">
        <v>7182.8760000000002</v>
      </c>
      <c r="O369" s="730"/>
      <c r="P369" s="1203">
        <v>7182.8760000000002</v>
      </c>
      <c r="Q369" s="730"/>
      <c r="R369" s="730"/>
      <c r="S369" s="730"/>
      <c r="T369" s="1203">
        <v>7183</v>
      </c>
      <c r="U369" s="863"/>
      <c r="V369" s="730"/>
      <c r="W369" s="730"/>
      <c r="X369" s="730"/>
      <c r="Y369" s="832"/>
      <c r="Z369" s="730"/>
      <c r="AA369" s="524"/>
      <c r="AB369" s="524"/>
      <c r="AC369" s="524"/>
      <c r="AD369" s="1203">
        <f t="shared" si="265"/>
        <v>7183</v>
      </c>
      <c r="AE369" s="1203">
        <f t="shared" si="266"/>
        <v>7183</v>
      </c>
      <c r="AF369" s="245"/>
      <c r="AG369" s="245"/>
      <c r="AH369" s="245"/>
      <c r="AI369" s="1203"/>
      <c r="AJ369" s="245">
        <f t="shared" si="267"/>
        <v>0</v>
      </c>
      <c r="AK369" s="245">
        <f t="shared" si="268"/>
        <v>0</v>
      </c>
      <c r="AL369" s="245">
        <f t="shared" si="269"/>
        <v>7183</v>
      </c>
      <c r="AM369" s="245">
        <f t="shared" si="270"/>
        <v>7183</v>
      </c>
      <c r="AN369" s="1469"/>
      <c r="AQ369" s="225"/>
      <c r="AR369" s="225"/>
      <c r="AS369" s="226"/>
      <c r="AU369" s="500" t="s">
        <v>2352</v>
      </c>
      <c r="AV369" s="321"/>
      <c r="AW369" s="1475"/>
      <c r="AY369" s="226"/>
      <c r="AZ369" s="226"/>
      <c r="BA369" s="285"/>
    </row>
    <row r="370" spans="1:53" s="224" customFormat="1" ht="31.5">
      <c r="A370" s="722"/>
      <c r="B370" s="1232" t="s">
        <v>2349</v>
      </c>
      <c r="C370" s="1474"/>
      <c r="D370" s="1474"/>
      <c r="E370" s="860"/>
      <c r="F370" s="860"/>
      <c r="G370" s="500" t="s">
        <v>327</v>
      </c>
      <c r="H370" s="500"/>
      <c r="I370" s="728"/>
      <c r="J370" s="500"/>
      <c r="K370" s="862"/>
      <c r="L370" s="862"/>
      <c r="M370" s="500"/>
      <c r="N370" s="1203"/>
      <c r="O370" s="730"/>
      <c r="P370" s="1203"/>
      <c r="Q370" s="730"/>
      <c r="R370" s="730"/>
      <c r="S370" s="730"/>
      <c r="T370" s="1203">
        <v>15000</v>
      </c>
      <c r="U370" s="863"/>
      <c r="V370" s="730"/>
      <c r="W370" s="730"/>
      <c r="X370" s="730"/>
      <c r="Y370" s="832"/>
      <c r="Z370" s="730"/>
      <c r="AA370" s="524"/>
      <c r="AB370" s="524"/>
      <c r="AC370" s="524"/>
      <c r="AD370" s="1203">
        <f t="shared" si="265"/>
        <v>15000</v>
      </c>
      <c r="AE370" s="1203">
        <f t="shared" si="266"/>
        <v>15000</v>
      </c>
      <c r="AF370" s="245"/>
      <c r="AG370" s="245"/>
      <c r="AH370" s="245"/>
      <c r="AI370" s="1203"/>
      <c r="AJ370" s="245">
        <f t="shared" si="267"/>
        <v>0</v>
      </c>
      <c r="AK370" s="245">
        <f t="shared" si="268"/>
        <v>0</v>
      </c>
      <c r="AL370" s="245">
        <f t="shared" si="269"/>
        <v>15000</v>
      </c>
      <c r="AM370" s="245">
        <f t="shared" si="270"/>
        <v>15000</v>
      </c>
      <c r="AN370" s="1469"/>
      <c r="AQ370" s="225"/>
      <c r="AR370" s="225"/>
      <c r="AS370" s="226"/>
      <c r="AU370" s="500" t="s">
        <v>1307</v>
      </c>
      <c r="AV370" s="321"/>
      <c r="AW370" s="1475"/>
      <c r="AY370" s="226"/>
      <c r="AZ370" s="226"/>
      <c r="BA370" s="285"/>
    </row>
    <row r="371" spans="1:53" s="224" customFormat="1" ht="24" customHeight="1">
      <c r="A371" s="218" t="s">
        <v>1340</v>
      </c>
      <c r="B371" s="219" t="s">
        <v>1341</v>
      </c>
      <c r="C371" s="220"/>
      <c r="D371" s="220"/>
      <c r="E371" s="218"/>
      <c r="F371" s="218"/>
      <c r="G371" s="220"/>
      <c r="H371" s="657"/>
      <c r="I371" s="657"/>
      <c r="J371" s="658"/>
      <c r="K371" s="658"/>
      <c r="L371" s="219"/>
      <c r="M371" s="218"/>
      <c r="N371" s="865"/>
      <c r="O371" s="865"/>
      <c r="P371" s="865"/>
      <c r="Q371" s="865"/>
      <c r="R371" s="865"/>
      <c r="S371" s="865"/>
      <c r="T371" s="556">
        <f>SUBTOTAL(109,T372:T393)</f>
        <v>590888</v>
      </c>
      <c r="U371" s="556">
        <f>SUBTOTAL(109,U372:U374)</f>
        <v>17948</v>
      </c>
      <c r="V371" s="556">
        <f t="shared" ref="V371:Y371" si="271">SUBTOTAL(109,V372:V374)</f>
        <v>10948</v>
      </c>
      <c r="W371" s="556">
        <f t="shared" si="271"/>
        <v>10948</v>
      </c>
      <c r="X371" s="556"/>
      <c r="Y371" s="556">
        <f t="shared" si="271"/>
        <v>0</v>
      </c>
      <c r="Z371" s="556">
        <f>SUBTOTAL(109,Z372:Z373)</f>
        <v>10948</v>
      </c>
      <c r="AA371" s="556">
        <f t="shared" ref="AA371:AC371" si="272">SUBTOTAL(109,AA372:AA373)</f>
        <v>30387</v>
      </c>
      <c r="AB371" s="556">
        <f t="shared" si="272"/>
        <v>19148</v>
      </c>
      <c r="AC371" s="556">
        <f t="shared" si="272"/>
        <v>16787</v>
      </c>
      <c r="AD371" s="556">
        <f>SUBTOTAL(109,AD372:AD373)</f>
        <v>23787</v>
      </c>
      <c r="AE371" s="556">
        <f>SUBTOTAL(109,AE372:AE373)</f>
        <v>7000</v>
      </c>
      <c r="AF371" s="556"/>
      <c r="AG371" s="245"/>
      <c r="AH371" s="245"/>
      <c r="AI371" s="245"/>
      <c r="AJ371" s="245"/>
      <c r="AK371" s="245"/>
      <c r="AL371" s="245"/>
      <c r="AM371" s="245"/>
      <c r="AN371" s="661"/>
      <c r="AQ371" s="225"/>
      <c r="AR371" s="225"/>
      <c r="AS371" s="226"/>
      <c r="AY371" s="226"/>
      <c r="AZ371" s="226"/>
      <c r="BA371" s="226"/>
    </row>
    <row r="372" spans="1:53" ht="51">
      <c r="A372" s="866">
        <v>2</v>
      </c>
      <c r="B372" s="867" t="s">
        <v>1342</v>
      </c>
      <c r="C372" s="867"/>
      <c r="D372" s="868"/>
      <c r="E372" s="869" t="s">
        <v>1166</v>
      </c>
      <c r="F372" s="870" t="s">
        <v>1167</v>
      </c>
      <c r="G372" s="871" t="s">
        <v>401</v>
      </c>
      <c r="H372" s="872">
        <v>2015</v>
      </c>
      <c r="I372" s="872"/>
      <c r="J372" s="872">
        <v>2017</v>
      </c>
      <c r="K372" s="872"/>
      <c r="L372" s="872"/>
      <c r="M372" s="873" t="s">
        <v>1343</v>
      </c>
      <c r="N372" s="668">
        <v>23728</v>
      </c>
      <c r="O372" s="668">
        <v>0</v>
      </c>
      <c r="P372" s="668">
        <v>8728</v>
      </c>
      <c r="Q372" s="730">
        <f>8200+2823+3145+1314+2255</f>
        <v>17737</v>
      </c>
      <c r="R372" s="730">
        <v>8200</v>
      </c>
      <c r="S372" s="730">
        <f>2823+1314</f>
        <v>4137</v>
      </c>
      <c r="T372" s="668">
        <v>7855</v>
      </c>
      <c r="U372" s="668">
        <v>3718</v>
      </c>
      <c r="V372" s="245">
        <v>3718</v>
      </c>
      <c r="W372" s="245">
        <v>3718</v>
      </c>
      <c r="X372" s="245">
        <v>100</v>
      </c>
      <c r="Y372" s="669"/>
      <c r="Z372" s="245">
        <f t="shared" ref="Z372:Z435" si="273">V372+Y372</f>
        <v>3718</v>
      </c>
      <c r="AA372" s="244">
        <f t="shared" ref="AA372:AC373" si="274">Q372+$Z372</f>
        <v>21455</v>
      </c>
      <c r="AB372" s="244">
        <f t="shared" si="274"/>
        <v>11918</v>
      </c>
      <c r="AC372" s="244">
        <f t="shared" si="274"/>
        <v>7855</v>
      </c>
      <c r="AD372" s="244">
        <f>T372</f>
        <v>7855</v>
      </c>
      <c r="AE372" s="244">
        <f>U372-Z372</f>
        <v>0</v>
      </c>
      <c r="AF372" s="669"/>
      <c r="AG372" s="245"/>
      <c r="AH372" s="245"/>
      <c r="AI372" s="245"/>
      <c r="AJ372" s="245"/>
      <c r="AK372" s="245"/>
      <c r="AL372" s="245"/>
      <c r="AM372" s="245"/>
      <c r="AN372" s="874" t="s">
        <v>1208</v>
      </c>
      <c r="AQ372" s="215"/>
      <c r="AR372" s="215"/>
      <c r="AS372" s="216"/>
      <c r="AY372" s="216"/>
      <c r="AZ372" s="216"/>
      <c r="BA372" s="216"/>
    </row>
    <row r="373" spans="1:53" ht="30.75" customHeight="1">
      <c r="A373" s="866">
        <v>3</v>
      </c>
      <c r="B373" s="874" t="s">
        <v>1344</v>
      </c>
      <c r="C373" s="874"/>
      <c r="D373" s="874"/>
      <c r="E373" s="875" t="s">
        <v>1345</v>
      </c>
      <c r="F373" s="870" t="s">
        <v>1167</v>
      </c>
      <c r="G373" s="875" t="s">
        <v>327</v>
      </c>
      <c r="H373" s="876" t="s">
        <v>1229</v>
      </c>
      <c r="I373" s="876"/>
      <c r="J373" s="877" t="s">
        <v>1229</v>
      </c>
      <c r="K373" s="877"/>
      <c r="L373" s="877"/>
      <c r="M373" s="878"/>
      <c r="N373" s="668">
        <v>17702</v>
      </c>
      <c r="O373" s="668">
        <v>0</v>
      </c>
      <c r="P373" s="668">
        <v>17702</v>
      </c>
      <c r="Q373" s="668">
        <v>1702</v>
      </c>
      <c r="R373" s="668">
        <v>0</v>
      </c>
      <c r="S373" s="668">
        <v>1702</v>
      </c>
      <c r="T373" s="668">
        <v>15932</v>
      </c>
      <c r="U373" s="668">
        <v>14230</v>
      </c>
      <c r="V373" s="245">
        <v>7230</v>
      </c>
      <c r="W373" s="245">
        <v>7230</v>
      </c>
      <c r="X373" s="245">
        <v>50.808151791988756</v>
      </c>
      <c r="Y373" s="669"/>
      <c r="Z373" s="245">
        <f t="shared" si="273"/>
        <v>7230</v>
      </c>
      <c r="AA373" s="244">
        <f t="shared" si="274"/>
        <v>8932</v>
      </c>
      <c r="AB373" s="244">
        <f t="shared" si="274"/>
        <v>7230</v>
      </c>
      <c r="AC373" s="244">
        <f t="shared" si="274"/>
        <v>8932</v>
      </c>
      <c r="AD373" s="244">
        <f>T373</f>
        <v>15932</v>
      </c>
      <c r="AE373" s="244">
        <f>U373-Z373</f>
        <v>7000</v>
      </c>
      <c r="AF373" s="245">
        <v>7000</v>
      </c>
      <c r="AG373" s="245">
        <f t="shared" ref="AG373" si="275">AF373/AE373*100</f>
        <v>100</v>
      </c>
      <c r="AH373" s="245"/>
      <c r="AI373" s="245">
        <f t="shared" ref="AI373" si="276">AF373+AH373</f>
        <v>7000</v>
      </c>
      <c r="AJ373" s="245">
        <f t="shared" ref="AJ373" si="277">AA373+AI373</f>
        <v>15932</v>
      </c>
      <c r="AK373" s="245">
        <f t="shared" ref="AK373" si="278">AC373+AI373</f>
        <v>15932</v>
      </c>
      <c r="AL373" s="245">
        <f>T373</f>
        <v>15932</v>
      </c>
      <c r="AM373" s="245">
        <f t="shared" ref="AM373" si="279">AE373-AI373</f>
        <v>0</v>
      </c>
      <c r="AN373" s="879"/>
      <c r="AQ373" s="215"/>
      <c r="AR373" s="215"/>
      <c r="AS373" s="216"/>
      <c r="AY373" s="216"/>
      <c r="AZ373" s="216"/>
      <c r="BA373" s="216"/>
    </row>
    <row r="374" spans="1:53" s="224" customFormat="1">
      <c r="A374" s="218" t="s">
        <v>1346</v>
      </c>
      <c r="B374" s="219" t="s">
        <v>1347</v>
      </c>
      <c r="C374" s="220"/>
      <c r="D374" s="220"/>
      <c r="E374" s="218"/>
      <c r="F374" s="218"/>
      <c r="G374" s="220"/>
      <c r="H374" s="657"/>
      <c r="I374" s="657"/>
      <c r="J374" s="658"/>
      <c r="K374" s="658"/>
      <c r="L374" s="219"/>
      <c r="M374" s="218"/>
      <c r="N374" s="865">
        <f t="shared" ref="N374:AC374" si="280">SUBTOTAL(9,N375:N383)</f>
        <v>1376678</v>
      </c>
      <c r="O374" s="865">
        <f t="shared" si="280"/>
        <v>835704</v>
      </c>
      <c r="P374" s="865">
        <f t="shared" si="280"/>
        <v>753678</v>
      </c>
      <c r="Q374" s="865">
        <f t="shared" si="280"/>
        <v>375858</v>
      </c>
      <c r="R374" s="865">
        <f t="shared" si="280"/>
        <v>154000</v>
      </c>
      <c r="S374" s="865">
        <f t="shared" si="280"/>
        <v>86510</v>
      </c>
      <c r="T374" s="865">
        <f t="shared" si="280"/>
        <v>497702</v>
      </c>
      <c r="U374" s="865">
        <f t="shared" si="280"/>
        <v>447102</v>
      </c>
      <c r="V374" s="865">
        <f t="shared" si="280"/>
        <v>110000</v>
      </c>
      <c r="W374" s="865">
        <f t="shared" si="280"/>
        <v>110000</v>
      </c>
      <c r="X374" s="865">
        <f t="shared" si="280"/>
        <v>0</v>
      </c>
      <c r="Y374" s="865">
        <f t="shared" si="280"/>
        <v>0</v>
      </c>
      <c r="Z374" s="865">
        <f t="shared" si="280"/>
        <v>110000</v>
      </c>
      <c r="AA374" s="865">
        <f t="shared" si="280"/>
        <v>485858</v>
      </c>
      <c r="AB374" s="865">
        <f t="shared" si="280"/>
        <v>264000</v>
      </c>
      <c r="AC374" s="865">
        <f t="shared" si="280"/>
        <v>196510</v>
      </c>
      <c r="AD374" s="865">
        <f>SUBTOTAL(9,AD375:AD383)</f>
        <v>497702</v>
      </c>
      <c r="AE374" s="865">
        <f>SUBTOTAL(9,AE375:AE383)</f>
        <v>337102</v>
      </c>
      <c r="AF374" s="880"/>
      <c r="AG374" s="245"/>
      <c r="AH374" s="245"/>
      <c r="AI374" s="245"/>
      <c r="AJ374" s="245"/>
      <c r="AK374" s="245"/>
      <c r="AL374" s="245"/>
      <c r="AM374" s="245"/>
      <c r="AN374" s="661">
        <v>95000</v>
      </c>
      <c r="AO374" s="707">
        <f>W374-AN374</f>
        <v>15000</v>
      </c>
      <c r="AQ374" s="225"/>
      <c r="AR374" s="225"/>
      <c r="AS374" s="226"/>
      <c r="AY374" s="226"/>
      <c r="AZ374" s="226"/>
      <c r="BA374" s="226"/>
    </row>
    <row r="375" spans="1:53" s="256" customFormat="1" ht="63.75">
      <c r="A375" s="248">
        <v>1</v>
      </c>
      <c r="B375" s="338" t="s">
        <v>1348</v>
      </c>
      <c r="C375" s="338"/>
      <c r="D375" s="338"/>
      <c r="E375" s="820" t="s">
        <v>1349</v>
      </c>
      <c r="F375" s="665" t="s">
        <v>1167</v>
      </c>
      <c r="G375" s="252" t="s">
        <v>333</v>
      </c>
      <c r="H375" s="253">
        <v>2013</v>
      </c>
      <c r="I375" s="253">
        <v>2013</v>
      </c>
      <c r="J375" s="253">
        <v>2019</v>
      </c>
      <c r="K375" s="253">
        <v>2018</v>
      </c>
      <c r="L375" s="253"/>
      <c r="M375" s="881" t="s">
        <v>1350</v>
      </c>
      <c r="N375" s="337">
        <v>391940</v>
      </c>
      <c r="O375" s="337">
        <v>265000</v>
      </c>
      <c r="P375" s="337">
        <v>126940</v>
      </c>
      <c r="Q375" s="526">
        <v>206858</v>
      </c>
      <c r="R375" s="337">
        <v>0</v>
      </c>
      <c r="S375" s="337">
        <v>71510</v>
      </c>
      <c r="T375" s="337">
        <v>78336</v>
      </c>
      <c r="U375" s="337">
        <v>42736</v>
      </c>
      <c r="V375" s="245">
        <v>20000</v>
      </c>
      <c r="W375" s="245">
        <v>20000</v>
      </c>
      <c r="X375" s="245">
        <v>0</v>
      </c>
      <c r="Y375" s="341"/>
      <c r="Z375" s="245">
        <f t="shared" si="273"/>
        <v>20000</v>
      </c>
      <c r="AA375" s="244">
        <f t="shared" ref="AA375:AA383" si="281">Q375+$Z375</f>
        <v>226858</v>
      </c>
      <c r="AB375" s="244">
        <f t="shared" ref="AB375:AB383" si="282">R375+$Z375</f>
        <v>20000</v>
      </c>
      <c r="AC375" s="244">
        <f t="shared" ref="AC375:AC383" si="283">S375+$Z375</f>
        <v>91510</v>
      </c>
      <c r="AD375" s="244">
        <f t="shared" ref="AD375:AD383" si="284">T375</f>
        <v>78336</v>
      </c>
      <c r="AE375" s="244">
        <f t="shared" ref="AE375:AE383" si="285">U375-Z375</f>
        <v>22736</v>
      </c>
      <c r="AF375" s="245">
        <v>11368</v>
      </c>
      <c r="AG375" s="245">
        <f t="shared" ref="AG375:AG383" si="286">AF375/AE375*100</f>
        <v>50</v>
      </c>
      <c r="AH375" s="245"/>
      <c r="AI375" s="245">
        <f t="shared" ref="AI375:AI380" si="287">AF375+AH375</f>
        <v>11368</v>
      </c>
      <c r="AJ375" s="245">
        <f t="shared" ref="AJ375:AJ380" si="288">AA375+AI375</f>
        <v>238226</v>
      </c>
      <c r="AK375" s="245">
        <f t="shared" ref="AK375:AK380" si="289">AC375+AI375</f>
        <v>102878</v>
      </c>
      <c r="AL375" s="245">
        <f t="shared" ref="AL375:AL380" si="290">T375</f>
        <v>78336</v>
      </c>
      <c r="AM375" s="245">
        <f t="shared" ref="AM375:AM380" si="291">AE375-AI375</f>
        <v>11368</v>
      </c>
      <c r="AN375" s="882" t="s">
        <v>1351</v>
      </c>
      <c r="AQ375" s="257"/>
      <c r="AR375" s="257"/>
      <c r="AS375" s="258"/>
      <c r="AU375" s="247" t="s">
        <v>1352</v>
      </c>
      <c r="AY375" s="258"/>
      <c r="AZ375" s="258"/>
      <c r="BA375" s="258"/>
    </row>
    <row r="376" spans="1:53" s="256" customFormat="1" ht="31.5">
      <c r="A376" s="248">
        <v>2</v>
      </c>
      <c r="B376" s="338" t="s">
        <v>1353</v>
      </c>
      <c r="C376" s="338"/>
      <c r="D376" s="338"/>
      <c r="E376" s="820" t="s">
        <v>1349</v>
      </c>
      <c r="F376" s="665" t="s">
        <v>1167</v>
      </c>
      <c r="G376" s="252" t="s">
        <v>333</v>
      </c>
      <c r="H376" s="253">
        <v>2015</v>
      </c>
      <c r="I376" s="253">
        <v>2015</v>
      </c>
      <c r="J376" s="253">
        <v>2019</v>
      </c>
      <c r="K376" s="253" t="s">
        <v>328</v>
      </c>
      <c r="L376" s="253"/>
      <c r="M376" s="883" t="s">
        <v>1354</v>
      </c>
      <c r="N376" s="337">
        <v>220272</v>
      </c>
      <c r="O376" s="337">
        <v>120000</v>
      </c>
      <c r="P376" s="337">
        <v>100272</v>
      </c>
      <c r="Q376" s="337">
        <v>70000</v>
      </c>
      <c r="R376" s="337">
        <v>55000</v>
      </c>
      <c r="S376" s="337">
        <v>15000</v>
      </c>
      <c r="T376" s="337">
        <v>90245</v>
      </c>
      <c r="U376" s="337">
        <v>75245</v>
      </c>
      <c r="V376" s="245">
        <v>20000</v>
      </c>
      <c r="W376" s="245">
        <v>20000</v>
      </c>
      <c r="X376" s="245">
        <v>0</v>
      </c>
      <c r="Y376" s="341"/>
      <c r="Z376" s="245">
        <f t="shared" si="273"/>
        <v>20000</v>
      </c>
      <c r="AA376" s="244">
        <f t="shared" si="281"/>
        <v>90000</v>
      </c>
      <c r="AB376" s="244">
        <f t="shared" si="282"/>
        <v>75000</v>
      </c>
      <c r="AC376" s="244">
        <f t="shared" si="283"/>
        <v>35000</v>
      </c>
      <c r="AD376" s="244">
        <f t="shared" si="284"/>
        <v>90245</v>
      </c>
      <c r="AE376" s="244">
        <f t="shared" si="285"/>
        <v>55245</v>
      </c>
      <c r="AF376" s="245">
        <v>27622.5</v>
      </c>
      <c r="AG376" s="245">
        <f t="shared" si="286"/>
        <v>50</v>
      </c>
      <c r="AH376" s="245"/>
      <c r="AI376" s="245">
        <f t="shared" si="287"/>
        <v>27622.5</v>
      </c>
      <c r="AJ376" s="245">
        <f t="shared" si="288"/>
        <v>117622.5</v>
      </c>
      <c r="AK376" s="245">
        <f t="shared" si="289"/>
        <v>62622.5</v>
      </c>
      <c r="AL376" s="245">
        <f t="shared" si="290"/>
        <v>90245</v>
      </c>
      <c r="AM376" s="245">
        <f t="shared" si="291"/>
        <v>27622.5</v>
      </c>
      <c r="AN376" s="882"/>
      <c r="AQ376" s="257"/>
      <c r="AR376" s="257"/>
      <c r="AS376" s="258"/>
      <c r="AU376" s="247" t="s">
        <v>1355</v>
      </c>
      <c r="AY376" s="258"/>
      <c r="AZ376" s="258"/>
      <c r="BA376" s="258"/>
    </row>
    <row r="377" spans="1:53" s="256" customFormat="1" ht="38.25">
      <c r="A377" s="248">
        <v>3</v>
      </c>
      <c r="B377" s="684" t="s">
        <v>1356</v>
      </c>
      <c r="C377" s="684"/>
      <c r="D377" s="684"/>
      <c r="E377" s="820" t="s">
        <v>1349</v>
      </c>
      <c r="F377" s="665" t="s">
        <v>1167</v>
      </c>
      <c r="G377" s="764" t="s">
        <v>435</v>
      </c>
      <c r="H377" s="253">
        <v>2015</v>
      </c>
      <c r="I377" s="253">
        <v>2015</v>
      </c>
      <c r="J377" s="253">
        <v>2019</v>
      </c>
      <c r="K377" s="253" t="s">
        <v>328</v>
      </c>
      <c r="L377" s="253"/>
      <c r="M377" s="271" t="s">
        <v>1357</v>
      </c>
      <c r="N377" s="337">
        <v>80874</v>
      </c>
      <c r="O377" s="337">
        <v>50000</v>
      </c>
      <c r="P377" s="337">
        <v>30874</v>
      </c>
      <c r="Q377" s="337">
        <v>45000</v>
      </c>
      <c r="R377" s="337">
        <v>45000</v>
      </c>
      <c r="S377" s="337">
        <v>0</v>
      </c>
      <c r="T377" s="337">
        <v>27787</v>
      </c>
      <c r="U377" s="337">
        <v>27787</v>
      </c>
      <c r="V377" s="245">
        <v>15000</v>
      </c>
      <c r="W377" s="245">
        <v>15000</v>
      </c>
      <c r="X377" s="245">
        <v>0</v>
      </c>
      <c r="Y377" s="341"/>
      <c r="Z377" s="245">
        <f t="shared" si="273"/>
        <v>15000</v>
      </c>
      <c r="AA377" s="244">
        <f t="shared" si="281"/>
        <v>60000</v>
      </c>
      <c r="AB377" s="244">
        <f t="shared" si="282"/>
        <v>60000</v>
      </c>
      <c r="AC377" s="244">
        <f t="shared" si="283"/>
        <v>15000</v>
      </c>
      <c r="AD377" s="244">
        <f t="shared" si="284"/>
        <v>27787</v>
      </c>
      <c r="AE377" s="244">
        <f t="shared" si="285"/>
        <v>12787</v>
      </c>
      <c r="AF377" s="245">
        <v>6393.5</v>
      </c>
      <c r="AG377" s="245">
        <f t="shared" si="286"/>
        <v>50</v>
      </c>
      <c r="AH377" s="245"/>
      <c r="AI377" s="245">
        <f t="shared" si="287"/>
        <v>6393.5</v>
      </c>
      <c r="AJ377" s="245">
        <f t="shared" si="288"/>
        <v>66393.5</v>
      </c>
      <c r="AK377" s="245">
        <f t="shared" si="289"/>
        <v>21393.5</v>
      </c>
      <c r="AL377" s="245">
        <f t="shared" si="290"/>
        <v>27787</v>
      </c>
      <c r="AM377" s="245">
        <f t="shared" si="291"/>
        <v>6393.5</v>
      </c>
      <c r="AN377" s="882"/>
      <c r="AQ377" s="257"/>
      <c r="AR377" s="257"/>
      <c r="AS377" s="258"/>
      <c r="AU377" s="247" t="s">
        <v>1358</v>
      </c>
      <c r="AY377" s="258"/>
      <c r="AZ377" s="258"/>
      <c r="BA377" s="258"/>
    </row>
    <row r="378" spans="1:53" s="256" customFormat="1" ht="38.25">
      <c r="A378" s="248">
        <v>4</v>
      </c>
      <c r="B378" s="684" t="s">
        <v>1359</v>
      </c>
      <c r="C378" s="684"/>
      <c r="D378" s="684"/>
      <c r="E378" s="820" t="s">
        <v>1349</v>
      </c>
      <c r="F378" s="665" t="s">
        <v>1167</v>
      </c>
      <c r="G378" s="764" t="s">
        <v>435</v>
      </c>
      <c r="H378" s="253">
        <v>2015</v>
      </c>
      <c r="I378" s="253">
        <v>2015</v>
      </c>
      <c r="J378" s="253">
        <v>2019</v>
      </c>
      <c r="K378" s="253" t="s">
        <v>328</v>
      </c>
      <c r="L378" s="253"/>
      <c r="M378" s="271" t="s">
        <v>1360</v>
      </c>
      <c r="N378" s="337">
        <v>101278</v>
      </c>
      <c r="O378" s="337">
        <v>60000</v>
      </c>
      <c r="P378" s="337">
        <v>41278</v>
      </c>
      <c r="Q378" s="337">
        <v>54000</v>
      </c>
      <c r="R378" s="337">
        <v>54000</v>
      </c>
      <c r="S378" s="337">
        <v>0</v>
      </c>
      <c r="T378" s="337">
        <v>37150</v>
      </c>
      <c r="U378" s="337">
        <v>37150</v>
      </c>
      <c r="V378" s="245">
        <v>15000</v>
      </c>
      <c r="W378" s="245">
        <v>15000</v>
      </c>
      <c r="X378" s="245">
        <v>0</v>
      </c>
      <c r="Y378" s="341"/>
      <c r="Z378" s="245">
        <f t="shared" si="273"/>
        <v>15000</v>
      </c>
      <c r="AA378" s="244">
        <f t="shared" si="281"/>
        <v>69000</v>
      </c>
      <c r="AB378" s="244">
        <f t="shared" si="282"/>
        <v>69000</v>
      </c>
      <c r="AC378" s="244">
        <f t="shared" si="283"/>
        <v>15000</v>
      </c>
      <c r="AD378" s="244">
        <f t="shared" si="284"/>
        <v>37150</v>
      </c>
      <c r="AE378" s="244">
        <f t="shared" si="285"/>
        <v>22150</v>
      </c>
      <c r="AF378" s="245">
        <v>11075</v>
      </c>
      <c r="AG378" s="245">
        <f t="shared" si="286"/>
        <v>50</v>
      </c>
      <c r="AH378" s="245"/>
      <c r="AI378" s="245">
        <f t="shared" si="287"/>
        <v>11075</v>
      </c>
      <c r="AJ378" s="245">
        <f t="shared" si="288"/>
        <v>80075</v>
      </c>
      <c r="AK378" s="245">
        <f t="shared" si="289"/>
        <v>26075</v>
      </c>
      <c r="AL378" s="245">
        <f t="shared" si="290"/>
        <v>37150</v>
      </c>
      <c r="AM378" s="245">
        <f t="shared" si="291"/>
        <v>11075</v>
      </c>
      <c r="AN378" s="882"/>
      <c r="AQ378" s="257"/>
      <c r="AR378" s="257"/>
      <c r="AS378" s="258"/>
      <c r="AU378" s="247" t="s">
        <v>1307</v>
      </c>
      <c r="AY378" s="258"/>
      <c r="AZ378" s="258"/>
      <c r="BA378" s="258"/>
    </row>
    <row r="379" spans="1:53" s="256" customFormat="1" ht="31.5">
      <c r="A379" s="248">
        <v>5</v>
      </c>
      <c r="B379" s="684" t="s">
        <v>1361</v>
      </c>
      <c r="C379" s="684"/>
      <c r="D379" s="684"/>
      <c r="E379" s="820" t="s">
        <v>1349</v>
      </c>
      <c r="F379" s="251" t="s">
        <v>326</v>
      </c>
      <c r="G379" s="252" t="s">
        <v>333</v>
      </c>
      <c r="H379" s="253">
        <v>2016</v>
      </c>
      <c r="I379" s="253">
        <v>2016</v>
      </c>
      <c r="J379" s="253">
        <v>2018</v>
      </c>
      <c r="K379" s="253" t="s">
        <v>328</v>
      </c>
      <c r="L379" s="253"/>
      <c r="M379" s="883" t="s">
        <v>1362</v>
      </c>
      <c r="N379" s="337">
        <v>106904</v>
      </c>
      <c r="O379" s="337">
        <v>91904</v>
      </c>
      <c r="P379" s="337">
        <v>106904</v>
      </c>
      <c r="Q379" s="337">
        <v>0</v>
      </c>
      <c r="R379" s="337">
        <v>0</v>
      </c>
      <c r="S379" s="337">
        <v>0</v>
      </c>
      <c r="T379" s="337">
        <f>15000+28000</f>
        <v>43000</v>
      </c>
      <c r="U379" s="337">
        <f>T379</f>
        <v>43000</v>
      </c>
      <c r="V379" s="245">
        <v>15000</v>
      </c>
      <c r="W379" s="245">
        <v>15000</v>
      </c>
      <c r="X379" s="245">
        <v>0</v>
      </c>
      <c r="Y379" s="341"/>
      <c r="Z379" s="245">
        <f t="shared" si="273"/>
        <v>15000</v>
      </c>
      <c r="AA379" s="244">
        <f t="shared" si="281"/>
        <v>15000</v>
      </c>
      <c r="AB379" s="244">
        <f t="shared" si="282"/>
        <v>15000</v>
      </c>
      <c r="AC379" s="244">
        <f t="shared" si="283"/>
        <v>15000</v>
      </c>
      <c r="AD379" s="244">
        <f t="shared" si="284"/>
        <v>43000</v>
      </c>
      <c r="AE379" s="244">
        <f t="shared" si="285"/>
        <v>28000</v>
      </c>
      <c r="AF379" s="245">
        <v>28000</v>
      </c>
      <c r="AG379" s="245">
        <f t="shared" si="286"/>
        <v>100</v>
      </c>
      <c r="AH379" s="245"/>
      <c r="AI379" s="245">
        <f t="shared" si="287"/>
        <v>28000</v>
      </c>
      <c r="AJ379" s="245">
        <f t="shared" si="288"/>
        <v>43000</v>
      </c>
      <c r="AK379" s="245">
        <f t="shared" si="289"/>
        <v>43000</v>
      </c>
      <c r="AL379" s="245">
        <f t="shared" si="290"/>
        <v>43000</v>
      </c>
      <c r="AM379" s="245">
        <f t="shared" si="291"/>
        <v>0</v>
      </c>
      <c r="AN379" s="884"/>
      <c r="AQ379" s="257"/>
      <c r="AR379" s="257"/>
      <c r="AS379" s="258"/>
      <c r="AU379" s="247" t="s">
        <v>1363</v>
      </c>
      <c r="AY379" s="258"/>
      <c r="AZ379" s="258"/>
      <c r="BA379" s="258"/>
    </row>
    <row r="380" spans="1:53" s="256" customFormat="1" ht="31.5">
      <c r="A380" s="248">
        <v>6</v>
      </c>
      <c r="B380" s="684" t="s">
        <v>1364</v>
      </c>
      <c r="C380" s="684"/>
      <c r="D380" s="684"/>
      <c r="E380" s="820" t="s">
        <v>1349</v>
      </c>
      <c r="F380" s="251" t="s">
        <v>326</v>
      </c>
      <c r="G380" s="252" t="s">
        <v>333</v>
      </c>
      <c r="H380" s="253">
        <v>2016</v>
      </c>
      <c r="I380" s="253">
        <v>2016</v>
      </c>
      <c r="J380" s="253">
        <v>2018</v>
      </c>
      <c r="K380" s="253" t="s">
        <v>328</v>
      </c>
      <c r="L380" s="253"/>
      <c r="M380" s="883" t="s">
        <v>1365</v>
      </c>
      <c r="N380" s="337">
        <v>150000</v>
      </c>
      <c r="O380" s="337">
        <v>135000</v>
      </c>
      <c r="P380" s="337">
        <v>150000</v>
      </c>
      <c r="Q380" s="337">
        <v>0</v>
      </c>
      <c r="R380" s="337">
        <v>0</v>
      </c>
      <c r="S380" s="337">
        <v>0</v>
      </c>
      <c r="T380" s="337">
        <f>15000+('[4]Tien dat 2019'!N20+'[4]Tien dat 2019'!N22+'[4]Tien dat 2019'!N27-28000)</f>
        <v>43515</v>
      </c>
      <c r="U380" s="337">
        <f>T380</f>
        <v>43515</v>
      </c>
      <c r="V380" s="245">
        <v>15000</v>
      </c>
      <c r="W380" s="245">
        <v>15000</v>
      </c>
      <c r="X380" s="245">
        <v>0</v>
      </c>
      <c r="Y380" s="341"/>
      <c r="Z380" s="245">
        <f t="shared" si="273"/>
        <v>15000</v>
      </c>
      <c r="AA380" s="244">
        <f t="shared" si="281"/>
        <v>15000</v>
      </c>
      <c r="AB380" s="244">
        <f t="shared" si="282"/>
        <v>15000</v>
      </c>
      <c r="AC380" s="244">
        <f t="shared" si="283"/>
        <v>15000</v>
      </c>
      <c r="AD380" s="244">
        <f t="shared" si="284"/>
        <v>43515</v>
      </c>
      <c r="AE380" s="244">
        <f t="shared" si="285"/>
        <v>28515</v>
      </c>
      <c r="AF380" s="245">
        <v>28515</v>
      </c>
      <c r="AG380" s="245">
        <f t="shared" si="286"/>
        <v>100</v>
      </c>
      <c r="AH380" s="245"/>
      <c r="AI380" s="245">
        <f t="shared" si="287"/>
        <v>28515</v>
      </c>
      <c r="AJ380" s="245">
        <f t="shared" si="288"/>
        <v>43515</v>
      </c>
      <c r="AK380" s="245">
        <f t="shared" si="289"/>
        <v>43515</v>
      </c>
      <c r="AL380" s="245">
        <f t="shared" si="290"/>
        <v>43515</v>
      </c>
      <c r="AM380" s="245">
        <f t="shared" si="291"/>
        <v>0</v>
      </c>
      <c r="AN380" s="884"/>
      <c r="AQ380" s="257"/>
      <c r="AR380" s="257"/>
      <c r="AS380" s="258"/>
      <c r="AU380" s="247" t="s">
        <v>1366</v>
      </c>
      <c r="AY380" s="258"/>
      <c r="AZ380" s="258"/>
      <c r="BA380" s="258"/>
    </row>
    <row r="381" spans="1:53">
      <c r="A381" s="237">
        <v>7</v>
      </c>
      <c r="B381" s="684" t="s">
        <v>1367</v>
      </c>
      <c r="C381" s="885"/>
      <c r="D381" s="886"/>
      <c r="E381" s="577"/>
      <c r="F381" s="577"/>
      <c r="G381" s="241" t="s">
        <v>333</v>
      </c>
      <c r="H381" s="242">
        <v>2017</v>
      </c>
      <c r="I381" s="242">
        <v>2017</v>
      </c>
      <c r="J381" s="242">
        <v>2018</v>
      </c>
      <c r="K381" s="887"/>
      <c r="L381" s="887"/>
      <c r="M381" s="888"/>
      <c r="N381" s="582">
        <v>128000</v>
      </c>
      <c r="O381" s="577"/>
      <c r="P381" s="577"/>
      <c r="Q381" s="577"/>
      <c r="R381" s="577"/>
      <c r="S381" s="577"/>
      <c r="T381" s="245"/>
      <c r="U381" s="245"/>
      <c r="V381" s="245">
        <v>10000</v>
      </c>
      <c r="W381" s="245">
        <v>10000</v>
      </c>
      <c r="X381" s="245">
        <v>0</v>
      </c>
      <c r="Y381" s="245">
        <f>-10000</f>
        <v>-10000</v>
      </c>
      <c r="Z381" s="245">
        <f t="shared" si="273"/>
        <v>0</v>
      </c>
      <c r="AA381" s="244">
        <f t="shared" si="281"/>
        <v>0</v>
      </c>
      <c r="AB381" s="244">
        <f t="shared" si="282"/>
        <v>0</v>
      </c>
      <c r="AC381" s="244">
        <f t="shared" si="283"/>
        <v>0</v>
      </c>
      <c r="AD381" s="244">
        <f t="shared" si="284"/>
        <v>0</v>
      </c>
      <c r="AE381" s="245">
        <f t="shared" si="285"/>
        <v>0</v>
      </c>
      <c r="AF381" s="889"/>
      <c r="AG381" s="245"/>
      <c r="AH381" s="245"/>
      <c r="AI381" s="245"/>
      <c r="AJ381" s="245"/>
      <c r="AK381" s="245"/>
      <c r="AL381" s="245"/>
      <c r="AM381" s="245"/>
      <c r="AN381" s="577"/>
      <c r="AQ381" s="215"/>
      <c r="AR381" s="215"/>
      <c r="AS381" s="216"/>
      <c r="AY381" s="216"/>
      <c r="AZ381" s="216"/>
      <c r="BA381" s="216"/>
    </row>
    <row r="382" spans="1:53" ht="52.5" customHeight="1">
      <c r="A382" s="890" t="s">
        <v>169</v>
      </c>
      <c r="B382" s="684" t="s">
        <v>1368</v>
      </c>
      <c r="C382" s="891"/>
      <c r="D382" s="892"/>
      <c r="E382" s="577"/>
      <c r="F382" s="577"/>
      <c r="G382" s="241" t="s">
        <v>333</v>
      </c>
      <c r="H382" s="242">
        <v>2019</v>
      </c>
      <c r="I382" s="242"/>
      <c r="J382" s="242">
        <v>2020</v>
      </c>
      <c r="K382" s="887"/>
      <c r="L382" s="887"/>
      <c r="M382" s="883" t="s">
        <v>2600</v>
      </c>
      <c r="N382" s="582">
        <v>113800</v>
      </c>
      <c r="O382" s="582">
        <v>113800</v>
      </c>
      <c r="P382" s="582">
        <v>113800</v>
      </c>
      <c r="Q382" s="577"/>
      <c r="R382" s="577"/>
      <c r="S382" s="577"/>
      <c r="T382" s="582">
        <f>P382*0.9</f>
        <v>102420</v>
      </c>
      <c r="U382" s="582">
        <f>T382</f>
        <v>102420</v>
      </c>
      <c r="V382" s="245"/>
      <c r="W382" s="245"/>
      <c r="X382" s="245"/>
      <c r="Y382" s="582">
        <v>3000</v>
      </c>
      <c r="Z382" s="245">
        <f t="shared" si="273"/>
        <v>3000</v>
      </c>
      <c r="AA382" s="244">
        <f t="shared" si="281"/>
        <v>3000</v>
      </c>
      <c r="AB382" s="244">
        <f t="shared" si="282"/>
        <v>3000</v>
      </c>
      <c r="AC382" s="244">
        <f t="shared" si="283"/>
        <v>3000</v>
      </c>
      <c r="AD382" s="244">
        <f t="shared" si="284"/>
        <v>102420</v>
      </c>
      <c r="AE382" s="244">
        <f t="shared" si="285"/>
        <v>99420</v>
      </c>
      <c r="AF382" s="245">
        <v>18000</v>
      </c>
      <c r="AG382" s="245">
        <f t="shared" si="286"/>
        <v>18.105009052504524</v>
      </c>
      <c r="AH382" s="459"/>
      <c r="AI382" s="245">
        <f t="shared" ref="AI382:AI383" si="292">AF382+AH382</f>
        <v>18000</v>
      </c>
      <c r="AJ382" s="245">
        <f t="shared" ref="AJ382:AJ383" si="293">AA382+AI382</f>
        <v>21000</v>
      </c>
      <c r="AK382" s="245">
        <f t="shared" ref="AK382:AK383" si="294">AC382+AI382</f>
        <v>21000</v>
      </c>
      <c r="AL382" s="245">
        <f>T382</f>
        <v>102420</v>
      </c>
      <c r="AM382" s="245">
        <f t="shared" ref="AM382:AM383" si="295">AE382-AI382</f>
        <v>81420</v>
      </c>
      <c r="AN382" s="1673" t="s">
        <v>1369</v>
      </c>
      <c r="AQ382" s="215"/>
      <c r="AR382" s="215"/>
      <c r="AS382" s="216"/>
      <c r="AU382" s="247" t="s">
        <v>1370</v>
      </c>
      <c r="AY382" s="216"/>
      <c r="AZ382" s="216"/>
      <c r="BA382" s="216"/>
    </row>
    <row r="383" spans="1:53" ht="60" customHeight="1">
      <c r="A383" s="890" t="s">
        <v>169</v>
      </c>
      <c r="B383" s="684" t="s">
        <v>1371</v>
      </c>
      <c r="C383" s="891"/>
      <c r="D383" s="892"/>
      <c r="E383" s="577"/>
      <c r="F383" s="577"/>
      <c r="G383" s="241" t="s">
        <v>333</v>
      </c>
      <c r="H383" s="242">
        <v>2019</v>
      </c>
      <c r="I383" s="242"/>
      <c r="J383" s="242">
        <v>2020</v>
      </c>
      <c r="K383" s="887"/>
      <c r="L383" s="887"/>
      <c r="M383" s="883" t="s">
        <v>2601</v>
      </c>
      <c r="N383" s="582">
        <v>83610</v>
      </c>
      <c r="O383" s="582"/>
      <c r="P383" s="582">
        <v>83610</v>
      </c>
      <c r="Q383" s="577"/>
      <c r="R383" s="577"/>
      <c r="S383" s="577"/>
      <c r="T383" s="582">
        <f>P383*0.9</f>
        <v>75249</v>
      </c>
      <c r="U383" s="582">
        <f>T383</f>
        <v>75249</v>
      </c>
      <c r="V383" s="245"/>
      <c r="W383" s="889"/>
      <c r="X383" s="245"/>
      <c r="Y383" s="582">
        <v>7000</v>
      </c>
      <c r="Z383" s="245">
        <f t="shared" si="273"/>
        <v>7000</v>
      </c>
      <c r="AA383" s="244">
        <f t="shared" si="281"/>
        <v>7000</v>
      </c>
      <c r="AB383" s="244">
        <f t="shared" si="282"/>
        <v>7000</v>
      </c>
      <c r="AC383" s="244">
        <f t="shared" si="283"/>
        <v>7000</v>
      </c>
      <c r="AD383" s="244">
        <f t="shared" si="284"/>
        <v>75249</v>
      </c>
      <c r="AE383" s="244">
        <f t="shared" si="285"/>
        <v>68249</v>
      </c>
      <c r="AF383" s="245">
        <v>18000</v>
      </c>
      <c r="AG383" s="245">
        <f t="shared" si="286"/>
        <v>26.374012806048441</v>
      </c>
      <c r="AH383" s="318"/>
      <c r="AI383" s="245">
        <f t="shared" si="292"/>
        <v>18000</v>
      </c>
      <c r="AJ383" s="245">
        <f t="shared" si="293"/>
        <v>25000</v>
      </c>
      <c r="AK383" s="245">
        <f t="shared" si="294"/>
        <v>25000</v>
      </c>
      <c r="AL383" s="245">
        <f>T383</f>
        <v>75249</v>
      </c>
      <c r="AM383" s="245">
        <f t="shared" si="295"/>
        <v>50249</v>
      </c>
      <c r="AN383" s="1674"/>
      <c r="AQ383" s="215"/>
      <c r="AR383" s="215"/>
      <c r="AS383" s="216"/>
      <c r="AU383" s="247" t="s">
        <v>1370</v>
      </c>
      <c r="AY383" s="216"/>
      <c r="AZ383" s="216"/>
      <c r="BA383" s="216"/>
    </row>
    <row r="384" spans="1:53" s="224" customFormat="1">
      <c r="A384" s="218" t="s">
        <v>1372</v>
      </c>
      <c r="B384" s="219" t="s">
        <v>1373</v>
      </c>
      <c r="C384" s="788"/>
      <c r="D384" s="788"/>
      <c r="E384" s="785"/>
      <c r="F384" s="785"/>
      <c r="G384" s="785"/>
      <c r="H384" s="785"/>
      <c r="I384" s="785"/>
      <c r="J384" s="785"/>
      <c r="K384" s="785"/>
      <c r="L384" s="785"/>
      <c r="M384" s="785"/>
      <c r="N384" s="893">
        <f t="shared" ref="N384:AC384" si="296">SUBTOTAL(109,N385:N435)</f>
        <v>788559</v>
      </c>
      <c r="O384" s="893">
        <f t="shared" si="296"/>
        <v>0</v>
      </c>
      <c r="P384" s="893">
        <f t="shared" si="296"/>
        <v>485924.7</v>
      </c>
      <c r="Q384" s="893">
        <f t="shared" si="296"/>
        <v>384223</v>
      </c>
      <c r="R384" s="893">
        <f t="shared" si="296"/>
        <v>0</v>
      </c>
      <c r="S384" s="893">
        <f t="shared" si="296"/>
        <v>287779</v>
      </c>
      <c r="T384" s="893">
        <f t="shared" si="296"/>
        <v>312028</v>
      </c>
      <c r="U384" s="893">
        <f t="shared" si="296"/>
        <v>173738</v>
      </c>
      <c r="V384" s="893">
        <f t="shared" si="296"/>
        <v>124043</v>
      </c>
      <c r="W384" s="893">
        <f t="shared" si="296"/>
        <v>122656.5</v>
      </c>
      <c r="X384" s="893"/>
      <c r="Y384" s="893">
        <f t="shared" si="296"/>
        <v>16323</v>
      </c>
      <c r="Z384" s="893">
        <f t="shared" si="296"/>
        <v>140366</v>
      </c>
      <c r="AA384" s="893">
        <f t="shared" si="296"/>
        <v>524589</v>
      </c>
      <c r="AB384" s="893">
        <f t="shared" si="296"/>
        <v>140366</v>
      </c>
      <c r="AC384" s="893">
        <f t="shared" si="296"/>
        <v>428145</v>
      </c>
      <c r="AD384" s="893">
        <f>SUBTOTAL(109,AD385:AD439)</f>
        <v>336026</v>
      </c>
      <c r="AE384" s="893">
        <f>SUBTOTAL(109,AE385:AE439)</f>
        <v>43070</v>
      </c>
      <c r="AF384" s="893"/>
      <c r="AG384" s="245"/>
      <c r="AH384" s="245"/>
      <c r="AI384" s="245"/>
      <c r="AJ384" s="245"/>
      <c r="AK384" s="245"/>
      <c r="AL384" s="245"/>
      <c r="AM384" s="245"/>
      <c r="AN384" s="894">
        <v>82723</v>
      </c>
      <c r="AO384" s="707">
        <f>W384-AN384</f>
        <v>39933.5</v>
      </c>
      <c r="AQ384" s="225"/>
      <c r="AR384" s="225"/>
      <c r="AS384" s="226"/>
      <c r="AY384" s="226"/>
      <c r="AZ384" s="226"/>
      <c r="BA384" s="226"/>
    </row>
    <row r="385" spans="1:53" ht="25.5">
      <c r="A385" s="248">
        <v>1</v>
      </c>
      <c r="B385" s="338" t="s">
        <v>1374</v>
      </c>
      <c r="C385" s="338"/>
      <c r="D385" s="338"/>
      <c r="E385" s="252" t="s">
        <v>1345</v>
      </c>
      <c r="F385" s="665" t="s">
        <v>1167</v>
      </c>
      <c r="G385" s="252" t="s">
        <v>333</v>
      </c>
      <c r="H385" s="253">
        <v>2010</v>
      </c>
      <c r="I385" s="253"/>
      <c r="J385" s="895">
        <v>2014</v>
      </c>
      <c r="K385" s="253"/>
      <c r="L385" s="253"/>
      <c r="M385" s="271" t="s">
        <v>1375</v>
      </c>
      <c r="N385" s="337">
        <v>22381</v>
      </c>
      <c r="O385" s="337">
        <v>0</v>
      </c>
      <c r="P385" s="337">
        <v>22381</v>
      </c>
      <c r="Q385" s="337">
        <v>14000</v>
      </c>
      <c r="R385" s="337">
        <v>0</v>
      </c>
      <c r="S385" s="337">
        <v>14000</v>
      </c>
      <c r="T385" s="337">
        <v>8701</v>
      </c>
      <c r="U385" s="337">
        <v>4701</v>
      </c>
      <c r="V385" s="245">
        <v>4701</v>
      </c>
      <c r="W385" s="245">
        <v>4701</v>
      </c>
      <c r="X385" s="245">
        <v>100</v>
      </c>
      <c r="Y385" s="341"/>
      <c r="Z385" s="245">
        <f t="shared" si="273"/>
        <v>4701</v>
      </c>
      <c r="AA385" s="244">
        <f t="shared" ref="AA385:AA416" si="297">Q385+$Z385</f>
        <v>18701</v>
      </c>
      <c r="AB385" s="244">
        <f t="shared" ref="AB385:AB416" si="298">R385+$Z385</f>
        <v>4701</v>
      </c>
      <c r="AC385" s="244">
        <f t="shared" ref="AC385:AC416" si="299">S385+$Z385</f>
        <v>18701</v>
      </c>
      <c r="AD385" s="244">
        <f t="shared" ref="AD385:AD416" si="300">T385</f>
        <v>8701</v>
      </c>
      <c r="AE385" s="244">
        <f t="shared" ref="AE385:AE394" si="301">U385-Z385</f>
        <v>0</v>
      </c>
      <c r="AF385" s="341"/>
      <c r="AG385" s="245"/>
      <c r="AH385" s="245"/>
      <c r="AI385" s="245"/>
      <c r="AJ385" s="245"/>
      <c r="AK385" s="245"/>
      <c r="AL385" s="245"/>
      <c r="AM385" s="245"/>
      <c r="AN385" s="896" t="s">
        <v>1376</v>
      </c>
      <c r="AO385" s="207">
        <f t="shared" ref="AO385:AO418" si="302">W385/U385</f>
        <v>1</v>
      </c>
      <c r="AQ385" s="215"/>
      <c r="AR385" s="215"/>
      <c r="AS385" s="216"/>
      <c r="AY385" s="216"/>
      <c r="AZ385" s="216"/>
      <c r="BA385" s="216"/>
    </row>
    <row r="386" spans="1:53" ht="38.25">
      <c r="A386" s="248">
        <v>2</v>
      </c>
      <c r="B386" s="762" t="s">
        <v>1377</v>
      </c>
      <c r="C386" s="762"/>
      <c r="D386" s="763"/>
      <c r="E386" s="252" t="s">
        <v>1349</v>
      </c>
      <c r="F386" s="665" t="s">
        <v>1167</v>
      </c>
      <c r="G386" s="764" t="s">
        <v>373</v>
      </c>
      <c r="H386" s="253">
        <v>2012</v>
      </c>
      <c r="I386" s="253"/>
      <c r="J386" s="895">
        <v>2014</v>
      </c>
      <c r="K386" s="253"/>
      <c r="L386" s="253"/>
      <c r="M386" s="252" t="s">
        <v>1378</v>
      </c>
      <c r="N386" s="337">
        <v>3109</v>
      </c>
      <c r="O386" s="337">
        <v>0</v>
      </c>
      <c r="P386" s="337">
        <v>3109</v>
      </c>
      <c r="Q386" s="337">
        <v>2722</v>
      </c>
      <c r="R386" s="337">
        <v>0</v>
      </c>
      <c r="S386" s="337">
        <v>2722</v>
      </c>
      <c r="T386" s="337">
        <v>887</v>
      </c>
      <c r="U386" s="337">
        <v>387</v>
      </c>
      <c r="V386" s="245">
        <v>387</v>
      </c>
      <c r="W386" s="245">
        <v>387</v>
      </c>
      <c r="X386" s="245">
        <v>100</v>
      </c>
      <c r="Y386" s="341"/>
      <c r="Z386" s="245">
        <f t="shared" si="273"/>
        <v>387</v>
      </c>
      <c r="AA386" s="244">
        <f t="shared" si="297"/>
        <v>3109</v>
      </c>
      <c r="AB386" s="244">
        <f t="shared" si="298"/>
        <v>387</v>
      </c>
      <c r="AC386" s="244">
        <f t="shared" si="299"/>
        <v>3109</v>
      </c>
      <c r="AD386" s="244">
        <f t="shared" si="300"/>
        <v>887</v>
      </c>
      <c r="AE386" s="244">
        <f t="shared" si="301"/>
        <v>0</v>
      </c>
      <c r="AF386" s="341"/>
      <c r="AG386" s="245"/>
      <c r="AH386" s="245"/>
      <c r="AI386" s="245"/>
      <c r="AJ386" s="245"/>
      <c r="AK386" s="245"/>
      <c r="AL386" s="245"/>
      <c r="AM386" s="245"/>
      <c r="AN386" s="897">
        <f>W386/U386</f>
        <v>1</v>
      </c>
      <c r="AO386" s="207">
        <f t="shared" si="302"/>
        <v>1</v>
      </c>
      <c r="AQ386" s="215"/>
      <c r="AR386" s="215"/>
      <c r="AS386" s="216"/>
      <c r="AY386" s="216"/>
      <c r="AZ386" s="216"/>
      <c r="BA386" s="216"/>
    </row>
    <row r="387" spans="1:53" ht="25.5">
      <c r="A387" s="248">
        <v>3</v>
      </c>
      <c r="B387" s="336" t="s">
        <v>1379</v>
      </c>
      <c r="C387" s="336"/>
      <c r="D387" s="898"/>
      <c r="E387" s="252" t="s">
        <v>1187</v>
      </c>
      <c r="F387" s="665" t="s">
        <v>1167</v>
      </c>
      <c r="G387" s="383" t="s">
        <v>333</v>
      </c>
      <c r="H387" s="253">
        <v>2013</v>
      </c>
      <c r="I387" s="253"/>
      <c r="J387" s="895">
        <v>2015</v>
      </c>
      <c r="K387" s="253"/>
      <c r="L387" s="253"/>
      <c r="M387" s="664" t="s">
        <v>1380</v>
      </c>
      <c r="N387" s="337">
        <v>4902</v>
      </c>
      <c r="O387" s="337">
        <v>0</v>
      </c>
      <c r="P387" s="337">
        <v>3432</v>
      </c>
      <c r="Q387" s="337">
        <v>2500</v>
      </c>
      <c r="R387" s="337">
        <v>0</v>
      </c>
      <c r="S387" s="337">
        <v>2500</v>
      </c>
      <c r="T387" s="337">
        <v>1389</v>
      </c>
      <c r="U387" s="337">
        <v>589</v>
      </c>
      <c r="V387" s="245">
        <v>589</v>
      </c>
      <c r="W387" s="245">
        <v>589</v>
      </c>
      <c r="X387" s="245">
        <v>100</v>
      </c>
      <c r="Y387" s="341"/>
      <c r="Z387" s="245">
        <f t="shared" si="273"/>
        <v>589</v>
      </c>
      <c r="AA387" s="244">
        <f t="shared" si="297"/>
        <v>3089</v>
      </c>
      <c r="AB387" s="244">
        <f t="shared" si="298"/>
        <v>589</v>
      </c>
      <c r="AC387" s="244">
        <f t="shared" si="299"/>
        <v>3089</v>
      </c>
      <c r="AD387" s="244">
        <f t="shared" si="300"/>
        <v>1389</v>
      </c>
      <c r="AE387" s="244">
        <f t="shared" si="301"/>
        <v>0</v>
      </c>
      <c r="AF387" s="341"/>
      <c r="AG387" s="245"/>
      <c r="AH387" s="245"/>
      <c r="AI387" s="245"/>
      <c r="AJ387" s="245"/>
      <c r="AK387" s="245"/>
      <c r="AL387" s="245"/>
      <c r="AM387" s="245"/>
      <c r="AN387" s="896"/>
      <c r="AO387" s="207">
        <f t="shared" si="302"/>
        <v>1</v>
      </c>
      <c r="AQ387" s="215"/>
      <c r="AR387" s="215"/>
      <c r="AS387" s="216"/>
      <c r="AY387" s="216"/>
      <c r="AZ387" s="216"/>
      <c r="BA387" s="216"/>
    </row>
    <row r="388" spans="1:53" s="256" customFormat="1" ht="38.25">
      <c r="A388" s="248">
        <v>4</v>
      </c>
      <c r="B388" s="338" t="s">
        <v>1381</v>
      </c>
      <c r="C388" s="338"/>
      <c r="D388" s="899"/>
      <c r="E388" s="252" t="s">
        <v>1187</v>
      </c>
      <c r="F388" s="665" t="s">
        <v>1167</v>
      </c>
      <c r="G388" s="271" t="s">
        <v>341</v>
      </c>
      <c r="H388" s="253">
        <v>2013</v>
      </c>
      <c r="I388" s="253">
        <v>2014</v>
      </c>
      <c r="J388" s="895">
        <v>2015</v>
      </c>
      <c r="K388" s="253">
        <v>2015</v>
      </c>
      <c r="L388" s="253"/>
      <c r="M388" s="271" t="s">
        <v>1382</v>
      </c>
      <c r="N388" s="337">
        <v>16648</v>
      </c>
      <c r="O388" s="337">
        <v>0</v>
      </c>
      <c r="P388" s="337">
        <v>0</v>
      </c>
      <c r="Q388" s="337">
        <v>10050</v>
      </c>
      <c r="R388" s="337">
        <v>0</v>
      </c>
      <c r="S388" s="337">
        <v>2000</v>
      </c>
      <c r="T388" s="337">
        <v>6933</v>
      </c>
      <c r="U388" s="337">
        <v>4933</v>
      </c>
      <c r="V388" s="245">
        <v>4933</v>
      </c>
      <c r="W388" s="245">
        <v>4933</v>
      </c>
      <c r="X388" s="245">
        <v>100</v>
      </c>
      <c r="Y388" s="341"/>
      <c r="Z388" s="245">
        <f t="shared" si="273"/>
        <v>4933</v>
      </c>
      <c r="AA388" s="244">
        <f t="shared" si="297"/>
        <v>14983</v>
      </c>
      <c r="AB388" s="244">
        <f t="shared" si="298"/>
        <v>4933</v>
      </c>
      <c r="AC388" s="244">
        <f t="shared" si="299"/>
        <v>6933</v>
      </c>
      <c r="AD388" s="244">
        <f t="shared" si="300"/>
        <v>6933</v>
      </c>
      <c r="AE388" s="244">
        <f t="shared" si="301"/>
        <v>0</v>
      </c>
      <c r="AF388" s="341"/>
      <c r="AG388" s="255"/>
      <c r="AH388" s="255"/>
      <c r="AI388" s="255"/>
      <c r="AJ388" s="255"/>
      <c r="AK388" s="255"/>
      <c r="AL388" s="255"/>
      <c r="AM388" s="255"/>
      <c r="AN388" s="897">
        <f>W388/U388</f>
        <v>1</v>
      </c>
      <c r="AO388" s="256">
        <f t="shared" si="302"/>
        <v>1</v>
      </c>
      <c r="AQ388" s="257"/>
      <c r="AR388" s="257"/>
      <c r="AS388" s="258"/>
      <c r="AY388" s="258"/>
      <c r="AZ388" s="258"/>
      <c r="BA388" s="258"/>
    </row>
    <row r="389" spans="1:53" ht="25.5">
      <c r="A389" s="248">
        <v>5</v>
      </c>
      <c r="B389" s="762" t="s">
        <v>1383</v>
      </c>
      <c r="C389" s="762"/>
      <c r="D389" s="763"/>
      <c r="E389" s="252" t="s">
        <v>1194</v>
      </c>
      <c r="F389" s="665" t="s">
        <v>1167</v>
      </c>
      <c r="G389" s="900" t="s">
        <v>382</v>
      </c>
      <c r="H389" s="253">
        <v>2014</v>
      </c>
      <c r="I389" s="253">
        <v>2014</v>
      </c>
      <c r="J389" s="895">
        <v>2016</v>
      </c>
      <c r="K389" s="253" t="s">
        <v>328</v>
      </c>
      <c r="L389" s="253"/>
      <c r="M389" s="901" t="s">
        <v>1384</v>
      </c>
      <c r="N389" s="337">
        <v>32732</v>
      </c>
      <c r="O389" s="337">
        <v>0</v>
      </c>
      <c r="P389" s="337">
        <v>27732</v>
      </c>
      <c r="Q389" s="337">
        <v>21550</v>
      </c>
      <c r="R389" s="337">
        <v>0</v>
      </c>
      <c r="S389" s="337">
        <v>15000</v>
      </c>
      <c r="T389" s="337">
        <v>10924</v>
      </c>
      <c r="U389" s="337">
        <v>2924</v>
      </c>
      <c r="V389" s="245">
        <v>2924</v>
      </c>
      <c r="W389" s="245">
        <v>2924</v>
      </c>
      <c r="X389" s="245">
        <v>100</v>
      </c>
      <c r="Y389" s="341">
        <v>1000</v>
      </c>
      <c r="Z389" s="245">
        <f t="shared" si="273"/>
        <v>3924</v>
      </c>
      <c r="AA389" s="244">
        <f t="shared" si="297"/>
        <v>25474</v>
      </c>
      <c r="AB389" s="244">
        <f t="shared" si="298"/>
        <v>3924</v>
      </c>
      <c r="AC389" s="244">
        <f t="shared" si="299"/>
        <v>18924</v>
      </c>
      <c r="AD389" s="244">
        <f t="shared" si="300"/>
        <v>10924</v>
      </c>
      <c r="AE389" s="244">
        <f t="shared" si="301"/>
        <v>-1000</v>
      </c>
      <c r="AF389" s="341"/>
      <c r="AG389" s="245"/>
      <c r="AH389" s="245"/>
      <c r="AI389" s="245"/>
      <c r="AJ389" s="245"/>
      <c r="AK389" s="245"/>
      <c r="AL389" s="245"/>
      <c r="AM389" s="245"/>
      <c r="AN389" s="896" t="s">
        <v>1265</v>
      </c>
      <c r="AO389" s="207">
        <f t="shared" si="302"/>
        <v>1</v>
      </c>
      <c r="AQ389" s="215"/>
      <c r="AR389" s="215"/>
      <c r="AS389" s="216"/>
      <c r="AY389" s="216"/>
      <c r="AZ389" s="216"/>
      <c r="BA389" s="216"/>
    </row>
    <row r="390" spans="1:53" s="224" customFormat="1" ht="49.5" customHeight="1">
      <c r="A390" s="364">
        <v>6</v>
      </c>
      <c r="B390" s="375" t="s">
        <v>1385</v>
      </c>
      <c r="C390" s="375"/>
      <c r="D390" s="375"/>
      <c r="E390" s="805" t="s">
        <v>1349</v>
      </c>
      <c r="F390" s="692" t="s">
        <v>1167</v>
      </c>
      <c r="G390" s="785" t="s">
        <v>333</v>
      </c>
      <c r="H390" s="368">
        <v>2014</v>
      </c>
      <c r="I390" s="368">
        <v>2014</v>
      </c>
      <c r="J390" s="902">
        <v>2016</v>
      </c>
      <c r="K390" s="368" t="s">
        <v>328</v>
      </c>
      <c r="L390" s="368"/>
      <c r="M390" s="903" t="s">
        <v>1386</v>
      </c>
      <c r="N390" s="352">
        <v>26135</v>
      </c>
      <c r="O390" s="352">
        <v>0</v>
      </c>
      <c r="P390" s="352">
        <v>16135</v>
      </c>
      <c r="Q390" s="352">
        <v>23800</v>
      </c>
      <c r="R390" s="352">
        <v>0</v>
      </c>
      <c r="S390" s="352">
        <v>13800</v>
      </c>
      <c r="T390" s="352">
        <v>12521</v>
      </c>
      <c r="U390" s="352">
        <v>721</v>
      </c>
      <c r="V390" s="245">
        <v>721</v>
      </c>
      <c r="W390" s="245">
        <v>721</v>
      </c>
      <c r="X390" s="245">
        <v>100</v>
      </c>
      <c r="Y390" s="369"/>
      <c r="Z390" s="245">
        <f t="shared" si="273"/>
        <v>721</v>
      </c>
      <c r="AA390" s="244">
        <f t="shared" si="297"/>
        <v>24521</v>
      </c>
      <c r="AB390" s="244">
        <f t="shared" si="298"/>
        <v>721</v>
      </c>
      <c r="AC390" s="244">
        <f t="shared" si="299"/>
        <v>14521</v>
      </c>
      <c r="AD390" s="244">
        <f t="shared" si="300"/>
        <v>12521</v>
      </c>
      <c r="AE390" s="244">
        <f t="shared" si="301"/>
        <v>0</v>
      </c>
      <c r="AF390" s="369"/>
      <c r="AG390" s="373"/>
      <c r="AH390" s="373"/>
      <c r="AI390" s="373"/>
      <c r="AJ390" s="373"/>
      <c r="AK390" s="373"/>
      <c r="AL390" s="373"/>
      <c r="AM390" s="373"/>
      <c r="AN390" s="904" t="s">
        <v>1387</v>
      </c>
      <c r="AO390" s="224">
        <f t="shared" si="302"/>
        <v>1</v>
      </c>
      <c r="AQ390" s="225"/>
      <c r="AR390" s="225"/>
      <c r="AS390" s="226"/>
      <c r="AY390" s="226"/>
      <c r="AZ390" s="226"/>
      <c r="BA390" s="226"/>
    </row>
    <row r="391" spans="1:53" ht="51">
      <c r="A391" s="248">
        <v>7</v>
      </c>
      <c r="B391" s="338" t="s">
        <v>1388</v>
      </c>
      <c r="C391" s="338"/>
      <c r="D391" s="338"/>
      <c r="E391" s="814" t="s">
        <v>1349</v>
      </c>
      <c r="F391" s="665" t="s">
        <v>1167</v>
      </c>
      <c r="G391" s="252" t="s">
        <v>333</v>
      </c>
      <c r="H391" s="253">
        <v>2014</v>
      </c>
      <c r="I391" s="253">
        <v>2014</v>
      </c>
      <c r="J391" s="895">
        <v>2016</v>
      </c>
      <c r="K391" s="253" t="s">
        <v>328</v>
      </c>
      <c r="L391" s="253"/>
      <c r="M391" s="905" t="s">
        <v>1389</v>
      </c>
      <c r="N391" s="337">
        <v>15239</v>
      </c>
      <c r="O391" s="337">
        <v>0</v>
      </c>
      <c r="P391" s="337">
        <v>15239</v>
      </c>
      <c r="Q391" s="337">
        <v>11500</v>
      </c>
      <c r="R391" s="337">
        <v>0</v>
      </c>
      <c r="S391" s="337">
        <v>11500</v>
      </c>
      <c r="T391" s="337">
        <v>3215</v>
      </c>
      <c r="U391" s="337">
        <v>2215</v>
      </c>
      <c r="V391" s="245">
        <v>2215</v>
      </c>
      <c r="W391" s="245">
        <v>2215</v>
      </c>
      <c r="X391" s="245">
        <v>100</v>
      </c>
      <c r="Y391" s="341"/>
      <c r="Z391" s="245">
        <f t="shared" si="273"/>
        <v>2215</v>
      </c>
      <c r="AA391" s="244">
        <f t="shared" si="297"/>
        <v>13715</v>
      </c>
      <c r="AB391" s="244">
        <f t="shared" si="298"/>
        <v>2215</v>
      </c>
      <c r="AC391" s="244">
        <f t="shared" si="299"/>
        <v>13715</v>
      </c>
      <c r="AD391" s="244">
        <f t="shared" si="300"/>
        <v>3215</v>
      </c>
      <c r="AE391" s="244">
        <f t="shared" si="301"/>
        <v>0</v>
      </c>
      <c r="AF391" s="341"/>
      <c r="AG391" s="245"/>
      <c r="AH391" s="245"/>
      <c r="AI391" s="245"/>
      <c r="AJ391" s="245"/>
      <c r="AK391" s="245"/>
      <c r="AL391" s="245"/>
      <c r="AM391" s="245"/>
      <c r="AN391" s="897"/>
      <c r="AO391" s="207">
        <f t="shared" si="302"/>
        <v>1</v>
      </c>
      <c r="AQ391" s="215"/>
      <c r="AR391" s="215"/>
      <c r="AS391" s="216"/>
      <c r="AY391" s="216"/>
      <c r="AZ391" s="216"/>
      <c r="BA391" s="216"/>
    </row>
    <row r="392" spans="1:53" ht="25.5">
      <c r="A392" s="248">
        <v>8</v>
      </c>
      <c r="B392" s="906" t="s">
        <v>1390</v>
      </c>
      <c r="C392" s="906"/>
      <c r="D392" s="907"/>
      <c r="E392" s="252" t="s">
        <v>1187</v>
      </c>
      <c r="F392" s="665" t="s">
        <v>1167</v>
      </c>
      <c r="G392" s="252" t="s">
        <v>378</v>
      </c>
      <c r="H392" s="253">
        <v>2014</v>
      </c>
      <c r="I392" s="253">
        <v>2013</v>
      </c>
      <c r="J392" s="895">
        <v>2017</v>
      </c>
      <c r="K392" s="253">
        <v>2016</v>
      </c>
      <c r="L392" s="253"/>
      <c r="M392" s="908" t="s">
        <v>1391</v>
      </c>
      <c r="N392" s="337">
        <v>29392</v>
      </c>
      <c r="O392" s="337">
        <v>0</v>
      </c>
      <c r="P392" s="337">
        <v>29392</v>
      </c>
      <c r="Q392" s="337">
        <v>21336</v>
      </c>
      <c r="R392" s="337">
        <v>0</v>
      </c>
      <c r="S392" s="337">
        <v>21336</v>
      </c>
      <c r="T392" s="337">
        <v>10989</v>
      </c>
      <c r="U392" s="337">
        <v>5117</v>
      </c>
      <c r="V392" s="245">
        <v>5117</v>
      </c>
      <c r="W392" s="245">
        <v>5117</v>
      </c>
      <c r="X392" s="245">
        <v>100</v>
      </c>
      <c r="Y392" s="341"/>
      <c r="Z392" s="245">
        <f t="shared" si="273"/>
        <v>5117</v>
      </c>
      <c r="AA392" s="244">
        <f t="shared" si="297"/>
        <v>26453</v>
      </c>
      <c r="AB392" s="244">
        <f t="shared" si="298"/>
        <v>5117</v>
      </c>
      <c r="AC392" s="244">
        <f t="shared" si="299"/>
        <v>26453</v>
      </c>
      <c r="AD392" s="244">
        <f t="shared" si="300"/>
        <v>10989</v>
      </c>
      <c r="AE392" s="244">
        <f t="shared" si="301"/>
        <v>0</v>
      </c>
      <c r="AF392" s="341"/>
      <c r="AG392" s="245"/>
      <c r="AH392" s="245"/>
      <c r="AI392" s="245"/>
      <c r="AJ392" s="245"/>
      <c r="AK392" s="245"/>
      <c r="AL392" s="245"/>
      <c r="AM392" s="245"/>
      <c r="AN392" s="896"/>
      <c r="AO392" s="207">
        <f t="shared" si="302"/>
        <v>1</v>
      </c>
      <c r="AQ392" s="215"/>
      <c r="AR392" s="215"/>
      <c r="AS392" s="216"/>
      <c r="AY392" s="216"/>
      <c r="AZ392" s="216"/>
      <c r="BA392" s="216"/>
    </row>
    <row r="393" spans="1:53" ht="25.5">
      <c r="A393" s="248">
        <v>9</v>
      </c>
      <c r="B393" s="779" t="s">
        <v>1392</v>
      </c>
      <c r="C393" s="779"/>
      <c r="D393" s="780"/>
      <c r="E393" s="252" t="s">
        <v>1187</v>
      </c>
      <c r="F393" s="665" t="s">
        <v>1167</v>
      </c>
      <c r="G393" s="781" t="s">
        <v>382</v>
      </c>
      <c r="H393" s="253">
        <v>2015</v>
      </c>
      <c r="I393" s="253">
        <v>2015</v>
      </c>
      <c r="J393" s="895">
        <v>2017</v>
      </c>
      <c r="K393" s="253" t="s">
        <v>328</v>
      </c>
      <c r="L393" s="253"/>
      <c r="M393" s="781" t="s">
        <v>1393</v>
      </c>
      <c r="N393" s="337">
        <v>23156</v>
      </c>
      <c r="O393" s="337">
        <v>0</v>
      </c>
      <c r="P393" s="337">
        <v>23156</v>
      </c>
      <c r="Q393" s="337">
        <v>13756</v>
      </c>
      <c r="R393" s="337">
        <v>0</v>
      </c>
      <c r="S393" s="337">
        <v>13756</v>
      </c>
      <c r="T393" s="337">
        <v>13840</v>
      </c>
      <c r="U393" s="337">
        <v>7084</v>
      </c>
      <c r="V393" s="245">
        <v>7084</v>
      </c>
      <c r="W393" s="245">
        <v>7084</v>
      </c>
      <c r="X393" s="245">
        <v>100</v>
      </c>
      <c r="Y393" s="341"/>
      <c r="Z393" s="245">
        <f t="shared" si="273"/>
        <v>7084</v>
      </c>
      <c r="AA393" s="244">
        <f t="shared" si="297"/>
        <v>20840</v>
      </c>
      <c r="AB393" s="244">
        <f t="shared" si="298"/>
        <v>7084</v>
      </c>
      <c r="AC393" s="244">
        <f t="shared" si="299"/>
        <v>20840</v>
      </c>
      <c r="AD393" s="244">
        <f t="shared" si="300"/>
        <v>13840</v>
      </c>
      <c r="AE393" s="244">
        <f t="shared" si="301"/>
        <v>0</v>
      </c>
      <c r="AF393" s="341"/>
      <c r="AG393" s="245"/>
      <c r="AH393" s="245"/>
      <c r="AI393" s="245"/>
      <c r="AJ393" s="245"/>
      <c r="AK393" s="245"/>
      <c r="AL393" s="245"/>
      <c r="AM393" s="245"/>
      <c r="AN393" s="896"/>
      <c r="AO393" s="207">
        <f t="shared" si="302"/>
        <v>1</v>
      </c>
      <c r="AQ393" s="215"/>
      <c r="AR393" s="215"/>
      <c r="AS393" s="216"/>
      <c r="AY393" s="216"/>
      <c r="AZ393" s="216"/>
      <c r="BA393" s="216"/>
    </row>
    <row r="394" spans="1:53" s="256" customFormat="1" ht="25.5">
      <c r="A394" s="248">
        <v>10</v>
      </c>
      <c r="B394" s="909" t="s">
        <v>1394</v>
      </c>
      <c r="C394" s="909"/>
      <c r="D394" s="910"/>
      <c r="E394" s="252" t="s">
        <v>1187</v>
      </c>
      <c r="F394" s="665" t="s">
        <v>1167</v>
      </c>
      <c r="G394" s="911" t="s">
        <v>382</v>
      </c>
      <c r="H394" s="253">
        <v>2015</v>
      </c>
      <c r="I394" s="253">
        <v>2015</v>
      </c>
      <c r="J394" s="895">
        <v>2017</v>
      </c>
      <c r="K394" s="253" t="s">
        <v>328</v>
      </c>
      <c r="L394" s="253"/>
      <c r="M394" s="912" t="s">
        <v>1395</v>
      </c>
      <c r="N394" s="337">
        <v>4957</v>
      </c>
      <c r="O394" s="337">
        <v>0</v>
      </c>
      <c r="P394" s="337">
        <v>4957</v>
      </c>
      <c r="Q394" s="337">
        <v>3856</v>
      </c>
      <c r="R394" s="337">
        <v>0</v>
      </c>
      <c r="S394" s="337">
        <v>3856</v>
      </c>
      <c r="T394" s="337">
        <v>2711</v>
      </c>
      <c r="U394" s="337">
        <v>483</v>
      </c>
      <c r="V394" s="245">
        <v>483</v>
      </c>
      <c r="W394" s="245">
        <v>483</v>
      </c>
      <c r="X394" s="245">
        <v>100</v>
      </c>
      <c r="Y394" s="341"/>
      <c r="Z394" s="245">
        <f t="shared" si="273"/>
        <v>483</v>
      </c>
      <c r="AA394" s="244">
        <f t="shared" si="297"/>
        <v>4339</v>
      </c>
      <c r="AB394" s="244">
        <f t="shared" si="298"/>
        <v>483</v>
      </c>
      <c r="AC394" s="244">
        <f t="shared" si="299"/>
        <v>4339</v>
      </c>
      <c r="AD394" s="244">
        <f t="shared" si="300"/>
        <v>2711</v>
      </c>
      <c r="AE394" s="244">
        <f t="shared" si="301"/>
        <v>0</v>
      </c>
      <c r="AF394" s="341"/>
      <c r="AG394" s="255"/>
      <c r="AH394" s="255"/>
      <c r="AI394" s="255"/>
      <c r="AJ394" s="255"/>
      <c r="AK394" s="255"/>
      <c r="AL394" s="255"/>
      <c r="AM394" s="255"/>
      <c r="AN394" s="716" t="s">
        <v>1396</v>
      </c>
      <c r="AO394" s="256">
        <f t="shared" si="302"/>
        <v>1</v>
      </c>
      <c r="AQ394" s="257"/>
      <c r="AR394" s="257"/>
      <c r="AS394" s="258"/>
      <c r="AY394" s="258"/>
      <c r="AZ394" s="258"/>
      <c r="BA394" s="258"/>
    </row>
    <row r="395" spans="1:53" s="256" customFormat="1" ht="25.5">
      <c r="A395" s="248">
        <v>11</v>
      </c>
      <c r="B395" s="779" t="s">
        <v>1397</v>
      </c>
      <c r="C395" s="779"/>
      <c r="D395" s="780"/>
      <c r="E395" s="252" t="s">
        <v>1187</v>
      </c>
      <c r="F395" s="665" t="s">
        <v>1167</v>
      </c>
      <c r="G395" s="781" t="s">
        <v>373</v>
      </c>
      <c r="H395" s="253">
        <v>2015</v>
      </c>
      <c r="I395" s="253">
        <v>2015</v>
      </c>
      <c r="J395" s="895">
        <v>2017</v>
      </c>
      <c r="K395" s="253" t="s">
        <v>328</v>
      </c>
      <c r="L395" s="253"/>
      <c r="M395" s="781" t="s">
        <v>1398</v>
      </c>
      <c r="N395" s="337">
        <v>4632</v>
      </c>
      <c r="O395" s="337">
        <v>0</v>
      </c>
      <c r="P395" s="337">
        <v>4632</v>
      </c>
      <c r="Q395" s="337">
        <v>2934</v>
      </c>
      <c r="R395" s="337">
        <v>0</v>
      </c>
      <c r="S395" s="337">
        <v>2934</v>
      </c>
      <c r="T395" s="337">
        <v>2469</v>
      </c>
      <c r="U395" s="337">
        <v>1235</v>
      </c>
      <c r="V395" s="245">
        <v>1235</v>
      </c>
      <c r="W395" s="245">
        <v>1235</v>
      </c>
      <c r="X395" s="245">
        <v>100</v>
      </c>
      <c r="Y395" s="341">
        <v>-1100</v>
      </c>
      <c r="Z395" s="245">
        <f t="shared" si="273"/>
        <v>135</v>
      </c>
      <c r="AA395" s="244">
        <f t="shared" si="297"/>
        <v>3069</v>
      </c>
      <c r="AB395" s="244">
        <f t="shared" si="298"/>
        <v>135</v>
      </c>
      <c r="AC395" s="244">
        <f t="shared" si="299"/>
        <v>3069</v>
      </c>
      <c r="AD395" s="244">
        <f t="shared" si="300"/>
        <v>2469</v>
      </c>
      <c r="AE395" s="244"/>
      <c r="AF395" s="341"/>
      <c r="AG395" s="255"/>
      <c r="AH395" s="255"/>
      <c r="AI395" s="255"/>
      <c r="AJ395" s="255"/>
      <c r="AK395" s="255"/>
      <c r="AL395" s="255"/>
      <c r="AM395" s="255"/>
      <c r="AN395" s="896" t="s">
        <v>1399</v>
      </c>
      <c r="AO395" s="256">
        <f t="shared" si="302"/>
        <v>1</v>
      </c>
      <c r="AQ395" s="257"/>
      <c r="AR395" s="257"/>
      <c r="AS395" s="258"/>
      <c r="AY395" s="258"/>
      <c r="AZ395" s="258"/>
      <c r="BA395" s="258"/>
    </row>
    <row r="396" spans="1:53" s="256" customFormat="1" ht="38.25">
      <c r="A396" s="248">
        <v>12</v>
      </c>
      <c r="B396" s="913" t="s">
        <v>1400</v>
      </c>
      <c r="C396" s="913"/>
      <c r="D396" s="914"/>
      <c r="E396" s="252" t="s">
        <v>1187</v>
      </c>
      <c r="F396" s="665" t="s">
        <v>1167</v>
      </c>
      <c r="G396" s="271" t="s">
        <v>341</v>
      </c>
      <c r="H396" s="253">
        <v>2015</v>
      </c>
      <c r="I396" s="253">
        <v>2015</v>
      </c>
      <c r="J396" s="895">
        <v>2017</v>
      </c>
      <c r="K396" s="253" t="s">
        <v>328</v>
      </c>
      <c r="L396" s="253"/>
      <c r="M396" s="915" t="s">
        <v>1401</v>
      </c>
      <c r="N396" s="337">
        <v>4636</v>
      </c>
      <c r="O396" s="337">
        <v>0</v>
      </c>
      <c r="P396" s="337">
        <v>4636</v>
      </c>
      <c r="Q396" s="337">
        <v>2636</v>
      </c>
      <c r="R396" s="337">
        <v>0</v>
      </c>
      <c r="S396" s="337">
        <v>2636</v>
      </c>
      <c r="T396" s="337">
        <v>3072</v>
      </c>
      <c r="U396" s="337">
        <v>1536</v>
      </c>
      <c r="V396" s="245">
        <v>1536</v>
      </c>
      <c r="W396" s="245">
        <v>1536</v>
      </c>
      <c r="X396" s="245">
        <v>100</v>
      </c>
      <c r="Y396" s="341"/>
      <c r="Z396" s="245">
        <f t="shared" si="273"/>
        <v>1536</v>
      </c>
      <c r="AA396" s="244">
        <f t="shared" si="297"/>
        <v>4172</v>
      </c>
      <c r="AB396" s="244">
        <f t="shared" si="298"/>
        <v>1536</v>
      </c>
      <c r="AC396" s="244">
        <f t="shared" si="299"/>
        <v>4172</v>
      </c>
      <c r="AD396" s="244">
        <f t="shared" si="300"/>
        <v>3072</v>
      </c>
      <c r="AE396" s="244">
        <f t="shared" ref="AE396:AE435" si="303">U396-Z396</f>
        <v>0</v>
      </c>
      <c r="AF396" s="341"/>
      <c r="AG396" s="255"/>
      <c r="AH396" s="255"/>
      <c r="AI396" s="255"/>
      <c r="AJ396" s="255"/>
      <c r="AK396" s="255"/>
      <c r="AL396" s="255"/>
      <c r="AM396" s="255"/>
      <c r="AN396" s="896" t="s">
        <v>1402</v>
      </c>
      <c r="AO396" s="256">
        <f t="shared" si="302"/>
        <v>1</v>
      </c>
      <c r="AQ396" s="257"/>
      <c r="AR396" s="257"/>
      <c r="AS396" s="258"/>
      <c r="AY396" s="258"/>
      <c r="AZ396" s="258"/>
      <c r="BA396" s="258"/>
    </row>
    <row r="397" spans="1:53" s="256" customFormat="1" ht="38.25">
      <c r="A397" s="248">
        <v>13</v>
      </c>
      <c r="B397" s="916" t="s">
        <v>1403</v>
      </c>
      <c r="C397" s="916"/>
      <c r="D397" s="917"/>
      <c r="E397" s="252" t="s">
        <v>1187</v>
      </c>
      <c r="F397" s="665" t="s">
        <v>1167</v>
      </c>
      <c r="G397" s="918" t="s">
        <v>382</v>
      </c>
      <c r="H397" s="253">
        <v>2015</v>
      </c>
      <c r="I397" s="253">
        <v>2015</v>
      </c>
      <c r="J397" s="895">
        <v>2017</v>
      </c>
      <c r="K397" s="253" t="s">
        <v>328</v>
      </c>
      <c r="L397" s="253"/>
      <c r="M397" s="905" t="s">
        <v>1404</v>
      </c>
      <c r="N397" s="337">
        <v>6410</v>
      </c>
      <c r="O397" s="337">
        <v>0</v>
      </c>
      <c r="P397" s="337">
        <v>6410</v>
      </c>
      <c r="Q397" s="337">
        <v>4802</v>
      </c>
      <c r="R397" s="337">
        <v>0</v>
      </c>
      <c r="S397" s="337">
        <v>4802</v>
      </c>
      <c r="T397" s="337">
        <v>3703</v>
      </c>
      <c r="U397" s="337">
        <v>1472</v>
      </c>
      <c r="V397" s="245">
        <v>1472</v>
      </c>
      <c r="W397" s="245">
        <v>1472</v>
      </c>
      <c r="X397" s="245">
        <v>100</v>
      </c>
      <c r="Y397" s="341"/>
      <c r="Z397" s="245">
        <f t="shared" si="273"/>
        <v>1472</v>
      </c>
      <c r="AA397" s="244">
        <f t="shared" si="297"/>
        <v>6274</v>
      </c>
      <c r="AB397" s="244">
        <f t="shared" si="298"/>
        <v>1472</v>
      </c>
      <c r="AC397" s="244">
        <f t="shared" si="299"/>
        <v>6274</v>
      </c>
      <c r="AD397" s="244">
        <f t="shared" si="300"/>
        <v>3703</v>
      </c>
      <c r="AE397" s="244">
        <f t="shared" si="303"/>
        <v>0</v>
      </c>
      <c r="AF397" s="341"/>
      <c r="AG397" s="255"/>
      <c r="AH397" s="255"/>
      <c r="AI397" s="255"/>
      <c r="AJ397" s="255"/>
      <c r="AK397" s="255"/>
      <c r="AL397" s="255"/>
      <c r="AM397" s="255"/>
      <c r="AN397" s="896" t="s">
        <v>1405</v>
      </c>
      <c r="AO397" s="256">
        <f t="shared" si="302"/>
        <v>1</v>
      </c>
      <c r="AQ397" s="257"/>
      <c r="AR397" s="257"/>
      <c r="AS397" s="258"/>
      <c r="AY397" s="258"/>
      <c r="AZ397" s="258"/>
      <c r="BA397" s="258"/>
    </row>
    <row r="398" spans="1:53" ht="38.25">
      <c r="A398" s="248">
        <v>14</v>
      </c>
      <c r="B398" s="338" t="s">
        <v>1406</v>
      </c>
      <c r="C398" s="338"/>
      <c r="D398" s="899"/>
      <c r="E398" s="252" t="s">
        <v>1407</v>
      </c>
      <c r="F398" s="665" t="s">
        <v>1167</v>
      </c>
      <c r="G398" s="252" t="s">
        <v>378</v>
      </c>
      <c r="H398" s="253">
        <v>2015</v>
      </c>
      <c r="I398" s="253"/>
      <c r="J398" s="895">
        <v>2017</v>
      </c>
      <c r="K398" s="253"/>
      <c r="L398" s="253"/>
      <c r="M398" s="271" t="s">
        <v>1408</v>
      </c>
      <c r="N398" s="337">
        <v>19000</v>
      </c>
      <c r="O398" s="337">
        <v>0</v>
      </c>
      <c r="P398" s="337">
        <v>8656</v>
      </c>
      <c r="Q398" s="337">
        <v>12844</v>
      </c>
      <c r="R398" s="337">
        <v>0</v>
      </c>
      <c r="S398" s="337">
        <v>4500</v>
      </c>
      <c r="T398" s="337">
        <v>8756</v>
      </c>
      <c r="U398" s="337">
        <v>4256</v>
      </c>
      <c r="V398" s="245">
        <v>4256</v>
      </c>
      <c r="W398" s="245">
        <v>4256</v>
      </c>
      <c r="X398" s="245">
        <v>100</v>
      </c>
      <c r="Y398" s="341"/>
      <c r="Z398" s="245">
        <f t="shared" si="273"/>
        <v>4256</v>
      </c>
      <c r="AA398" s="244">
        <f t="shared" si="297"/>
        <v>17100</v>
      </c>
      <c r="AB398" s="244">
        <f t="shared" si="298"/>
        <v>4256</v>
      </c>
      <c r="AC398" s="244">
        <f t="shared" si="299"/>
        <v>8756</v>
      </c>
      <c r="AD398" s="244">
        <f t="shared" si="300"/>
        <v>8756</v>
      </c>
      <c r="AE398" s="244">
        <f t="shared" si="303"/>
        <v>0</v>
      </c>
      <c r="AF398" s="341"/>
      <c r="AG398" s="245"/>
      <c r="AH398" s="245"/>
      <c r="AI398" s="245"/>
      <c r="AJ398" s="245"/>
      <c r="AK398" s="245"/>
      <c r="AL398" s="245"/>
      <c r="AM398" s="245"/>
      <c r="AN398" s="896"/>
      <c r="AO398" s="207">
        <f t="shared" si="302"/>
        <v>1</v>
      </c>
      <c r="AQ398" s="215"/>
      <c r="AR398" s="215"/>
      <c r="AS398" s="216"/>
      <c r="AY398" s="216"/>
      <c r="AZ398" s="216"/>
      <c r="BA398" s="216"/>
    </row>
    <row r="399" spans="1:53" ht="38.25">
      <c r="A399" s="248">
        <v>15</v>
      </c>
      <c r="B399" s="336" t="s">
        <v>1409</v>
      </c>
      <c r="C399" s="336"/>
      <c r="D399" s="898"/>
      <c r="E399" s="252" t="s">
        <v>1187</v>
      </c>
      <c r="F399" s="665" t="s">
        <v>1167</v>
      </c>
      <c r="G399" s="383" t="s">
        <v>333</v>
      </c>
      <c r="H399" s="253">
        <v>2015</v>
      </c>
      <c r="I399" s="253"/>
      <c r="J399" s="895">
        <v>2017</v>
      </c>
      <c r="K399" s="253"/>
      <c r="L399" s="253"/>
      <c r="M399" s="664" t="s">
        <v>1410</v>
      </c>
      <c r="N399" s="337">
        <v>4581</v>
      </c>
      <c r="O399" s="337">
        <v>0</v>
      </c>
      <c r="P399" s="337">
        <v>3206.7</v>
      </c>
      <c r="Q399" s="337">
        <v>2000</v>
      </c>
      <c r="R399" s="337">
        <v>0</v>
      </c>
      <c r="S399" s="337">
        <v>2000</v>
      </c>
      <c r="T399" s="337">
        <v>1686</v>
      </c>
      <c r="U399" s="337">
        <v>886</v>
      </c>
      <c r="V399" s="245">
        <v>886</v>
      </c>
      <c r="W399" s="245">
        <v>886</v>
      </c>
      <c r="X399" s="245">
        <v>100</v>
      </c>
      <c r="Y399" s="341"/>
      <c r="Z399" s="245">
        <f t="shared" si="273"/>
        <v>886</v>
      </c>
      <c r="AA399" s="244">
        <f t="shared" si="297"/>
        <v>2886</v>
      </c>
      <c r="AB399" s="244">
        <f t="shared" si="298"/>
        <v>886</v>
      </c>
      <c r="AC399" s="244">
        <f t="shared" si="299"/>
        <v>2886</v>
      </c>
      <c r="AD399" s="244">
        <f t="shared" si="300"/>
        <v>1686</v>
      </c>
      <c r="AE399" s="244">
        <f t="shared" si="303"/>
        <v>0</v>
      </c>
      <c r="AF399" s="341"/>
      <c r="AG399" s="245"/>
      <c r="AH399" s="245"/>
      <c r="AI399" s="245"/>
      <c r="AJ399" s="245"/>
      <c r="AK399" s="245"/>
      <c r="AL399" s="245"/>
      <c r="AM399" s="245"/>
      <c r="AN399" s="896"/>
      <c r="AO399" s="207">
        <f t="shared" si="302"/>
        <v>1</v>
      </c>
      <c r="AQ399" s="215"/>
      <c r="AR399" s="215"/>
      <c r="AS399" s="216"/>
      <c r="AY399" s="216"/>
      <c r="AZ399" s="216"/>
      <c r="BA399" s="216"/>
    </row>
    <row r="400" spans="1:53" ht="25.5">
      <c r="A400" s="248">
        <v>16</v>
      </c>
      <c r="B400" s="343" t="s">
        <v>1411</v>
      </c>
      <c r="C400" s="343"/>
      <c r="D400" s="919"/>
      <c r="E400" s="252" t="s">
        <v>1187</v>
      </c>
      <c r="F400" s="665" t="s">
        <v>1167</v>
      </c>
      <c r="G400" s="764" t="s">
        <v>382</v>
      </c>
      <c r="H400" s="253">
        <v>2015</v>
      </c>
      <c r="I400" s="253">
        <v>2015</v>
      </c>
      <c r="J400" s="895">
        <v>2017</v>
      </c>
      <c r="K400" s="253" t="s">
        <v>328</v>
      </c>
      <c r="L400" s="253"/>
      <c r="M400" s="920" t="s">
        <v>1412</v>
      </c>
      <c r="N400" s="337">
        <v>10300</v>
      </c>
      <c r="O400" s="337">
        <v>0</v>
      </c>
      <c r="P400" s="337">
        <v>10300</v>
      </c>
      <c r="Q400" s="337">
        <v>7285</v>
      </c>
      <c r="R400" s="337">
        <v>0</v>
      </c>
      <c r="S400" s="337">
        <v>7285</v>
      </c>
      <c r="T400" s="337">
        <v>6770</v>
      </c>
      <c r="U400" s="337">
        <v>1985</v>
      </c>
      <c r="V400" s="245">
        <v>1985</v>
      </c>
      <c r="W400" s="245">
        <v>1985</v>
      </c>
      <c r="X400" s="245">
        <v>100</v>
      </c>
      <c r="Y400" s="341"/>
      <c r="Z400" s="245">
        <f t="shared" si="273"/>
        <v>1985</v>
      </c>
      <c r="AA400" s="244">
        <f t="shared" si="297"/>
        <v>9270</v>
      </c>
      <c r="AB400" s="244">
        <f t="shared" si="298"/>
        <v>1985</v>
      </c>
      <c r="AC400" s="244">
        <f t="shared" si="299"/>
        <v>9270</v>
      </c>
      <c r="AD400" s="244">
        <f t="shared" si="300"/>
        <v>6770</v>
      </c>
      <c r="AE400" s="244">
        <f t="shared" si="303"/>
        <v>0</v>
      </c>
      <c r="AF400" s="341"/>
      <c r="AG400" s="245"/>
      <c r="AH400" s="245"/>
      <c r="AI400" s="245"/>
      <c r="AJ400" s="245"/>
      <c r="AK400" s="245"/>
      <c r="AL400" s="245"/>
      <c r="AM400" s="245"/>
      <c r="AN400" s="897"/>
      <c r="AO400" s="207">
        <f t="shared" si="302"/>
        <v>1</v>
      </c>
      <c r="AQ400" s="215"/>
      <c r="AR400" s="215"/>
      <c r="AS400" s="216"/>
      <c r="AY400" s="216"/>
      <c r="AZ400" s="216"/>
      <c r="BA400" s="216"/>
    </row>
    <row r="401" spans="1:53" ht="25.5">
      <c r="A401" s="248">
        <v>18</v>
      </c>
      <c r="B401" s="921" t="s">
        <v>1413</v>
      </c>
      <c r="C401" s="921"/>
      <c r="D401" s="922"/>
      <c r="E401" s="252" t="s">
        <v>1187</v>
      </c>
      <c r="F401" s="665" t="s">
        <v>1167</v>
      </c>
      <c r="G401" s="764" t="s">
        <v>435</v>
      </c>
      <c r="H401" s="253">
        <v>2016</v>
      </c>
      <c r="I401" s="253">
        <v>2016</v>
      </c>
      <c r="J401" s="895">
        <v>2018</v>
      </c>
      <c r="K401" s="253" t="s">
        <v>328</v>
      </c>
      <c r="L401" s="253"/>
      <c r="M401" s="912" t="s">
        <v>1414</v>
      </c>
      <c r="N401" s="337">
        <v>4800</v>
      </c>
      <c r="O401" s="337">
        <v>0</v>
      </c>
      <c r="P401" s="337">
        <v>4800</v>
      </c>
      <c r="Q401" s="337">
        <v>1395</v>
      </c>
      <c r="R401" s="337">
        <v>0</v>
      </c>
      <c r="S401" s="337">
        <v>1395</v>
      </c>
      <c r="T401" s="337">
        <v>4270</v>
      </c>
      <c r="U401" s="337">
        <v>2925</v>
      </c>
      <c r="V401" s="245">
        <v>2925</v>
      </c>
      <c r="W401" s="245">
        <v>2925</v>
      </c>
      <c r="X401" s="245">
        <v>100</v>
      </c>
      <c r="Y401" s="341"/>
      <c r="Z401" s="245">
        <f t="shared" si="273"/>
        <v>2925</v>
      </c>
      <c r="AA401" s="244">
        <f t="shared" si="297"/>
        <v>4320</v>
      </c>
      <c r="AB401" s="244">
        <f t="shared" si="298"/>
        <v>2925</v>
      </c>
      <c r="AC401" s="244">
        <f t="shared" si="299"/>
        <v>4320</v>
      </c>
      <c r="AD401" s="244">
        <f t="shared" si="300"/>
        <v>4270</v>
      </c>
      <c r="AE401" s="244">
        <f t="shared" si="303"/>
        <v>0</v>
      </c>
      <c r="AF401" s="341"/>
      <c r="AG401" s="245"/>
      <c r="AH401" s="245"/>
      <c r="AI401" s="245"/>
      <c r="AJ401" s="245"/>
      <c r="AK401" s="245"/>
      <c r="AL401" s="245"/>
      <c r="AM401" s="245"/>
      <c r="AN401" s="896"/>
      <c r="AO401" s="207">
        <f t="shared" si="302"/>
        <v>1</v>
      </c>
      <c r="AQ401" s="215"/>
      <c r="AR401" s="215"/>
      <c r="AS401" s="216"/>
      <c r="AY401" s="216"/>
      <c r="AZ401" s="216"/>
      <c r="BA401" s="216"/>
    </row>
    <row r="402" spans="1:53" ht="51">
      <c r="A402" s="248">
        <v>19</v>
      </c>
      <c r="B402" s="779" t="s">
        <v>1415</v>
      </c>
      <c r="C402" s="779"/>
      <c r="D402" s="780"/>
      <c r="E402" s="252" t="s">
        <v>1187</v>
      </c>
      <c r="F402" s="665" t="s">
        <v>1167</v>
      </c>
      <c r="G402" s="764" t="s">
        <v>435</v>
      </c>
      <c r="H402" s="253">
        <v>2014</v>
      </c>
      <c r="I402" s="253">
        <v>2014</v>
      </c>
      <c r="J402" s="895">
        <v>2018</v>
      </c>
      <c r="K402" s="253">
        <v>2016</v>
      </c>
      <c r="L402" s="253"/>
      <c r="M402" s="781" t="s">
        <v>1416</v>
      </c>
      <c r="N402" s="337">
        <v>57371</v>
      </c>
      <c r="O402" s="337">
        <v>0</v>
      </c>
      <c r="P402" s="337">
        <v>17371</v>
      </c>
      <c r="Q402" s="337">
        <v>48000</v>
      </c>
      <c r="R402" s="337">
        <v>0</v>
      </c>
      <c r="S402" s="337">
        <v>8000</v>
      </c>
      <c r="T402" s="337">
        <v>11634</v>
      </c>
      <c r="U402" s="337">
        <v>3634</v>
      </c>
      <c r="V402" s="245">
        <v>3634</v>
      </c>
      <c r="W402" s="245">
        <v>3634</v>
      </c>
      <c r="X402" s="245">
        <v>100</v>
      </c>
      <c r="Y402" s="341"/>
      <c r="Z402" s="245">
        <f t="shared" si="273"/>
        <v>3634</v>
      </c>
      <c r="AA402" s="244">
        <f t="shared" si="297"/>
        <v>51634</v>
      </c>
      <c r="AB402" s="244">
        <f t="shared" si="298"/>
        <v>3634</v>
      </c>
      <c r="AC402" s="244">
        <f t="shared" si="299"/>
        <v>11634</v>
      </c>
      <c r="AD402" s="244">
        <f t="shared" si="300"/>
        <v>11634</v>
      </c>
      <c r="AE402" s="244">
        <f t="shared" si="303"/>
        <v>0</v>
      </c>
      <c r="AF402" s="341"/>
      <c r="AG402" s="245"/>
      <c r="AH402" s="245"/>
      <c r="AI402" s="245"/>
      <c r="AJ402" s="245"/>
      <c r="AK402" s="245"/>
      <c r="AL402" s="245"/>
      <c r="AM402" s="245"/>
      <c r="AN402" s="897"/>
      <c r="AO402" s="207">
        <f t="shared" si="302"/>
        <v>1</v>
      </c>
      <c r="AQ402" s="215"/>
      <c r="AR402" s="215"/>
      <c r="AS402" s="216"/>
      <c r="AY402" s="216"/>
      <c r="AZ402" s="216"/>
      <c r="BA402" s="216"/>
    </row>
    <row r="403" spans="1:53" ht="38.25">
      <c r="A403" s="248">
        <v>20</v>
      </c>
      <c r="B403" s="338" t="s">
        <v>1417</v>
      </c>
      <c r="C403" s="338"/>
      <c r="D403" s="899"/>
      <c r="E403" s="814" t="s">
        <v>1194</v>
      </c>
      <c r="F403" s="665" t="s">
        <v>1167</v>
      </c>
      <c r="G403" s="271" t="s">
        <v>341</v>
      </c>
      <c r="H403" s="253">
        <v>2015</v>
      </c>
      <c r="I403" s="253">
        <v>2015</v>
      </c>
      <c r="J403" s="895">
        <v>2018</v>
      </c>
      <c r="K403" s="253" t="s">
        <v>328</v>
      </c>
      <c r="L403" s="253"/>
      <c r="M403" s="271" t="s">
        <v>1418</v>
      </c>
      <c r="N403" s="337">
        <v>6734</v>
      </c>
      <c r="O403" s="337">
        <v>0</v>
      </c>
      <c r="P403" s="337">
        <v>6734</v>
      </c>
      <c r="Q403" s="337">
        <v>4140</v>
      </c>
      <c r="R403" s="337">
        <v>0</v>
      </c>
      <c r="S403" s="337">
        <v>4140</v>
      </c>
      <c r="T403" s="337">
        <v>3840</v>
      </c>
      <c r="U403" s="337">
        <v>1920</v>
      </c>
      <c r="V403" s="245">
        <v>1920</v>
      </c>
      <c r="W403" s="245">
        <v>1920</v>
      </c>
      <c r="X403" s="245">
        <v>100</v>
      </c>
      <c r="Y403" s="341"/>
      <c r="Z403" s="245">
        <f t="shared" si="273"/>
        <v>1920</v>
      </c>
      <c r="AA403" s="244">
        <f t="shared" si="297"/>
        <v>6060</v>
      </c>
      <c r="AB403" s="244">
        <f t="shared" si="298"/>
        <v>1920</v>
      </c>
      <c r="AC403" s="244">
        <f t="shared" si="299"/>
        <v>6060</v>
      </c>
      <c r="AD403" s="244">
        <f t="shared" si="300"/>
        <v>3840</v>
      </c>
      <c r="AE403" s="244">
        <f t="shared" si="303"/>
        <v>0</v>
      </c>
      <c r="AF403" s="341"/>
      <c r="AG403" s="245"/>
      <c r="AH403" s="245"/>
      <c r="AI403" s="245"/>
      <c r="AJ403" s="245"/>
      <c r="AK403" s="245"/>
      <c r="AL403" s="245"/>
      <c r="AM403" s="245"/>
      <c r="AN403" s="897"/>
      <c r="AO403" s="207">
        <f t="shared" si="302"/>
        <v>1</v>
      </c>
      <c r="AQ403" s="215"/>
      <c r="AR403" s="215"/>
      <c r="AS403" s="216"/>
      <c r="AY403" s="216"/>
      <c r="AZ403" s="216"/>
      <c r="BA403" s="216"/>
    </row>
    <row r="404" spans="1:53" ht="25.5">
      <c r="A404" s="248">
        <v>21</v>
      </c>
      <c r="B404" s="593" t="s">
        <v>1419</v>
      </c>
      <c r="C404" s="593"/>
      <c r="D404" s="593"/>
      <c r="E404" s="593"/>
      <c r="F404" s="593"/>
      <c r="G404" s="268" t="s">
        <v>333</v>
      </c>
      <c r="H404" s="923">
        <v>2017</v>
      </c>
      <c r="I404" s="923"/>
      <c r="J404" s="924">
        <v>2018</v>
      </c>
      <c r="K404" s="923"/>
      <c r="L404" s="923"/>
      <c r="M404" s="925" t="s">
        <v>1420</v>
      </c>
      <c r="N404" s="277">
        <v>3190</v>
      </c>
      <c r="O404" s="277"/>
      <c r="P404" s="277">
        <v>3190</v>
      </c>
      <c r="Q404" s="277">
        <v>2000</v>
      </c>
      <c r="R404" s="277"/>
      <c r="S404" s="277">
        <v>2000</v>
      </c>
      <c r="T404" s="277">
        <v>2871</v>
      </c>
      <c r="U404" s="277">
        <v>871</v>
      </c>
      <c r="V404" s="245">
        <v>871</v>
      </c>
      <c r="W404" s="245">
        <v>871</v>
      </c>
      <c r="X404" s="245">
        <v>100</v>
      </c>
      <c r="Y404" s="594"/>
      <c r="Z404" s="245">
        <f t="shared" si="273"/>
        <v>871</v>
      </c>
      <c r="AA404" s="244">
        <f t="shared" si="297"/>
        <v>2871</v>
      </c>
      <c r="AB404" s="244">
        <f t="shared" si="298"/>
        <v>871</v>
      </c>
      <c r="AC404" s="244">
        <f t="shared" si="299"/>
        <v>2871</v>
      </c>
      <c r="AD404" s="244">
        <f t="shared" si="300"/>
        <v>2871</v>
      </c>
      <c r="AE404" s="244">
        <f t="shared" si="303"/>
        <v>0</v>
      </c>
      <c r="AF404" s="594"/>
      <c r="AG404" s="245"/>
      <c r="AH404" s="245"/>
      <c r="AI404" s="245"/>
      <c r="AJ404" s="245"/>
      <c r="AK404" s="245"/>
      <c r="AL404" s="245"/>
      <c r="AM404" s="245"/>
      <c r="AN404" s="926"/>
      <c r="AO404" s="207">
        <f t="shared" si="302"/>
        <v>1</v>
      </c>
      <c r="AQ404" s="215"/>
      <c r="AR404" s="215"/>
      <c r="AS404" s="216"/>
      <c r="AY404" s="216"/>
      <c r="AZ404" s="216"/>
      <c r="BA404" s="216"/>
    </row>
    <row r="405" spans="1:53" s="256" customFormat="1" ht="38.25">
      <c r="A405" s="248">
        <v>22</v>
      </c>
      <c r="B405" s="927" t="s">
        <v>1421</v>
      </c>
      <c r="C405" s="927"/>
      <c r="D405" s="927"/>
      <c r="E405" s="927"/>
      <c r="F405" s="927"/>
      <c r="G405" s="781" t="s">
        <v>333</v>
      </c>
      <c r="H405" s="928">
        <v>2017</v>
      </c>
      <c r="I405" s="928"/>
      <c r="J405" s="929">
        <v>2018</v>
      </c>
      <c r="K405" s="930"/>
      <c r="L405" s="930"/>
      <c r="M405" s="781" t="s">
        <v>1422</v>
      </c>
      <c r="N405" s="277">
        <v>4784</v>
      </c>
      <c r="O405" s="277"/>
      <c r="P405" s="277">
        <v>4784</v>
      </c>
      <c r="Q405" s="594">
        <v>2000</v>
      </c>
      <c r="R405" s="594"/>
      <c r="S405" s="594">
        <v>2000</v>
      </c>
      <c r="T405" s="594">
        <v>4306</v>
      </c>
      <c r="U405" s="594">
        <v>0</v>
      </c>
      <c r="V405" s="245"/>
      <c r="W405" s="245"/>
      <c r="X405" s="245"/>
      <c r="Y405" s="594"/>
      <c r="Z405" s="245">
        <f t="shared" si="273"/>
        <v>0</v>
      </c>
      <c r="AA405" s="244">
        <f t="shared" si="297"/>
        <v>2000</v>
      </c>
      <c r="AB405" s="244">
        <f t="shared" si="298"/>
        <v>0</v>
      </c>
      <c r="AC405" s="244">
        <f t="shared" si="299"/>
        <v>2000</v>
      </c>
      <c r="AD405" s="244">
        <f t="shared" si="300"/>
        <v>4306</v>
      </c>
      <c r="AE405" s="244">
        <f t="shared" si="303"/>
        <v>0</v>
      </c>
      <c r="AF405" s="594"/>
      <c r="AG405" s="255"/>
      <c r="AH405" s="255"/>
      <c r="AI405" s="255"/>
      <c r="AJ405" s="255"/>
      <c r="AK405" s="255"/>
      <c r="AL405" s="255"/>
      <c r="AM405" s="255"/>
      <c r="AN405" s="595" t="s">
        <v>1423</v>
      </c>
      <c r="AO405" s="256" t="e">
        <f t="shared" si="302"/>
        <v>#DIV/0!</v>
      </c>
      <c r="AQ405" s="257"/>
      <c r="AR405" s="257"/>
      <c r="AS405" s="258"/>
      <c r="AY405" s="258"/>
      <c r="AZ405" s="258"/>
      <c r="BA405" s="258"/>
    </row>
    <row r="406" spans="1:53" ht="51">
      <c r="A406" s="248">
        <v>23</v>
      </c>
      <c r="B406" s="931" t="s">
        <v>1424</v>
      </c>
      <c r="C406" s="931"/>
      <c r="D406" s="931"/>
      <c r="E406" s="931"/>
      <c r="F406" s="931"/>
      <c r="G406" s="932" t="s">
        <v>1425</v>
      </c>
      <c r="H406" s="933">
        <v>2017</v>
      </c>
      <c r="I406" s="933"/>
      <c r="J406" s="924">
        <v>2018</v>
      </c>
      <c r="K406" s="923"/>
      <c r="L406" s="923"/>
      <c r="M406" s="781" t="s">
        <v>1426</v>
      </c>
      <c r="N406" s="277">
        <v>3473</v>
      </c>
      <c r="O406" s="277"/>
      <c r="P406" s="277">
        <v>3473</v>
      </c>
      <c r="Q406" s="277">
        <v>2895</v>
      </c>
      <c r="R406" s="277"/>
      <c r="S406" s="277">
        <v>2895</v>
      </c>
      <c r="T406" s="277">
        <v>3125</v>
      </c>
      <c r="U406" s="277">
        <v>230</v>
      </c>
      <c r="V406" s="245">
        <v>230</v>
      </c>
      <c r="W406" s="245">
        <v>230</v>
      </c>
      <c r="X406" s="245">
        <v>100</v>
      </c>
      <c r="Y406" s="594"/>
      <c r="Z406" s="245">
        <f t="shared" si="273"/>
        <v>230</v>
      </c>
      <c r="AA406" s="244">
        <f t="shared" si="297"/>
        <v>3125</v>
      </c>
      <c r="AB406" s="244">
        <f t="shared" si="298"/>
        <v>230</v>
      </c>
      <c r="AC406" s="244">
        <f t="shared" si="299"/>
        <v>3125</v>
      </c>
      <c r="AD406" s="244">
        <f t="shared" si="300"/>
        <v>3125</v>
      </c>
      <c r="AE406" s="244">
        <f t="shared" si="303"/>
        <v>0</v>
      </c>
      <c r="AF406" s="594"/>
      <c r="AG406" s="245"/>
      <c r="AH406" s="245"/>
      <c r="AI406" s="245"/>
      <c r="AJ406" s="245"/>
      <c r="AK406" s="245"/>
      <c r="AL406" s="245"/>
      <c r="AM406" s="245"/>
      <c r="AN406" s="595" t="s">
        <v>1427</v>
      </c>
      <c r="AO406" s="207">
        <f t="shared" si="302"/>
        <v>1</v>
      </c>
      <c r="AQ406" s="215"/>
      <c r="AR406" s="215"/>
      <c r="AS406" s="216"/>
      <c r="AY406" s="216"/>
      <c r="AZ406" s="216"/>
      <c r="BA406" s="216"/>
    </row>
    <row r="407" spans="1:53" s="256" customFormat="1" ht="25.5">
      <c r="A407" s="248">
        <v>24</v>
      </c>
      <c r="B407" s="934" t="s">
        <v>1428</v>
      </c>
      <c r="C407" s="934"/>
      <c r="D407" s="934"/>
      <c r="E407" s="934"/>
      <c r="F407" s="934"/>
      <c r="G407" s="935" t="s">
        <v>333</v>
      </c>
      <c r="H407" s="935">
        <v>2016</v>
      </c>
      <c r="I407" s="935"/>
      <c r="J407" s="895">
        <v>2018</v>
      </c>
      <c r="K407" s="936"/>
      <c r="L407" s="936"/>
      <c r="M407" s="937" t="s">
        <v>1429</v>
      </c>
      <c r="N407" s="938">
        <v>20077</v>
      </c>
      <c r="O407" s="938"/>
      <c r="P407" s="938">
        <v>20077</v>
      </c>
      <c r="Q407" s="938">
        <v>13410</v>
      </c>
      <c r="R407" s="938"/>
      <c r="S407" s="938">
        <v>13410</v>
      </c>
      <c r="T407" s="938">
        <v>13410</v>
      </c>
      <c r="U407" s="938">
        <v>3667</v>
      </c>
      <c r="V407" s="245">
        <v>3667</v>
      </c>
      <c r="W407" s="245">
        <v>3667</v>
      </c>
      <c r="X407" s="245">
        <v>100</v>
      </c>
      <c r="Y407" s="938"/>
      <c r="Z407" s="245">
        <f t="shared" si="273"/>
        <v>3667</v>
      </c>
      <c r="AA407" s="244">
        <f t="shared" si="297"/>
        <v>17077</v>
      </c>
      <c r="AB407" s="244">
        <f t="shared" si="298"/>
        <v>3667</v>
      </c>
      <c r="AC407" s="244">
        <f t="shared" si="299"/>
        <v>17077</v>
      </c>
      <c r="AD407" s="244">
        <f t="shared" si="300"/>
        <v>13410</v>
      </c>
      <c r="AE407" s="244">
        <f t="shared" si="303"/>
        <v>0</v>
      </c>
      <c r="AF407" s="938"/>
      <c r="AG407" s="255"/>
      <c r="AH407" s="255"/>
      <c r="AI407" s="255"/>
      <c r="AJ407" s="255"/>
      <c r="AK407" s="255"/>
      <c r="AL407" s="255"/>
      <c r="AM407" s="255"/>
      <c r="AN407" s="939" t="s">
        <v>1430</v>
      </c>
      <c r="AO407" s="256">
        <f t="shared" si="302"/>
        <v>1</v>
      </c>
      <c r="AQ407" s="257"/>
      <c r="AR407" s="257"/>
      <c r="AS407" s="258"/>
      <c r="AY407" s="258"/>
      <c r="AZ407" s="258"/>
      <c r="BA407" s="258"/>
    </row>
    <row r="408" spans="1:53" ht="25.5">
      <c r="A408" s="248">
        <v>25</v>
      </c>
      <c r="B408" s="940" t="s">
        <v>1431</v>
      </c>
      <c r="C408" s="940"/>
      <c r="D408" s="940"/>
      <c r="E408" s="940"/>
      <c r="F408" s="940"/>
      <c r="G408" s="941" t="s">
        <v>395</v>
      </c>
      <c r="H408" s="935">
        <v>2016</v>
      </c>
      <c r="I408" s="935"/>
      <c r="J408" s="895">
        <v>2018</v>
      </c>
      <c r="K408" s="936"/>
      <c r="L408" s="936"/>
      <c r="M408" s="942" t="s">
        <v>1432</v>
      </c>
      <c r="N408" s="943">
        <v>4358</v>
      </c>
      <c r="O408" s="943"/>
      <c r="P408" s="943">
        <v>4358</v>
      </c>
      <c r="Q408" s="943">
        <f>1860+500</f>
        <v>2360</v>
      </c>
      <c r="R408" s="943"/>
      <c r="S408" s="943">
        <f>Q408</f>
        <v>2360</v>
      </c>
      <c r="T408" s="943">
        <v>3922</v>
      </c>
      <c r="U408" s="943">
        <v>1562</v>
      </c>
      <c r="V408" s="245">
        <v>1562</v>
      </c>
      <c r="W408" s="245">
        <v>1562</v>
      </c>
      <c r="X408" s="245">
        <v>100</v>
      </c>
      <c r="Y408" s="341"/>
      <c r="Z408" s="245">
        <f t="shared" si="273"/>
        <v>1562</v>
      </c>
      <c r="AA408" s="244">
        <f t="shared" si="297"/>
        <v>3922</v>
      </c>
      <c r="AB408" s="244">
        <f t="shared" si="298"/>
        <v>1562</v>
      </c>
      <c r="AC408" s="244">
        <f t="shared" si="299"/>
        <v>3922</v>
      </c>
      <c r="AD408" s="244">
        <f t="shared" si="300"/>
        <v>3922</v>
      </c>
      <c r="AE408" s="244">
        <f t="shared" si="303"/>
        <v>0</v>
      </c>
      <c r="AF408" s="341"/>
      <c r="AG408" s="245"/>
      <c r="AH408" s="245"/>
      <c r="AI408" s="245"/>
      <c r="AJ408" s="245"/>
      <c r="AK408" s="245"/>
      <c r="AL408" s="245"/>
      <c r="AM408" s="245"/>
      <c r="AN408" s="939"/>
      <c r="AO408" s="207">
        <f t="shared" si="302"/>
        <v>1</v>
      </c>
      <c r="AQ408" s="215"/>
      <c r="AR408" s="215"/>
      <c r="AS408" s="216"/>
      <c r="AY408" s="216"/>
      <c r="AZ408" s="216"/>
      <c r="BA408" s="216"/>
    </row>
    <row r="409" spans="1:53" ht="25.5">
      <c r="A409" s="248">
        <v>26</v>
      </c>
      <c r="B409" s="940" t="s">
        <v>1433</v>
      </c>
      <c r="C409" s="940"/>
      <c r="D409" s="940"/>
      <c r="E409" s="940"/>
      <c r="F409" s="940"/>
      <c r="G409" s="941" t="s">
        <v>333</v>
      </c>
      <c r="H409" s="935">
        <v>2016</v>
      </c>
      <c r="I409" s="935"/>
      <c r="J409" s="895">
        <v>2018</v>
      </c>
      <c r="K409" s="936"/>
      <c r="L409" s="936"/>
      <c r="M409" s="942" t="s">
        <v>1434</v>
      </c>
      <c r="N409" s="943">
        <v>2107</v>
      </c>
      <c r="O409" s="943"/>
      <c r="P409" s="943">
        <v>2107</v>
      </c>
      <c r="Q409" s="943">
        <v>1340</v>
      </c>
      <c r="R409" s="943"/>
      <c r="S409" s="943">
        <f>Q409</f>
        <v>1340</v>
      </c>
      <c r="T409" s="943">
        <v>1896</v>
      </c>
      <c r="U409" s="943">
        <v>556</v>
      </c>
      <c r="V409" s="245">
        <v>556</v>
      </c>
      <c r="W409" s="245">
        <v>556</v>
      </c>
      <c r="X409" s="245">
        <v>100</v>
      </c>
      <c r="Y409" s="943"/>
      <c r="Z409" s="245">
        <f t="shared" si="273"/>
        <v>556</v>
      </c>
      <c r="AA409" s="244">
        <f t="shared" si="297"/>
        <v>1896</v>
      </c>
      <c r="AB409" s="244">
        <f t="shared" si="298"/>
        <v>556</v>
      </c>
      <c r="AC409" s="244">
        <f t="shared" si="299"/>
        <v>1896</v>
      </c>
      <c r="AD409" s="244">
        <f t="shared" si="300"/>
        <v>1896</v>
      </c>
      <c r="AE409" s="244">
        <f t="shared" si="303"/>
        <v>0</v>
      </c>
      <c r="AF409" s="943"/>
      <c r="AG409" s="245"/>
      <c r="AH409" s="245"/>
      <c r="AI409" s="245"/>
      <c r="AJ409" s="245"/>
      <c r="AK409" s="245"/>
      <c r="AL409" s="245"/>
      <c r="AM409" s="245"/>
      <c r="AN409" s="939">
        <f>T411-Q411</f>
        <v>1357</v>
      </c>
      <c r="AO409" s="207">
        <f t="shared" si="302"/>
        <v>1</v>
      </c>
      <c r="AQ409" s="215"/>
      <c r="AR409" s="215"/>
      <c r="AS409" s="216"/>
      <c r="AY409" s="216"/>
      <c r="AZ409" s="216"/>
      <c r="BA409" s="216"/>
    </row>
    <row r="410" spans="1:53" s="256" customFormat="1" ht="68.25" customHeight="1">
      <c r="A410" s="248">
        <v>27</v>
      </c>
      <c r="B410" s="779" t="s">
        <v>1435</v>
      </c>
      <c r="C410" s="779"/>
      <c r="D410" s="779"/>
      <c r="E410" s="779"/>
      <c r="F410" s="779"/>
      <c r="G410" s="781" t="s">
        <v>382</v>
      </c>
      <c r="H410" s="935">
        <v>2016</v>
      </c>
      <c r="I410" s="935"/>
      <c r="J410" s="895">
        <v>2018</v>
      </c>
      <c r="K410" s="936"/>
      <c r="L410" s="936"/>
      <c r="M410" s="781" t="s">
        <v>1436</v>
      </c>
      <c r="N410" s="938">
        <v>8900</v>
      </c>
      <c r="O410" s="938"/>
      <c r="P410" s="938">
        <f>N410</f>
        <v>8900</v>
      </c>
      <c r="Q410" s="938">
        <v>7100</v>
      </c>
      <c r="R410" s="938"/>
      <c r="S410" s="938">
        <v>7100</v>
      </c>
      <c r="T410" s="938">
        <v>8010</v>
      </c>
      <c r="U410" s="938">
        <v>900</v>
      </c>
      <c r="V410" s="245">
        <v>900</v>
      </c>
      <c r="W410" s="245">
        <v>900</v>
      </c>
      <c r="X410" s="245">
        <v>100</v>
      </c>
      <c r="Y410" s="938"/>
      <c r="Z410" s="245">
        <f t="shared" si="273"/>
        <v>900</v>
      </c>
      <c r="AA410" s="244">
        <f t="shared" si="297"/>
        <v>8000</v>
      </c>
      <c r="AB410" s="244">
        <f t="shared" si="298"/>
        <v>900</v>
      </c>
      <c r="AC410" s="244">
        <f t="shared" si="299"/>
        <v>8000</v>
      </c>
      <c r="AD410" s="244">
        <f t="shared" si="300"/>
        <v>8010</v>
      </c>
      <c r="AE410" s="244">
        <f t="shared" si="303"/>
        <v>0</v>
      </c>
      <c r="AF410" s="938"/>
      <c r="AG410" s="255"/>
      <c r="AH410" s="255"/>
      <c r="AI410" s="255"/>
      <c r="AJ410" s="255"/>
      <c r="AK410" s="255"/>
      <c r="AL410" s="255"/>
      <c r="AM410" s="255"/>
      <c r="AN410" s="764" t="s">
        <v>1437</v>
      </c>
      <c r="AO410" s="256">
        <f t="shared" si="302"/>
        <v>1</v>
      </c>
      <c r="AQ410" s="257"/>
      <c r="AR410" s="257"/>
      <c r="AS410" s="258"/>
      <c r="AY410" s="258"/>
      <c r="AZ410" s="258"/>
      <c r="BA410" s="258"/>
    </row>
    <row r="411" spans="1:53" s="256" customFormat="1" ht="71.25" customHeight="1">
      <c r="A411" s="248">
        <v>28</v>
      </c>
      <c r="B411" s="779" t="s">
        <v>1438</v>
      </c>
      <c r="C411" s="779"/>
      <c r="D411" s="779"/>
      <c r="E411" s="779"/>
      <c r="F411" s="779"/>
      <c r="G411" s="781" t="s">
        <v>382</v>
      </c>
      <c r="H411" s="935">
        <v>2016</v>
      </c>
      <c r="I411" s="935"/>
      <c r="J411" s="895">
        <v>2018</v>
      </c>
      <c r="K411" s="936"/>
      <c r="L411" s="936"/>
      <c r="M411" s="781" t="s">
        <v>1439</v>
      </c>
      <c r="N411" s="938">
        <v>6508</v>
      </c>
      <c r="O411" s="938"/>
      <c r="P411" s="938">
        <f>N411</f>
        <v>6508</v>
      </c>
      <c r="Q411" s="938">
        <v>4500</v>
      </c>
      <c r="R411" s="938"/>
      <c r="S411" s="938">
        <v>4500</v>
      </c>
      <c r="T411" s="938">
        <v>5857</v>
      </c>
      <c r="U411" s="938">
        <v>1357</v>
      </c>
      <c r="V411" s="245">
        <v>1357</v>
      </c>
      <c r="W411" s="245">
        <v>1357</v>
      </c>
      <c r="X411" s="245">
        <v>100</v>
      </c>
      <c r="Y411" s="341"/>
      <c r="Z411" s="245">
        <f t="shared" si="273"/>
        <v>1357</v>
      </c>
      <c r="AA411" s="244">
        <f t="shared" si="297"/>
        <v>5857</v>
      </c>
      <c r="AB411" s="244">
        <f t="shared" si="298"/>
        <v>1357</v>
      </c>
      <c r="AC411" s="244">
        <f t="shared" si="299"/>
        <v>5857</v>
      </c>
      <c r="AD411" s="244">
        <f t="shared" si="300"/>
        <v>5857</v>
      </c>
      <c r="AE411" s="244">
        <f t="shared" si="303"/>
        <v>0</v>
      </c>
      <c r="AF411" s="341"/>
      <c r="AG411" s="255"/>
      <c r="AH411" s="255"/>
      <c r="AI411" s="255"/>
      <c r="AJ411" s="255"/>
      <c r="AK411" s="255"/>
      <c r="AL411" s="255"/>
      <c r="AM411" s="255"/>
      <c r="AN411" s="764" t="s">
        <v>1440</v>
      </c>
      <c r="AO411" s="256">
        <f t="shared" si="302"/>
        <v>1</v>
      </c>
      <c r="AQ411" s="257"/>
      <c r="AR411" s="257"/>
      <c r="AS411" s="258"/>
      <c r="AY411" s="258"/>
      <c r="AZ411" s="258"/>
      <c r="BA411" s="258"/>
    </row>
    <row r="412" spans="1:53" s="256" customFormat="1" ht="71.25" customHeight="1">
      <c r="A412" s="248">
        <v>29</v>
      </c>
      <c r="B412" s="779" t="s">
        <v>1441</v>
      </c>
      <c r="C412" s="779"/>
      <c r="D412" s="779"/>
      <c r="E412" s="779"/>
      <c r="F412" s="779"/>
      <c r="G412" s="764" t="s">
        <v>435</v>
      </c>
      <c r="H412" s="935">
        <v>2016</v>
      </c>
      <c r="I412" s="935"/>
      <c r="J412" s="895">
        <v>2018</v>
      </c>
      <c r="K412" s="936"/>
      <c r="L412" s="936"/>
      <c r="M412" s="781" t="s">
        <v>1442</v>
      </c>
      <c r="N412" s="938">
        <v>2900</v>
      </c>
      <c r="O412" s="938"/>
      <c r="P412" s="938">
        <f>N412</f>
        <v>2900</v>
      </c>
      <c r="Q412" s="938">
        <v>2000</v>
      </c>
      <c r="R412" s="938"/>
      <c r="S412" s="938">
        <v>2000</v>
      </c>
      <c r="T412" s="938">
        <v>2610</v>
      </c>
      <c r="U412" s="938">
        <v>610</v>
      </c>
      <c r="V412" s="245">
        <v>610</v>
      </c>
      <c r="W412" s="245">
        <v>610</v>
      </c>
      <c r="X412" s="245">
        <v>100</v>
      </c>
      <c r="Y412" s="938"/>
      <c r="Z412" s="245">
        <f t="shared" si="273"/>
        <v>610</v>
      </c>
      <c r="AA412" s="244">
        <f t="shared" si="297"/>
        <v>2610</v>
      </c>
      <c r="AB412" s="244">
        <f t="shared" si="298"/>
        <v>610</v>
      </c>
      <c r="AC412" s="244">
        <f t="shared" si="299"/>
        <v>2610</v>
      </c>
      <c r="AD412" s="244">
        <f t="shared" si="300"/>
        <v>2610</v>
      </c>
      <c r="AE412" s="244">
        <f t="shared" si="303"/>
        <v>0</v>
      </c>
      <c r="AF412" s="938"/>
      <c r="AG412" s="255"/>
      <c r="AH412" s="255"/>
      <c r="AI412" s="255"/>
      <c r="AJ412" s="255"/>
      <c r="AK412" s="255"/>
      <c r="AL412" s="255"/>
      <c r="AM412" s="255"/>
      <c r="AN412" s="764" t="s">
        <v>1443</v>
      </c>
      <c r="AO412" s="944">
        <f t="shared" si="302"/>
        <v>1</v>
      </c>
      <c r="AQ412" s="257"/>
      <c r="AR412" s="257"/>
      <c r="AS412" s="258"/>
      <c r="AY412" s="258"/>
      <c r="AZ412" s="258"/>
      <c r="BA412" s="258"/>
    </row>
    <row r="413" spans="1:53" s="256" customFormat="1" ht="25.5">
      <c r="A413" s="248">
        <v>30</v>
      </c>
      <c r="B413" s="945" t="s">
        <v>1444</v>
      </c>
      <c r="C413" s="945"/>
      <c r="D413" s="945"/>
      <c r="E413" s="945"/>
      <c r="F413" s="945"/>
      <c r="G413" s="946" t="s">
        <v>382</v>
      </c>
      <c r="H413" s="947">
        <v>2016</v>
      </c>
      <c r="I413" s="947"/>
      <c r="J413" s="895">
        <v>2018</v>
      </c>
      <c r="K413" s="948"/>
      <c r="L413" s="948"/>
      <c r="M413" s="949" t="s">
        <v>1445</v>
      </c>
      <c r="N413" s="943">
        <v>9500</v>
      </c>
      <c r="O413" s="943"/>
      <c r="P413" s="943">
        <v>9500</v>
      </c>
      <c r="Q413" s="943">
        <v>3500</v>
      </c>
      <c r="R413" s="943"/>
      <c r="S413" s="943">
        <v>3500</v>
      </c>
      <c r="T413" s="943">
        <v>8550</v>
      </c>
      <c r="U413" s="943">
        <v>5050</v>
      </c>
      <c r="V413" s="245">
        <v>5050</v>
      </c>
      <c r="W413" s="245">
        <v>5050</v>
      </c>
      <c r="X413" s="245">
        <v>100</v>
      </c>
      <c r="Y413" s="943"/>
      <c r="Z413" s="245">
        <f t="shared" si="273"/>
        <v>5050</v>
      </c>
      <c r="AA413" s="244">
        <f t="shared" si="297"/>
        <v>8550</v>
      </c>
      <c r="AB413" s="244">
        <f t="shared" si="298"/>
        <v>5050</v>
      </c>
      <c r="AC413" s="244">
        <f t="shared" si="299"/>
        <v>8550</v>
      </c>
      <c r="AD413" s="244">
        <f t="shared" si="300"/>
        <v>8550</v>
      </c>
      <c r="AE413" s="244">
        <f t="shared" si="303"/>
        <v>0</v>
      </c>
      <c r="AF413" s="943"/>
      <c r="AG413" s="245"/>
      <c r="AH413" s="245"/>
      <c r="AI413" s="245"/>
      <c r="AJ413" s="245"/>
      <c r="AK413" s="245"/>
      <c r="AL413" s="245"/>
      <c r="AM413" s="245"/>
      <c r="AN413" s="950"/>
      <c r="AO413" s="944">
        <f t="shared" si="302"/>
        <v>1</v>
      </c>
      <c r="AQ413" s="257"/>
      <c r="AR413" s="257"/>
      <c r="AS413" s="258"/>
      <c r="AY413" s="258"/>
      <c r="AZ413" s="258"/>
      <c r="BA413" s="258"/>
    </row>
    <row r="414" spans="1:53" ht="25.5">
      <c r="A414" s="248">
        <v>31</v>
      </c>
      <c r="B414" s="779" t="s">
        <v>1446</v>
      </c>
      <c r="C414" s="779"/>
      <c r="D414" s="779"/>
      <c r="E414" s="252" t="s">
        <v>1218</v>
      </c>
      <c r="F414" s="665" t="s">
        <v>1167</v>
      </c>
      <c r="G414" s="252" t="s">
        <v>378</v>
      </c>
      <c r="H414" s="680">
        <v>2014</v>
      </c>
      <c r="I414" s="680">
        <v>2014</v>
      </c>
      <c r="J414" s="895">
        <v>2019</v>
      </c>
      <c r="K414" s="253" t="s">
        <v>328</v>
      </c>
      <c r="L414" s="253"/>
      <c r="M414" s="951" t="s">
        <v>1447</v>
      </c>
      <c r="N414" s="337">
        <v>85119</v>
      </c>
      <c r="O414" s="337">
        <v>0</v>
      </c>
      <c r="P414" s="337">
        <v>11400</v>
      </c>
      <c r="Q414" s="337">
        <v>44500</v>
      </c>
      <c r="R414" s="337">
        <v>0</v>
      </c>
      <c r="S414" s="337">
        <v>44500</v>
      </c>
      <c r="T414" s="337">
        <v>11400</v>
      </c>
      <c r="U414" s="337">
        <v>5900</v>
      </c>
      <c r="V414" s="245">
        <v>2950</v>
      </c>
      <c r="W414" s="245">
        <v>2950</v>
      </c>
      <c r="X414" s="245">
        <v>50</v>
      </c>
      <c r="Y414" s="341"/>
      <c r="Z414" s="245">
        <f t="shared" si="273"/>
        <v>2950</v>
      </c>
      <c r="AA414" s="244">
        <f t="shared" si="297"/>
        <v>47450</v>
      </c>
      <c r="AB414" s="244">
        <f t="shared" si="298"/>
        <v>2950</v>
      </c>
      <c r="AC414" s="244">
        <f t="shared" si="299"/>
        <v>47450</v>
      </c>
      <c r="AD414" s="244">
        <f t="shared" si="300"/>
        <v>11400</v>
      </c>
      <c r="AE414" s="244">
        <f t="shared" si="303"/>
        <v>2950</v>
      </c>
      <c r="AF414" s="245">
        <v>2950</v>
      </c>
      <c r="AG414" s="245">
        <f t="shared" ref="AG414:AG415" si="304">AF414/AE414*100</f>
        <v>100</v>
      </c>
      <c r="AH414" s="245"/>
      <c r="AI414" s="245">
        <f t="shared" ref="AI414:AI415" si="305">AF414+AH414</f>
        <v>2950</v>
      </c>
      <c r="AJ414" s="245">
        <f t="shared" ref="AJ414:AJ415" si="306">AA414+AI414</f>
        <v>50400</v>
      </c>
      <c r="AK414" s="245">
        <f t="shared" ref="AK414:AK415" si="307">AC414+AI414</f>
        <v>50400</v>
      </c>
      <c r="AL414" s="245">
        <f>T414</f>
        <v>11400</v>
      </c>
      <c r="AM414" s="245">
        <f t="shared" ref="AM414:AM420" si="308">AE414-AI414</f>
        <v>0</v>
      </c>
      <c r="AN414" s="351"/>
      <c r="AO414" s="952">
        <f t="shared" si="302"/>
        <v>0.5</v>
      </c>
      <c r="AQ414" s="215" t="s">
        <v>722</v>
      </c>
      <c r="AR414" s="215" t="s">
        <v>1169</v>
      </c>
      <c r="AS414" s="216"/>
      <c r="AU414" s="359" t="s">
        <v>1223</v>
      </c>
      <c r="AY414" s="216"/>
      <c r="AZ414" s="216"/>
      <c r="BA414" s="216"/>
    </row>
    <row r="415" spans="1:53" ht="25.5">
      <c r="A415" s="248">
        <v>32</v>
      </c>
      <c r="B415" s="921" t="s">
        <v>1448</v>
      </c>
      <c r="C415" s="921"/>
      <c r="D415" s="922"/>
      <c r="E415" s="252" t="s">
        <v>1187</v>
      </c>
      <c r="F415" s="665" t="s">
        <v>1167</v>
      </c>
      <c r="G415" s="911" t="s">
        <v>382</v>
      </c>
      <c r="H415" s="253">
        <v>2017</v>
      </c>
      <c r="I415" s="253">
        <v>2017</v>
      </c>
      <c r="J415" s="895">
        <v>2019</v>
      </c>
      <c r="K415" s="253" t="s">
        <v>328</v>
      </c>
      <c r="L415" s="253"/>
      <c r="M415" s="953" t="s">
        <v>1449</v>
      </c>
      <c r="N415" s="337">
        <v>8675</v>
      </c>
      <c r="O415" s="337">
        <v>0</v>
      </c>
      <c r="P415" s="337">
        <v>8675</v>
      </c>
      <c r="Q415" s="337">
        <v>437</v>
      </c>
      <c r="R415" s="337">
        <v>0</v>
      </c>
      <c r="S415" s="337">
        <v>437</v>
      </c>
      <c r="T415" s="337">
        <v>7808</v>
      </c>
      <c r="U415" s="337">
        <v>7371</v>
      </c>
      <c r="V415" s="245">
        <v>3685</v>
      </c>
      <c r="W415" s="245">
        <v>3685.5</v>
      </c>
      <c r="X415" s="245">
        <v>50</v>
      </c>
      <c r="Y415" s="341"/>
      <c r="Z415" s="245">
        <f t="shared" si="273"/>
        <v>3685</v>
      </c>
      <c r="AA415" s="244">
        <f t="shared" si="297"/>
        <v>4122</v>
      </c>
      <c r="AB415" s="244">
        <f t="shared" si="298"/>
        <v>3685</v>
      </c>
      <c r="AC415" s="244">
        <f t="shared" si="299"/>
        <v>4122</v>
      </c>
      <c r="AD415" s="244">
        <f t="shared" si="300"/>
        <v>7808</v>
      </c>
      <c r="AE415" s="244">
        <f t="shared" si="303"/>
        <v>3686</v>
      </c>
      <c r="AF415" s="245">
        <v>3686</v>
      </c>
      <c r="AG415" s="245">
        <f t="shared" si="304"/>
        <v>100</v>
      </c>
      <c r="AH415" s="245"/>
      <c r="AI415" s="245">
        <f t="shared" si="305"/>
        <v>3686</v>
      </c>
      <c r="AJ415" s="245">
        <f t="shared" si="306"/>
        <v>7808</v>
      </c>
      <c r="AK415" s="245">
        <f t="shared" si="307"/>
        <v>7808</v>
      </c>
      <c r="AL415" s="245">
        <f>T415</f>
        <v>7808</v>
      </c>
      <c r="AM415" s="245">
        <f t="shared" si="308"/>
        <v>0</v>
      </c>
      <c r="AN415" s="896"/>
      <c r="AO415" s="952">
        <f t="shared" si="302"/>
        <v>0.5</v>
      </c>
      <c r="AQ415" s="215" t="s">
        <v>382</v>
      </c>
      <c r="AR415" s="215" t="s">
        <v>1450</v>
      </c>
      <c r="AS415" s="216"/>
      <c r="AU415" s="954" t="s">
        <v>1451</v>
      </c>
      <c r="AY415" s="216"/>
      <c r="AZ415" s="216"/>
      <c r="BA415" s="216"/>
    </row>
    <row r="416" spans="1:53" s="224" customFormat="1" ht="81.75" customHeight="1">
      <c r="A416" s="364">
        <v>33</v>
      </c>
      <c r="B416" s="955" t="s">
        <v>1452</v>
      </c>
      <c r="C416" s="955"/>
      <c r="D416" s="956"/>
      <c r="E416" s="785" t="s">
        <v>1187</v>
      </c>
      <c r="F416" s="692" t="s">
        <v>1167</v>
      </c>
      <c r="G416" s="786" t="s">
        <v>435</v>
      </c>
      <c r="H416" s="368">
        <v>2017</v>
      </c>
      <c r="I416" s="368">
        <v>2017</v>
      </c>
      <c r="J416" s="902">
        <v>2018</v>
      </c>
      <c r="K416" s="368" t="s">
        <v>328</v>
      </c>
      <c r="L416" s="368"/>
      <c r="M416" s="957" t="s">
        <v>1453</v>
      </c>
      <c r="N416" s="352">
        <v>6190</v>
      </c>
      <c r="O416" s="352">
        <v>0</v>
      </c>
      <c r="P416" s="352">
        <v>6190</v>
      </c>
      <c r="Q416" s="352">
        <v>3365</v>
      </c>
      <c r="R416" s="352">
        <v>0</v>
      </c>
      <c r="S416" s="352">
        <v>3365</v>
      </c>
      <c r="T416" s="352">
        <v>5521</v>
      </c>
      <c r="U416" s="352">
        <v>2521</v>
      </c>
      <c r="V416" s="245">
        <v>2521</v>
      </c>
      <c r="W416" s="245">
        <v>2521</v>
      </c>
      <c r="X416" s="245">
        <v>100</v>
      </c>
      <c r="Y416" s="369"/>
      <c r="Z416" s="245">
        <f t="shared" si="273"/>
        <v>2521</v>
      </c>
      <c r="AA416" s="244">
        <f t="shared" si="297"/>
        <v>5886</v>
      </c>
      <c r="AB416" s="244">
        <f t="shared" si="298"/>
        <v>2521</v>
      </c>
      <c r="AC416" s="244">
        <f t="shared" si="299"/>
        <v>5886</v>
      </c>
      <c r="AD416" s="244">
        <f t="shared" si="300"/>
        <v>5521</v>
      </c>
      <c r="AE416" s="244">
        <f t="shared" si="303"/>
        <v>0</v>
      </c>
      <c r="AF416" s="369"/>
      <c r="AG416" s="373"/>
      <c r="AH416" s="373"/>
      <c r="AI416" s="373"/>
      <c r="AJ416" s="373"/>
      <c r="AK416" s="373"/>
      <c r="AL416" s="373"/>
      <c r="AM416" s="373"/>
      <c r="AN416" s="904" t="s">
        <v>1454</v>
      </c>
      <c r="AO416" s="958">
        <f t="shared" si="302"/>
        <v>1</v>
      </c>
      <c r="AQ416" s="225"/>
      <c r="AR416" s="225"/>
      <c r="AS416" s="216" t="s">
        <v>496</v>
      </c>
      <c r="AT416" s="207"/>
      <c r="AU416" s="954"/>
      <c r="AY416" s="226"/>
      <c r="AZ416" s="226"/>
      <c r="BA416" s="226"/>
    </row>
    <row r="417" spans="1:53" ht="25.5">
      <c r="A417" s="248">
        <v>34</v>
      </c>
      <c r="B417" s="921" t="s">
        <v>1455</v>
      </c>
      <c r="C417" s="921"/>
      <c r="D417" s="922"/>
      <c r="E417" s="252" t="s">
        <v>1187</v>
      </c>
      <c r="F417" s="665" t="s">
        <v>1167</v>
      </c>
      <c r="G417" s="764" t="s">
        <v>435</v>
      </c>
      <c r="H417" s="253">
        <v>2017</v>
      </c>
      <c r="I417" s="253">
        <v>2017</v>
      </c>
      <c r="J417" s="895">
        <v>2019</v>
      </c>
      <c r="K417" s="253" t="s">
        <v>328</v>
      </c>
      <c r="L417" s="253"/>
      <c r="M417" s="912" t="s">
        <v>1456</v>
      </c>
      <c r="N417" s="337">
        <v>5795</v>
      </c>
      <c r="O417" s="337">
        <v>0</v>
      </c>
      <c r="P417" s="337">
        <v>5795</v>
      </c>
      <c r="Q417" s="337">
        <v>305</v>
      </c>
      <c r="R417" s="337">
        <v>0</v>
      </c>
      <c r="S417" s="337">
        <v>305</v>
      </c>
      <c r="T417" s="337">
        <v>5116</v>
      </c>
      <c r="U417" s="337">
        <v>4911</v>
      </c>
      <c r="V417" s="245">
        <v>2456</v>
      </c>
      <c r="W417" s="245">
        <v>2455.5</v>
      </c>
      <c r="X417" s="245">
        <v>50</v>
      </c>
      <c r="Y417" s="341"/>
      <c r="Z417" s="245">
        <f t="shared" si="273"/>
        <v>2456</v>
      </c>
      <c r="AA417" s="244">
        <f t="shared" ref="AA417:AA435" si="309">Q417+$Z417</f>
        <v>2761</v>
      </c>
      <c r="AB417" s="244">
        <f t="shared" ref="AB417:AB435" si="310">R417+$Z417</f>
        <v>2456</v>
      </c>
      <c r="AC417" s="244">
        <f t="shared" ref="AC417:AC435" si="311">S417+$Z417</f>
        <v>2761</v>
      </c>
      <c r="AD417" s="244">
        <f t="shared" ref="AD417:AD435" si="312">T417</f>
        <v>5116</v>
      </c>
      <c r="AE417" s="244">
        <f t="shared" si="303"/>
        <v>2455</v>
      </c>
      <c r="AF417" s="245">
        <v>2455</v>
      </c>
      <c r="AG417" s="245">
        <f t="shared" ref="AG417" si="313">AF417/AE417*100</f>
        <v>100</v>
      </c>
      <c r="AH417" s="245"/>
      <c r="AI417" s="245">
        <f t="shared" ref="AI417" si="314">AF417+AH417</f>
        <v>2455</v>
      </c>
      <c r="AJ417" s="245">
        <f t="shared" ref="AJ417" si="315">AA417+AI417</f>
        <v>5216</v>
      </c>
      <c r="AK417" s="245">
        <f t="shared" ref="AK417" si="316">AC417+AI417</f>
        <v>5216</v>
      </c>
      <c r="AL417" s="245">
        <f>T417</f>
        <v>5116</v>
      </c>
      <c r="AM417" s="245">
        <f t="shared" si="308"/>
        <v>0</v>
      </c>
      <c r="AN417" s="896"/>
      <c r="AO417" s="207">
        <f t="shared" si="302"/>
        <v>0.5</v>
      </c>
      <c r="AQ417" s="215" t="s">
        <v>993</v>
      </c>
      <c r="AR417" s="215" t="s">
        <v>1450</v>
      </c>
      <c r="AS417" s="216" t="s">
        <v>496</v>
      </c>
      <c r="AT417" s="207" t="s">
        <v>307</v>
      </c>
      <c r="AU417" s="954" t="s">
        <v>994</v>
      </c>
      <c r="AY417" s="216"/>
      <c r="AZ417" s="216"/>
      <c r="BA417" s="216"/>
    </row>
    <row r="418" spans="1:53" ht="38.25">
      <c r="A418" s="248">
        <v>35</v>
      </c>
      <c r="B418" s="338" t="s">
        <v>1457</v>
      </c>
      <c r="C418" s="338"/>
      <c r="D418" s="899"/>
      <c r="E418" s="814"/>
      <c r="F418" s="665"/>
      <c r="G418" s="271" t="s">
        <v>341</v>
      </c>
      <c r="H418" s="253">
        <v>2017</v>
      </c>
      <c r="I418" s="253"/>
      <c r="J418" s="895">
        <v>2019</v>
      </c>
      <c r="K418" s="253"/>
      <c r="L418" s="253"/>
      <c r="M418" s="271"/>
      <c r="N418" s="337">
        <v>4060</v>
      </c>
      <c r="O418" s="337"/>
      <c r="P418" s="337">
        <v>1198</v>
      </c>
      <c r="Q418" s="337">
        <v>0</v>
      </c>
      <c r="R418" s="337">
        <v>0</v>
      </c>
      <c r="S418" s="337">
        <v>0</v>
      </c>
      <c r="T418" s="337">
        <v>1198</v>
      </c>
      <c r="U418" s="337">
        <v>1198</v>
      </c>
      <c r="V418" s="245">
        <v>1198</v>
      </c>
      <c r="W418" s="245">
        <v>1198</v>
      </c>
      <c r="X418" s="245">
        <v>100</v>
      </c>
      <c r="Y418" s="341"/>
      <c r="Z418" s="245">
        <f t="shared" si="273"/>
        <v>1198</v>
      </c>
      <c r="AA418" s="244">
        <f t="shared" si="309"/>
        <v>1198</v>
      </c>
      <c r="AB418" s="244">
        <f t="shared" si="310"/>
        <v>1198</v>
      </c>
      <c r="AC418" s="244">
        <f t="shared" si="311"/>
        <v>1198</v>
      </c>
      <c r="AD418" s="244">
        <f t="shared" si="312"/>
        <v>1198</v>
      </c>
      <c r="AE418" s="244">
        <f t="shared" si="303"/>
        <v>0</v>
      </c>
      <c r="AF418" s="341"/>
      <c r="AG418" s="245"/>
      <c r="AH418" s="245"/>
      <c r="AI418" s="245"/>
      <c r="AJ418" s="245"/>
      <c r="AK418" s="245"/>
      <c r="AL418" s="245"/>
      <c r="AM418" s="245"/>
      <c r="AN418" s="896" t="s">
        <v>1458</v>
      </c>
      <c r="AO418" s="207">
        <f t="shared" si="302"/>
        <v>1</v>
      </c>
      <c r="AQ418" s="215" t="s">
        <v>1459</v>
      </c>
      <c r="AR418" s="215" t="s">
        <v>1169</v>
      </c>
      <c r="AS418" s="216" t="s">
        <v>572</v>
      </c>
      <c r="AY418" s="216"/>
      <c r="AZ418" s="216"/>
      <c r="BA418" s="216"/>
    </row>
    <row r="419" spans="1:53" ht="31.5">
      <c r="A419" s="248">
        <v>36</v>
      </c>
      <c r="B419" s="927" t="s">
        <v>1460</v>
      </c>
      <c r="C419" s="927"/>
      <c r="D419" s="927"/>
      <c r="E419" s="927"/>
      <c r="F419" s="927"/>
      <c r="G419" s="781" t="s">
        <v>382</v>
      </c>
      <c r="H419" s="928">
        <v>2017</v>
      </c>
      <c r="I419" s="928"/>
      <c r="J419" s="924">
        <v>2019</v>
      </c>
      <c r="K419" s="923"/>
      <c r="L419" s="923"/>
      <c r="M419" s="781" t="s">
        <v>1461</v>
      </c>
      <c r="N419" s="277">
        <v>12177</v>
      </c>
      <c r="O419" s="277"/>
      <c r="P419" s="277">
        <v>10924</v>
      </c>
      <c r="Q419" s="594">
        <v>4000</v>
      </c>
      <c r="R419" s="594"/>
      <c r="S419" s="594">
        <v>4000</v>
      </c>
      <c r="T419" s="594">
        <v>7832</v>
      </c>
      <c r="U419" s="594">
        <v>5832</v>
      </c>
      <c r="V419" s="245">
        <v>2916</v>
      </c>
      <c r="W419" s="245">
        <v>2916</v>
      </c>
      <c r="X419" s="245">
        <v>50</v>
      </c>
      <c r="Y419" s="341">
        <v>1000</v>
      </c>
      <c r="Z419" s="245">
        <f t="shared" si="273"/>
        <v>3916</v>
      </c>
      <c r="AA419" s="244">
        <f t="shared" si="309"/>
        <v>7916</v>
      </c>
      <c r="AB419" s="244">
        <f t="shared" si="310"/>
        <v>3916</v>
      </c>
      <c r="AC419" s="244">
        <f t="shared" si="311"/>
        <v>7916</v>
      </c>
      <c r="AD419" s="244">
        <f t="shared" si="312"/>
        <v>7832</v>
      </c>
      <c r="AE419" s="244">
        <f t="shared" si="303"/>
        <v>1916</v>
      </c>
      <c r="AF419" s="245">
        <v>1916</v>
      </c>
      <c r="AG419" s="245">
        <f t="shared" ref="AG419:AG420" si="317">AF419/AE419*100</f>
        <v>100</v>
      </c>
      <c r="AH419" s="245"/>
      <c r="AI419" s="245">
        <f t="shared" ref="AI419:AI420" si="318">AF419+AH419</f>
        <v>1916</v>
      </c>
      <c r="AJ419" s="245">
        <f t="shared" ref="AJ419:AJ420" si="319">AA419+AI419</f>
        <v>9832</v>
      </c>
      <c r="AK419" s="245">
        <f t="shared" ref="AK419:AK420" si="320">AC419+AI419</f>
        <v>9832</v>
      </c>
      <c r="AL419" s="245">
        <f>T419</f>
        <v>7832</v>
      </c>
      <c r="AM419" s="245">
        <f t="shared" si="308"/>
        <v>0</v>
      </c>
      <c r="AN419" s="595"/>
      <c r="AP419" s="959" t="s">
        <v>1462</v>
      </c>
      <c r="AQ419" s="215" t="s">
        <v>727</v>
      </c>
      <c r="AR419" s="215" t="s">
        <v>1450</v>
      </c>
      <c r="AS419" s="216" t="s">
        <v>572</v>
      </c>
      <c r="AT419" s="207" t="s">
        <v>307</v>
      </c>
      <c r="AU419" s="829" t="s">
        <v>1451</v>
      </c>
      <c r="AY419" s="216"/>
      <c r="AZ419" s="216"/>
      <c r="BA419" s="216"/>
    </row>
    <row r="420" spans="1:53" s="256" customFormat="1" ht="51">
      <c r="A420" s="248">
        <v>37</v>
      </c>
      <c r="B420" s="927" t="s">
        <v>1463</v>
      </c>
      <c r="C420" s="927"/>
      <c r="D420" s="927"/>
      <c r="E420" s="927"/>
      <c r="F420" s="927"/>
      <c r="G420" s="781" t="s">
        <v>333</v>
      </c>
      <c r="H420" s="928">
        <v>2017</v>
      </c>
      <c r="I420" s="928"/>
      <c r="J420" s="929">
        <v>2019</v>
      </c>
      <c r="K420" s="930"/>
      <c r="L420" s="930"/>
      <c r="M420" s="781" t="s">
        <v>1445</v>
      </c>
      <c r="N420" s="277">
        <v>12203</v>
      </c>
      <c r="O420" s="277"/>
      <c r="P420" s="277">
        <v>12203</v>
      </c>
      <c r="Q420" s="594">
        <f>1764+1000</f>
        <v>2764</v>
      </c>
      <c r="R420" s="594"/>
      <c r="S420" s="594">
        <f>Q420</f>
        <v>2764</v>
      </c>
      <c r="T420" s="594">
        <v>11160</v>
      </c>
      <c r="U420" s="594">
        <f>10160-1764</f>
        <v>8396</v>
      </c>
      <c r="V420" s="245">
        <v>4198</v>
      </c>
      <c r="W420" s="245">
        <v>4198</v>
      </c>
      <c r="X420" s="245">
        <v>50</v>
      </c>
      <c r="Y420" s="594"/>
      <c r="Z420" s="245">
        <f t="shared" si="273"/>
        <v>4198</v>
      </c>
      <c r="AA420" s="244">
        <f t="shared" si="309"/>
        <v>6962</v>
      </c>
      <c r="AB420" s="244">
        <f t="shared" si="310"/>
        <v>4198</v>
      </c>
      <c r="AC420" s="244">
        <f t="shared" si="311"/>
        <v>6962</v>
      </c>
      <c r="AD420" s="244">
        <f t="shared" si="312"/>
        <v>11160</v>
      </c>
      <c r="AE420" s="244">
        <f t="shared" si="303"/>
        <v>4198</v>
      </c>
      <c r="AF420" s="245">
        <v>4198</v>
      </c>
      <c r="AG420" s="245">
        <f t="shared" si="317"/>
        <v>100</v>
      </c>
      <c r="AH420" s="245"/>
      <c r="AI420" s="245">
        <f t="shared" si="318"/>
        <v>4198</v>
      </c>
      <c r="AJ420" s="245">
        <f t="shared" si="319"/>
        <v>11160</v>
      </c>
      <c r="AK420" s="245">
        <f t="shared" si="320"/>
        <v>11160</v>
      </c>
      <c r="AL420" s="245">
        <f>T420</f>
        <v>11160</v>
      </c>
      <c r="AM420" s="245">
        <f t="shared" si="308"/>
        <v>0</v>
      </c>
      <c r="AN420" s="960" t="s">
        <v>1464</v>
      </c>
      <c r="AO420" s="961">
        <f t="shared" ref="AO420:AO430" si="321">W420/U420</f>
        <v>0.5</v>
      </c>
      <c r="AQ420" s="257" t="s">
        <v>1465</v>
      </c>
      <c r="AR420" s="257" t="s">
        <v>1450</v>
      </c>
      <c r="AS420" s="258"/>
      <c r="AU420" s="829" t="s">
        <v>1304</v>
      </c>
      <c r="AY420" s="258"/>
      <c r="AZ420" s="258"/>
      <c r="BA420" s="258"/>
    </row>
    <row r="421" spans="1:53" ht="25.5">
      <c r="A421" s="248">
        <v>38</v>
      </c>
      <c r="B421" s="593" t="s">
        <v>1466</v>
      </c>
      <c r="C421" s="593"/>
      <c r="D421" s="593"/>
      <c r="E421" s="593"/>
      <c r="F421" s="593"/>
      <c r="G421" s="268" t="s">
        <v>341</v>
      </c>
      <c r="H421" s="923">
        <v>2017</v>
      </c>
      <c r="I421" s="923"/>
      <c r="J421" s="924">
        <v>2019</v>
      </c>
      <c r="K421" s="923"/>
      <c r="L421" s="923"/>
      <c r="M421" s="781" t="s">
        <v>1467</v>
      </c>
      <c r="N421" s="277">
        <v>6995</v>
      </c>
      <c r="O421" s="277"/>
      <c r="P421" s="277">
        <v>3000</v>
      </c>
      <c r="Q421" s="277">
        <v>500</v>
      </c>
      <c r="R421" s="277"/>
      <c r="S421" s="277">
        <v>500</v>
      </c>
      <c r="T421" s="277">
        <v>2700</v>
      </c>
      <c r="U421" s="277">
        <v>2200</v>
      </c>
      <c r="V421" s="245">
        <v>2200</v>
      </c>
      <c r="W421" s="245">
        <v>2200</v>
      </c>
      <c r="X421" s="245">
        <v>100</v>
      </c>
      <c r="Y421" s="341"/>
      <c r="Z421" s="245">
        <f t="shared" si="273"/>
        <v>2200</v>
      </c>
      <c r="AA421" s="244">
        <f t="shared" si="309"/>
        <v>2700</v>
      </c>
      <c r="AB421" s="244">
        <f t="shared" si="310"/>
        <v>2200</v>
      </c>
      <c r="AC421" s="244">
        <f t="shared" si="311"/>
        <v>2700</v>
      </c>
      <c r="AD421" s="244">
        <f t="shared" si="312"/>
        <v>2700</v>
      </c>
      <c r="AE421" s="244">
        <f t="shared" si="303"/>
        <v>0</v>
      </c>
      <c r="AF421" s="341"/>
      <c r="AG421" s="245"/>
      <c r="AH421" s="245"/>
      <c r="AI421" s="245"/>
      <c r="AJ421" s="245"/>
      <c r="AK421" s="245"/>
      <c r="AL421" s="245"/>
      <c r="AM421" s="245"/>
      <c r="AN421" s="926"/>
      <c r="AO421" s="207">
        <f t="shared" si="321"/>
        <v>1</v>
      </c>
      <c r="AQ421" s="215"/>
      <c r="AR421" s="215"/>
      <c r="AS421" s="216"/>
      <c r="AY421" s="216"/>
      <c r="AZ421" s="216"/>
      <c r="BA421" s="216"/>
    </row>
    <row r="422" spans="1:53" ht="25.5">
      <c r="A422" s="248">
        <v>39</v>
      </c>
      <c r="B422" s="270" t="s">
        <v>1468</v>
      </c>
      <c r="C422" s="270"/>
      <c r="D422" s="270"/>
      <c r="E422" s="270"/>
      <c r="F422" s="270"/>
      <c r="G422" s="271" t="s">
        <v>395</v>
      </c>
      <c r="H422" s="962">
        <v>2017</v>
      </c>
      <c r="I422" s="962"/>
      <c r="J422" s="963">
        <v>2019</v>
      </c>
      <c r="K422" s="962"/>
      <c r="L422" s="962"/>
      <c r="M422" s="964" t="s">
        <v>1469</v>
      </c>
      <c r="N422" s="277">
        <v>3000</v>
      </c>
      <c r="O422" s="277"/>
      <c r="P422" s="594">
        <f>N422</f>
        <v>3000</v>
      </c>
      <c r="Q422" s="277">
        <v>500</v>
      </c>
      <c r="R422" s="277"/>
      <c r="S422" s="277">
        <v>500</v>
      </c>
      <c r="T422" s="277">
        <v>2700</v>
      </c>
      <c r="U422" s="277">
        <v>2200</v>
      </c>
      <c r="V422" s="245">
        <v>2200</v>
      </c>
      <c r="W422" s="245">
        <v>2200</v>
      </c>
      <c r="X422" s="245">
        <v>100</v>
      </c>
      <c r="Y422" s="341"/>
      <c r="Z422" s="245">
        <f t="shared" si="273"/>
        <v>2200</v>
      </c>
      <c r="AA422" s="244">
        <f t="shared" si="309"/>
        <v>2700</v>
      </c>
      <c r="AB422" s="244">
        <f t="shared" si="310"/>
        <v>2200</v>
      </c>
      <c r="AC422" s="244">
        <f t="shared" si="311"/>
        <v>2700</v>
      </c>
      <c r="AD422" s="244">
        <f t="shared" si="312"/>
        <v>2700</v>
      </c>
      <c r="AE422" s="244">
        <f t="shared" si="303"/>
        <v>0</v>
      </c>
      <c r="AF422" s="341"/>
      <c r="AG422" s="245"/>
      <c r="AH422" s="245"/>
      <c r="AI422" s="245"/>
      <c r="AJ422" s="245"/>
      <c r="AK422" s="245"/>
      <c r="AL422" s="245"/>
      <c r="AM422" s="245"/>
      <c r="AN422" s="965"/>
      <c r="AO422" s="207">
        <f t="shared" si="321"/>
        <v>1</v>
      </c>
      <c r="AQ422" s="215" t="s">
        <v>656</v>
      </c>
      <c r="AR422" s="215"/>
      <c r="AS422" s="216"/>
      <c r="AY422" s="216"/>
      <c r="AZ422" s="216"/>
      <c r="BA422" s="216"/>
    </row>
    <row r="423" spans="1:53" ht="25.5">
      <c r="A423" s="248">
        <v>40</v>
      </c>
      <c r="B423" s="940" t="s">
        <v>1470</v>
      </c>
      <c r="C423" s="940"/>
      <c r="D423" s="940"/>
      <c r="E423" s="940"/>
      <c r="F423" s="940"/>
      <c r="G423" s="941" t="s">
        <v>333</v>
      </c>
      <c r="H423" s="966">
        <v>2017</v>
      </c>
      <c r="I423" s="966"/>
      <c r="J423" s="967">
        <v>2019</v>
      </c>
      <c r="K423" s="968"/>
      <c r="L423" s="968"/>
      <c r="M423" s="969" t="s">
        <v>1471</v>
      </c>
      <c r="N423" s="970">
        <v>3492</v>
      </c>
      <c r="O423" s="970"/>
      <c r="P423" s="970">
        <v>3492</v>
      </c>
      <c r="Q423" s="277">
        <v>500</v>
      </c>
      <c r="R423" s="277"/>
      <c r="S423" s="277">
        <v>500</v>
      </c>
      <c r="T423" s="277">
        <v>3143</v>
      </c>
      <c r="U423" s="277">
        <v>2643</v>
      </c>
      <c r="V423" s="245">
        <v>1321</v>
      </c>
      <c r="W423" s="245">
        <v>1321.5</v>
      </c>
      <c r="X423" s="245">
        <v>50</v>
      </c>
      <c r="Y423" s="341">
        <v>1322</v>
      </c>
      <c r="Z423" s="245">
        <f t="shared" si="273"/>
        <v>2643</v>
      </c>
      <c r="AA423" s="244">
        <f t="shared" si="309"/>
        <v>3143</v>
      </c>
      <c r="AB423" s="244">
        <f t="shared" si="310"/>
        <v>2643</v>
      </c>
      <c r="AC423" s="244">
        <f t="shared" si="311"/>
        <v>3143</v>
      </c>
      <c r="AD423" s="244">
        <f t="shared" si="312"/>
        <v>3143</v>
      </c>
      <c r="AE423" s="244">
        <f t="shared" si="303"/>
        <v>0</v>
      </c>
      <c r="AF423" s="341"/>
      <c r="AG423" s="245"/>
      <c r="AH423" s="245"/>
      <c r="AI423" s="245"/>
      <c r="AJ423" s="245"/>
      <c r="AK423" s="245"/>
      <c r="AL423" s="245"/>
      <c r="AM423" s="245"/>
      <c r="AN423" s="926"/>
      <c r="AO423" s="207">
        <f t="shared" si="321"/>
        <v>0.5</v>
      </c>
      <c r="AQ423" s="215"/>
      <c r="AR423" s="215"/>
      <c r="AS423" s="216"/>
      <c r="AY423" s="216"/>
      <c r="AZ423" s="216"/>
      <c r="BA423" s="216"/>
    </row>
    <row r="424" spans="1:53" ht="25.5">
      <c r="A424" s="248">
        <v>41</v>
      </c>
      <c r="B424" s="593" t="s">
        <v>1472</v>
      </c>
      <c r="C424" s="593"/>
      <c r="D424" s="593"/>
      <c r="E424" s="593"/>
      <c r="F424" s="593"/>
      <c r="G424" s="268" t="s">
        <v>333</v>
      </c>
      <c r="H424" s="923">
        <v>2017</v>
      </c>
      <c r="I424" s="923"/>
      <c r="J424" s="924">
        <v>2019</v>
      </c>
      <c r="K424" s="923"/>
      <c r="L424" s="923"/>
      <c r="M424" s="925" t="s">
        <v>1473</v>
      </c>
      <c r="N424" s="277">
        <v>3704</v>
      </c>
      <c r="O424" s="277"/>
      <c r="P424" s="277">
        <v>3704</v>
      </c>
      <c r="Q424" s="277">
        <v>500</v>
      </c>
      <c r="R424" s="277"/>
      <c r="S424" s="277">
        <v>500</v>
      </c>
      <c r="T424" s="277">
        <v>3333</v>
      </c>
      <c r="U424" s="277">
        <v>2833</v>
      </c>
      <c r="V424" s="245">
        <v>1416</v>
      </c>
      <c r="W424" s="245">
        <v>1416.5</v>
      </c>
      <c r="X424" s="245">
        <v>50</v>
      </c>
      <c r="Y424" s="341">
        <v>1417</v>
      </c>
      <c r="Z424" s="245">
        <f t="shared" si="273"/>
        <v>2833</v>
      </c>
      <c r="AA424" s="244">
        <f t="shared" si="309"/>
        <v>3333</v>
      </c>
      <c r="AB424" s="244">
        <f t="shared" si="310"/>
        <v>2833</v>
      </c>
      <c r="AC424" s="244">
        <f t="shared" si="311"/>
        <v>3333</v>
      </c>
      <c r="AD424" s="244">
        <f t="shared" si="312"/>
        <v>3333</v>
      </c>
      <c r="AE424" s="244">
        <f t="shared" si="303"/>
        <v>0</v>
      </c>
      <c r="AF424" s="341"/>
      <c r="AG424" s="245"/>
      <c r="AH424" s="245"/>
      <c r="AI424" s="245"/>
      <c r="AJ424" s="245"/>
      <c r="AK424" s="245"/>
      <c r="AL424" s="245"/>
      <c r="AM424" s="245"/>
      <c r="AN424" s="926"/>
      <c r="AO424" s="207">
        <f t="shared" si="321"/>
        <v>0.5</v>
      </c>
      <c r="AQ424" s="215"/>
      <c r="AR424" s="215"/>
      <c r="AS424" s="216"/>
      <c r="AY424" s="216"/>
      <c r="AZ424" s="216"/>
      <c r="BA424" s="216"/>
    </row>
    <row r="425" spans="1:53" ht="25.5">
      <c r="A425" s="248">
        <v>42</v>
      </c>
      <c r="B425" s="934" t="s">
        <v>1474</v>
      </c>
      <c r="C425" s="934"/>
      <c r="D425" s="934"/>
      <c r="E425" s="934"/>
      <c r="F425" s="934"/>
      <c r="G425" s="271" t="s">
        <v>382</v>
      </c>
      <c r="H425" s="971">
        <v>2017</v>
      </c>
      <c r="I425" s="971"/>
      <c r="J425" s="972">
        <v>2019</v>
      </c>
      <c r="K425" s="973"/>
      <c r="L425" s="973"/>
      <c r="M425" s="974" t="s">
        <v>1475</v>
      </c>
      <c r="N425" s="594">
        <v>4178</v>
      </c>
      <c r="O425" s="594"/>
      <c r="P425" s="594">
        <v>4178</v>
      </c>
      <c r="Q425" s="277">
        <v>500</v>
      </c>
      <c r="R425" s="277"/>
      <c r="S425" s="277">
        <v>500</v>
      </c>
      <c r="T425" s="277">
        <v>3760</v>
      </c>
      <c r="U425" s="277">
        <v>3260</v>
      </c>
      <c r="V425" s="245">
        <v>1630</v>
      </c>
      <c r="W425" s="245">
        <v>1630</v>
      </c>
      <c r="X425" s="245">
        <v>50</v>
      </c>
      <c r="Y425" s="341">
        <v>1630</v>
      </c>
      <c r="Z425" s="245">
        <f t="shared" si="273"/>
        <v>3260</v>
      </c>
      <c r="AA425" s="244">
        <f t="shared" si="309"/>
        <v>3760</v>
      </c>
      <c r="AB425" s="244">
        <f t="shared" si="310"/>
        <v>3260</v>
      </c>
      <c r="AC425" s="244">
        <f t="shared" si="311"/>
        <v>3760</v>
      </c>
      <c r="AD425" s="244">
        <f t="shared" si="312"/>
        <v>3760</v>
      </c>
      <c r="AE425" s="244">
        <f t="shared" si="303"/>
        <v>0</v>
      </c>
      <c r="AF425" s="341"/>
      <c r="AG425" s="245"/>
      <c r="AH425" s="245"/>
      <c r="AI425" s="245"/>
      <c r="AJ425" s="245"/>
      <c r="AK425" s="245"/>
      <c r="AL425" s="245"/>
      <c r="AM425" s="245"/>
      <c r="AN425" s="926"/>
      <c r="AO425" s="207">
        <f t="shared" si="321"/>
        <v>0.5</v>
      </c>
      <c r="AQ425" s="215"/>
      <c r="AR425" s="215"/>
      <c r="AS425" s="216"/>
      <c r="AY425" s="216"/>
      <c r="AZ425" s="216"/>
      <c r="BA425" s="216"/>
    </row>
    <row r="426" spans="1:53" ht="25.5">
      <c r="A426" s="248">
        <v>43</v>
      </c>
      <c r="B426" s="975" t="s">
        <v>1476</v>
      </c>
      <c r="C426" s="975"/>
      <c r="D426" s="975"/>
      <c r="E426" s="975"/>
      <c r="F426" s="975"/>
      <c r="G426" s="271" t="s">
        <v>1477</v>
      </c>
      <c r="H426" s="971">
        <v>2017</v>
      </c>
      <c r="I426" s="971"/>
      <c r="J426" s="976">
        <v>2019</v>
      </c>
      <c r="K426" s="977"/>
      <c r="L426" s="977"/>
      <c r="M426" s="781" t="s">
        <v>633</v>
      </c>
      <c r="N426" s="277">
        <v>4500</v>
      </c>
      <c r="O426" s="277"/>
      <c r="P426" s="277">
        <f>N426</f>
        <v>4500</v>
      </c>
      <c r="Q426" s="277">
        <v>500</v>
      </c>
      <c r="R426" s="277"/>
      <c r="S426" s="277">
        <v>500</v>
      </c>
      <c r="T426" s="277">
        <v>4050</v>
      </c>
      <c r="U426" s="277">
        <v>3550</v>
      </c>
      <c r="V426" s="245">
        <v>1775</v>
      </c>
      <c r="W426" s="245">
        <v>1775</v>
      </c>
      <c r="X426" s="245">
        <v>50</v>
      </c>
      <c r="Y426" s="341">
        <v>1775</v>
      </c>
      <c r="Z426" s="245">
        <f t="shared" si="273"/>
        <v>3550</v>
      </c>
      <c r="AA426" s="244">
        <f t="shared" si="309"/>
        <v>4050</v>
      </c>
      <c r="AB426" s="244">
        <f t="shared" si="310"/>
        <v>3550</v>
      </c>
      <c r="AC426" s="244">
        <f t="shared" si="311"/>
        <v>4050</v>
      </c>
      <c r="AD426" s="244">
        <f t="shared" si="312"/>
        <v>4050</v>
      </c>
      <c r="AE426" s="244">
        <f t="shared" si="303"/>
        <v>0</v>
      </c>
      <c r="AF426" s="341"/>
      <c r="AG426" s="245"/>
      <c r="AH426" s="245"/>
      <c r="AI426" s="245"/>
      <c r="AJ426" s="245"/>
      <c r="AK426" s="245"/>
      <c r="AL426" s="245"/>
      <c r="AM426" s="245"/>
      <c r="AN426" s="595"/>
      <c r="AO426" s="207">
        <f t="shared" si="321"/>
        <v>0.5</v>
      </c>
      <c r="AQ426" s="215"/>
      <c r="AR426" s="215"/>
      <c r="AS426" s="216"/>
      <c r="AY426" s="216"/>
      <c r="AZ426" s="216"/>
      <c r="BA426" s="216"/>
    </row>
    <row r="427" spans="1:53" ht="25.5">
      <c r="A427" s="248">
        <v>44</v>
      </c>
      <c r="B427" s="927" t="s">
        <v>1478</v>
      </c>
      <c r="C427" s="927"/>
      <c r="D427" s="927"/>
      <c r="E427" s="927"/>
      <c r="F427" s="927"/>
      <c r="G427" s="978" t="s">
        <v>373</v>
      </c>
      <c r="H427" s="962">
        <v>2017</v>
      </c>
      <c r="I427" s="962"/>
      <c r="J427" s="963">
        <v>2019</v>
      </c>
      <c r="K427" s="962"/>
      <c r="L427" s="962"/>
      <c r="M427" s="268" t="s">
        <v>1479</v>
      </c>
      <c r="N427" s="277">
        <v>6000</v>
      </c>
      <c r="O427" s="277"/>
      <c r="P427" s="277">
        <f>N427</f>
        <v>6000</v>
      </c>
      <c r="Q427" s="277">
        <v>500</v>
      </c>
      <c r="R427" s="277"/>
      <c r="S427" s="277">
        <v>500</v>
      </c>
      <c r="T427" s="277">
        <v>5400</v>
      </c>
      <c r="U427" s="277">
        <v>4900</v>
      </c>
      <c r="V427" s="245">
        <v>2450</v>
      </c>
      <c r="W427" s="245">
        <v>2450</v>
      </c>
      <c r="X427" s="245">
        <v>50</v>
      </c>
      <c r="Y427" s="341">
        <v>2450</v>
      </c>
      <c r="Z427" s="245">
        <f t="shared" si="273"/>
        <v>4900</v>
      </c>
      <c r="AA427" s="244">
        <f t="shared" si="309"/>
        <v>5400</v>
      </c>
      <c r="AB427" s="244">
        <f t="shared" si="310"/>
        <v>4900</v>
      </c>
      <c r="AC427" s="244">
        <f t="shared" si="311"/>
        <v>5400</v>
      </c>
      <c r="AD427" s="244">
        <f t="shared" si="312"/>
        <v>5400</v>
      </c>
      <c r="AE427" s="244">
        <f t="shared" si="303"/>
        <v>0</v>
      </c>
      <c r="AF427" s="341"/>
      <c r="AG427" s="245"/>
      <c r="AH427" s="245"/>
      <c r="AI427" s="245"/>
      <c r="AJ427" s="245"/>
      <c r="AK427" s="245"/>
      <c r="AL427" s="245"/>
      <c r="AM427" s="245"/>
      <c r="AN427" s="979"/>
      <c r="AO427" s="207">
        <f t="shared" si="321"/>
        <v>0.5</v>
      </c>
      <c r="AQ427" s="215"/>
      <c r="AR427" s="215"/>
      <c r="AS427" s="216"/>
      <c r="AY427" s="216"/>
      <c r="AZ427" s="216"/>
      <c r="BA427" s="216"/>
    </row>
    <row r="428" spans="1:53" ht="25.5">
      <c r="A428" s="248">
        <v>45</v>
      </c>
      <c r="B428" s="927" t="s">
        <v>1480</v>
      </c>
      <c r="C428" s="927"/>
      <c r="D428" s="927"/>
      <c r="E428" s="927"/>
      <c r="F428" s="927"/>
      <c r="G428" s="978" t="s">
        <v>382</v>
      </c>
      <c r="H428" s="962">
        <v>2017</v>
      </c>
      <c r="I428" s="962"/>
      <c r="J428" s="963">
        <v>2019</v>
      </c>
      <c r="K428" s="962"/>
      <c r="L428" s="962"/>
      <c r="M428" s="268" t="s">
        <v>1481</v>
      </c>
      <c r="N428" s="980">
        <v>6100</v>
      </c>
      <c r="O428" s="980"/>
      <c r="P428" s="594">
        <f>N428</f>
        <v>6100</v>
      </c>
      <c r="Q428" s="277">
        <v>500</v>
      </c>
      <c r="R428" s="277"/>
      <c r="S428" s="277">
        <v>500</v>
      </c>
      <c r="T428" s="277">
        <v>5490</v>
      </c>
      <c r="U428" s="277">
        <v>4990</v>
      </c>
      <c r="V428" s="245">
        <v>2495</v>
      </c>
      <c r="W428" s="245">
        <v>2495</v>
      </c>
      <c r="X428" s="245">
        <v>50</v>
      </c>
      <c r="Y428" s="341"/>
      <c r="Z428" s="245">
        <f t="shared" si="273"/>
        <v>2495</v>
      </c>
      <c r="AA428" s="244">
        <f t="shared" si="309"/>
        <v>2995</v>
      </c>
      <c r="AB428" s="244">
        <f t="shared" si="310"/>
        <v>2495</v>
      </c>
      <c r="AC428" s="244">
        <f t="shared" si="311"/>
        <v>2995</v>
      </c>
      <c r="AD428" s="244">
        <f t="shared" si="312"/>
        <v>5490</v>
      </c>
      <c r="AE428" s="244">
        <f t="shared" si="303"/>
        <v>2495</v>
      </c>
      <c r="AF428" s="245">
        <v>2495</v>
      </c>
      <c r="AG428" s="245">
        <f t="shared" ref="AG428:AG430" si="322">AF428/AE428*100</f>
        <v>100</v>
      </c>
      <c r="AH428" s="245"/>
      <c r="AI428" s="245">
        <f t="shared" ref="AI428:AI430" si="323">AF428+AH428</f>
        <v>2495</v>
      </c>
      <c r="AJ428" s="245">
        <f t="shared" ref="AJ428:AJ430" si="324">AA428+AI428</f>
        <v>5490</v>
      </c>
      <c r="AK428" s="245">
        <f t="shared" ref="AK428:AK430" si="325">AC428+AI428</f>
        <v>5490</v>
      </c>
      <c r="AL428" s="245">
        <f>T428</f>
        <v>5490</v>
      </c>
      <c r="AM428" s="245">
        <f t="shared" ref="AM428:AM430" si="326">AE428-AI428</f>
        <v>0</v>
      </c>
      <c r="AN428" s="965"/>
      <c r="AO428" s="207">
        <f t="shared" si="321"/>
        <v>0.5</v>
      </c>
      <c r="AQ428" s="215" t="s">
        <v>783</v>
      </c>
      <c r="AR428" s="215" t="s">
        <v>1450</v>
      </c>
      <c r="AS428" s="216"/>
      <c r="AT428" s="207" t="s">
        <v>307</v>
      </c>
      <c r="AU428" s="954" t="s">
        <v>1451</v>
      </c>
      <c r="AY428" s="216"/>
      <c r="AZ428" s="216"/>
      <c r="BA428" s="216"/>
    </row>
    <row r="429" spans="1:53" s="224" customFormat="1" ht="38.25">
      <c r="A429" s="364">
        <v>46</v>
      </c>
      <c r="B429" s="981" t="s">
        <v>1482</v>
      </c>
      <c r="C429" s="981"/>
      <c r="D429" s="981"/>
      <c r="E429" s="981"/>
      <c r="F429" s="981"/>
      <c r="G429" s="982" t="s">
        <v>341</v>
      </c>
      <c r="H429" s="983">
        <v>2017</v>
      </c>
      <c r="I429" s="983"/>
      <c r="J429" s="984">
        <v>2019</v>
      </c>
      <c r="K429" s="983"/>
      <c r="L429" s="983"/>
      <c r="M429" s="787" t="s">
        <v>1483</v>
      </c>
      <c r="N429" s="275">
        <v>12178</v>
      </c>
      <c r="O429" s="275"/>
      <c r="P429" s="275">
        <v>8873</v>
      </c>
      <c r="Q429" s="276">
        <v>1000</v>
      </c>
      <c r="R429" s="276"/>
      <c r="S429" s="276">
        <v>1000</v>
      </c>
      <c r="T429" s="276">
        <v>7986</v>
      </c>
      <c r="U429" s="276">
        <v>6986</v>
      </c>
      <c r="V429" s="373">
        <v>3493</v>
      </c>
      <c r="W429" s="373">
        <v>3493</v>
      </c>
      <c r="X429" s="373">
        <v>50</v>
      </c>
      <c r="Y429" s="369"/>
      <c r="Z429" s="373">
        <f t="shared" si="273"/>
        <v>3493</v>
      </c>
      <c r="AA429" s="524">
        <f t="shared" si="309"/>
        <v>4493</v>
      </c>
      <c r="AB429" s="524">
        <f t="shared" si="310"/>
        <v>3493</v>
      </c>
      <c r="AC429" s="524">
        <f t="shared" si="311"/>
        <v>4493</v>
      </c>
      <c r="AD429" s="524">
        <f t="shared" si="312"/>
        <v>7986</v>
      </c>
      <c r="AE429" s="524">
        <f t="shared" si="303"/>
        <v>3493</v>
      </c>
      <c r="AF429" s="373">
        <v>3493</v>
      </c>
      <c r="AG429" s="373">
        <f t="shared" si="322"/>
        <v>100</v>
      </c>
      <c r="AH429" s="373">
        <f>-1117</f>
        <v>-1117</v>
      </c>
      <c r="AI429" s="373">
        <f>AF429+AH429</f>
        <v>2376</v>
      </c>
      <c r="AJ429" s="245">
        <f t="shared" si="324"/>
        <v>6869</v>
      </c>
      <c r="AK429" s="245">
        <f t="shared" si="325"/>
        <v>6869</v>
      </c>
      <c r="AL429" s="245">
        <f>T429</f>
        <v>7986</v>
      </c>
      <c r="AM429" s="245">
        <f>AE429-AF429</f>
        <v>0</v>
      </c>
      <c r="AN429" s="586"/>
      <c r="AO429" s="224">
        <f t="shared" si="321"/>
        <v>0.5</v>
      </c>
      <c r="AQ429" s="225" t="s">
        <v>515</v>
      </c>
      <c r="AR429" s="225" t="s">
        <v>1450</v>
      </c>
      <c r="AS429" s="226"/>
      <c r="AT429" s="224" t="s">
        <v>307</v>
      </c>
      <c r="AU429" s="985" t="s">
        <v>631</v>
      </c>
      <c r="AY429" s="226"/>
      <c r="AZ429" s="226"/>
      <c r="BA429" s="226"/>
    </row>
    <row r="430" spans="1:53" ht="25.5">
      <c r="A430" s="248">
        <v>47</v>
      </c>
      <c r="B430" s="270" t="s">
        <v>1484</v>
      </c>
      <c r="C430" s="270"/>
      <c r="D430" s="270"/>
      <c r="E430" s="270"/>
      <c r="F430" s="270"/>
      <c r="G430" s="271" t="s">
        <v>341</v>
      </c>
      <c r="H430" s="962">
        <v>2017</v>
      </c>
      <c r="I430" s="962"/>
      <c r="J430" s="963">
        <v>2019</v>
      </c>
      <c r="K430" s="962"/>
      <c r="L430" s="962"/>
      <c r="M430" s="781" t="s">
        <v>1485</v>
      </c>
      <c r="N430" s="277">
        <v>8920</v>
      </c>
      <c r="O430" s="277"/>
      <c r="P430" s="594">
        <f>N430</f>
        <v>8920</v>
      </c>
      <c r="Q430" s="277">
        <v>1000</v>
      </c>
      <c r="R430" s="277"/>
      <c r="S430" s="277">
        <v>1000</v>
      </c>
      <c r="T430" s="277">
        <v>8028</v>
      </c>
      <c r="U430" s="277">
        <v>7028</v>
      </c>
      <c r="V430" s="245">
        <v>3514</v>
      </c>
      <c r="W430" s="245">
        <v>3514</v>
      </c>
      <c r="X430" s="245">
        <v>50</v>
      </c>
      <c r="Y430" s="341"/>
      <c r="Z430" s="245">
        <f t="shared" si="273"/>
        <v>3514</v>
      </c>
      <c r="AA430" s="244">
        <f t="shared" si="309"/>
        <v>4514</v>
      </c>
      <c r="AB430" s="244">
        <f t="shared" si="310"/>
        <v>3514</v>
      </c>
      <c r="AC430" s="244">
        <f t="shared" si="311"/>
        <v>4514</v>
      </c>
      <c r="AD430" s="244">
        <f t="shared" si="312"/>
        <v>8028</v>
      </c>
      <c r="AE430" s="244">
        <f t="shared" si="303"/>
        <v>3514</v>
      </c>
      <c r="AF430" s="245">
        <v>3514</v>
      </c>
      <c r="AG430" s="245">
        <f t="shared" si="322"/>
        <v>100</v>
      </c>
      <c r="AH430" s="245"/>
      <c r="AI430" s="245">
        <f t="shared" si="323"/>
        <v>3514</v>
      </c>
      <c r="AJ430" s="245">
        <f t="shared" si="324"/>
        <v>8028</v>
      </c>
      <c r="AK430" s="245">
        <f t="shared" si="325"/>
        <v>8028</v>
      </c>
      <c r="AL430" s="245">
        <f>T430</f>
        <v>8028</v>
      </c>
      <c r="AM430" s="245">
        <f t="shared" si="326"/>
        <v>0</v>
      </c>
      <c r="AN430" s="926"/>
      <c r="AO430" s="207">
        <f t="shared" si="321"/>
        <v>0.5</v>
      </c>
      <c r="AQ430" s="215" t="s">
        <v>1459</v>
      </c>
      <c r="AR430" s="215" t="s">
        <v>1194</v>
      </c>
      <c r="AS430" s="216" t="s">
        <v>572</v>
      </c>
      <c r="AT430" s="207" t="s">
        <v>307</v>
      </c>
      <c r="AU430" s="954" t="s">
        <v>1486</v>
      </c>
      <c r="AY430" s="216"/>
      <c r="AZ430" s="216"/>
      <c r="BA430" s="216"/>
    </row>
    <row r="431" spans="1:53" ht="25.5">
      <c r="A431" s="248">
        <v>48</v>
      </c>
      <c r="B431" s="270" t="s">
        <v>1487</v>
      </c>
      <c r="C431" s="927"/>
      <c r="D431" s="927"/>
      <c r="E431" s="927"/>
      <c r="F431" s="927"/>
      <c r="G431" s="781" t="s">
        <v>1292</v>
      </c>
      <c r="H431" s="928">
        <v>2017</v>
      </c>
      <c r="I431" s="928"/>
      <c r="J431" s="929">
        <v>2019</v>
      </c>
      <c r="K431" s="930"/>
      <c r="L431" s="930"/>
      <c r="M431" s="781" t="s">
        <v>1488</v>
      </c>
      <c r="N431" s="277">
        <v>14914</v>
      </c>
      <c r="O431" s="277"/>
      <c r="P431" s="277">
        <v>11380</v>
      </c>
      <c r="Q431" s="594">
        <v>1000</v>
      </c>
      <c r="R431" s="594"/>
      <c r="S431" s="594">
        <v>1000</v>
      </c>
      <c r="T431" s="594">
        <v>10242</v>
      </c>
      <c r="U431" s="594">
        <v>9242</v>
      </c>
      <c r="V431" s="245">
        <v>4621</v>
      </c>
      <c r="W431" s="245">
        <v>4621</v>
      </c>
      <c r="X431" s="245">
        <v>50</v>
      </c>
      <c r="Y431" s="341">
        <f>1500+3579</f>
        <v>5079</v>
      </c>
      <c r="Z431" s="245">
        <f t="shared" si="273"/>
        <v>9700</v>
      </c>
      <c r="AA431" s="244">
        <f t="shared" si="309"/>
        <v>10700</v>
      </c>
      <c r="AB431" s="244">
        <f t="shared" si="310"/>
        <v>9700</v>
      </c>
      <c r="AC431" s="244">
        <f t="shared" si="311"/>
        <v>10700</v>
      </c>
      <c r="AD431" s="244">
        <f t="shared" si="312"/>
        <v>10242</v>
      </c>
      <c r="AE431" s="524">
        <f t="shared" si="303"/>
        <v>-458</v>
      </c>
      <c r="AF431" s="341"/>
      <c r="AG431" s="245"/>
      <c r="AH431" s="245"/>
      <c r="AI431" s="245"/>
      <c r="AJ431" s="245"/>
      <c r="AK431" s="245"/>
      <c r="AL431" s="245"/>
      <c r="AM431" s="245"/>
      <c r="AN431" s="986" t="s">
        <v>1489</v>
      </c>
      <c r="AP431" s="654" t="s">
        <v>1490</v>
      </c>
      <c r="AQ431" s="215" t="s">
        <v>1491</v>
      </c>
      <c r="AR431" s="215" t="s">
        <v>1450</v>
      </c>
      <c r="AS431" s="216" t="s">
        <v>496</v>
      </c>
      <c r="AT431" s="207" t="s">
        <v>307</v>
      </c>
      <c r="AY431" s="216"/>
      <c r="AZ431" s="216"/>
      <c r="BA431" s="216"/>
    </row>
    <row r="432" spans="1:53" s="256" customFormat="1" ht="25.5">
      <c r="A432" s="248">
        <v>49</v>
      </c>
      <c r="B432" s="927" t="s">
        <v>1492</v>
      </c>
      <c r="C432" s="927"/>
      <c r="D432" s="927"/>
      <c r="E432" s="927"/>
      <c r="F432" s="927"/>
      <c r="G432" s="781" t="s">
        <v>373</v>
      </c>
      <c r="H432" s="928">
        <v>2017</v>
      </c>
      <c r="I432" s="928"/>
      <c r="J432" s="929">
        <v>2019</v>
      </c>
      <c r="K432" s="930"/>
      <c r="L432" s="930"/>
      <c r="M432" s="787" t="s">
        <v>1493</v>
      </c>
      <c r="N432" s="277">
        <v>10000</v>
      </c>
      <c r="O432" s="277"/>
      <c r="P432" s="277">
        <v>3500</v>
      </c>
      <c r="Q432" s="594">
        <v>3500</v>
      </c>
      <c r="R432" s="594"/>
      <c r="S432" s="594">
        <v>0</v>
      </c>
      <c r="T432" s="594">
        <v>3500</v>
      </c>
      <c r="U432" s="594">
        <v>3500</v>
      </c>
      <c r="V432" s="245">
        <v>1750</v>
      </c>
      <c r="W432" s="245">
        <v>1750</v>
      </c>
      <c r="X432" s="245">
        <v>50</v>
      </c>
      <c r="Y432" s="594">
        <v>1750</v>
      </c>
      <c r="Z432" s="245">
        <f t="shared" si="273"/>
        <v>3500</v>
      </c>
      <c r="AA432" s="244">
        <f t="shared" si="309"/>
        <v>7000</v>
      </c>
      <c r="AB432" s="244">
        <f t="shared" si="310"/>
        <v>3500</v>
      </c>
      <c r="AC432" s="244">
        <f t="shared" si="311"/>
        <v>3500</v>
      </c>
      <c r="AD432" s="244">
        <f t="shared" si="312"/>
        <v>3500</v>
      </c>
      <c r="AE432" s="244">
        <f t="shared" si="303"/>
        <v>0</v>
      </c>
      <c r="AF432" s="594"/>
      <c r="AG432" s="255"/>
      <c r="AH432" s="255"/>
      <c r="AI432" s="255"/>
      <c r="AJ432" s="255"/>
      <c r="AK432" s="255"/>
      <c r="AL432" s="255"/>
      <c r="AM432" s="255"/>
      <c r="AN432" s="904" t="s">
        <v>1494</v>
      </c>
      <c r="AO432" s="256">
        <f>W432/U432</f>
        <v>0.5</v>
      </c>
      <c r="AQ432" s="257" t="s">
        <v>1495</v>
      </c>
      <c r="AR432" s="257"/>
      <c r="AS432" s="258" t="s">
        <v>496</v>
      </c>
      <c r="AT432" s="207" t="s">
        <v>307</v>
      </c>
      <c r="AY432" s="258"/>
      <c r="AZ432" s="258"/>
      <c r="BA432" s="258"/>
    </row>
    <row r="433" spans="1:53" s="256" customFormat="1" ht="64.5" customHeight="1">
      <c r="A433" s="248">
        <v>50</v>
      </c>
      <c r="B433" s="338" t="s">
        <v>1496</v>
      </c>
      <c r="C433" s="338"/>
      <c r="D433" s="899"/>
      <c r="E433" s="252" t="s">
        <v>1497</v>
      </c>
      <c r="F433" s="665" t="s">
        <v>1167</v>
      </c>
      <c r="G433" s="252" t="s">
        <v>327</v>
      </c>
      <c r="H433" s="253">
        <v>2015</v>
      </c>
      <c r="I433" s="253">
        <v>2015</v>
      </c>
      <c r="J433" s="895">
        <v>2020</v>
      </c>
      <c r="K433" s="253" t="s">
        <v>328</v>
      </c>
      <c r="L433" s="253"/>
      <c r="M433" s="974" t="s">
        <v>1498</v>
      </c>
      <c r="N433" s="337">
        <v>139630</v>
      </c>
      <c r="O433" s="337">
        <v>0</v>
      </c>
      <c r="P433" s="337">
        <v>17000</v>
      </c>
      <c r="Q433" s="337">
        <v>32454</v>
      </c>
      <c r="R433" s="337">
        <v>0</v>
      </c>
      <c r="S433" s="337">
        <v>12454</v>
      </c>
      <c r="T433" s="337">
        <v>7519</v>
      </c>
      <c r="U433" s="337">
        <v>2846</v>
      </c>
      <c r="V433" s="245">
        <v>1423</v>
      </c>
      <c r="W433" s="245">
        <v>1423</v>
      </c>
      <c r="X433" s="245">
        <v>50</v>
      </c>
      <c r="Y433" s="341"/>
      <c r="Z433" s="245">
        <f t="shared" si="273"/>
        <v>1423</v>
      </c>
      <c r="AA433" s="244">
        <f t="shared" si="309"/>
        <v>33877</v>
      </c>
      <c r="AB433" s="244">
        <f t="shared" si="310"/>
        <v>1423</v>
      </c>
      <c r="AC433" s="244">
        <f t="shared" si="311"/>
        <v>13877</v>
      </c>
      <c r="AD433" s="244">
        <f t="shared" si="312"/>
        <v>7519</v>
      </c>
      <c r="AE433" s="244">
        <f t="shared" si="303"/>
        <v>1423</v>
      </c>
      <c r="AF433" s="245">
        <v>1423</v>
      </c>
      <c r="AG433" s="245">
        <f t="shared" ref="AG433:AG434" si="327">AF433/AE433*100</f>
        <v>100</v>
      </c>
      <c r="AH433" s="245"/>
      <c r="AI433" s="245">
        <f t="shared" ref="AI433:AI434" si="328">AF433+AH433</f>
        <v>1423</v>
      </c>
      <c r="AJ433" s="245">
        <f t="shared" ref="AJ433:AJ434" si="329">AA433+AI433</f>
        <v>35300</v>
      </c>
      <c r="AK433" s="245">
        <f t="shared" ref="AK433:AK434" si="330">AC433+AI433</f>
        <v>15300</v>
      </c>
      <c r="AL433" s="245">
        <f>T433</f>
        <v>7519</v>
      </c>
      <c r="AM433" s="245">
        <f t="shared" ref="AM433:AM434" si="331">AE433-AI433</f>
        <v>0</v>
      </c>
      <c r="AN433" s="896"/>
      <c r="AO433" s="256">
        <f>W433/U433</f>
        <v>0.5</v>
      </c>
      <c r="AQ433" s="257" t="s">
        <v>1499</v>
      </c>
      <c r="AR433" s="257" t="s">
        <v>1169</v>
      </c>
      <c r="AS433" s="258"/>
      <c r="AT433" s="207"/>
      <c r="AU433" s="359" t="s">
        <v>1500</v>
      </c>
      <c r="AY433" s="258"/>
      <c r="AZ433" s="258"/>
      <c r="BA433" s="258"/>
    </row>
    <row r="434" spans="1:53" s="256" customFormat="1" ht="45.75" customHeight="1">
      <c r="A434" s="248">
        <v>51</v>
      </c>
      <c r="B434" s="762" t="s">
        <v>1501</v>
      </c>
      <c r="C434" s="762"/>
      <c r="D434" s="763"/>
      <c r="E434" s="252" t="s">
        <v>1194</v>
      </c>
      <c r="F434" s="665" t="s">
        <v>1167</v>
      </c>
      <c r="G434" s="252" t="s">
        <v>333</v>
      </c>
      <c r="H434" s="253">
        <v>2014</v>
      </c>
      <c r="I434" s="253">
        <v>2014</v>
      </c>
      <c r="J434" s="895">
        <v>2020</v>
      </c>
      <c r="K434" s="253" t="s">
        <v>328</v>
      </c>
      <c r="L434" s="253"/>
      <c r="M434" s="901" t="s">
        <v>2518</v>
      </c>
      <c r="N434" s="337">
        <v>62512</v>
      </c>
      <c r="O434" s="337">
        <v>0</v>
      </c>
      <c r="P434" s="337">
        <v>62512</v>
      </c>
      <c r="Q434" s="337">
        <f>4500+27187</f>
        <v>31687</v>
      </c>
      <c r="R434" s="337">
        <v>0</v>
      </c>
      <c r="S434" s="337">
        <f>Q434</f>
        <v>31687</v>
      </c>
      <c r="T434" s="337">
        <v>16500</v>
      </c>
      <c r="U434" s="337">
        <v>14850</v>
      </c>
      <c r="V434" s="245">
        <v>7250</v>
      </c>
      <c r="W434" s="245">
        <v>7250</v>
      </c>
      <c r="X434" s="245">
        <v>50</v>
      </c>
      <c r="Y434" s="341"/>
      <c r="Z434" s="245">
        <f t="shared" si="273"/>
        <v>7250</v>
      </c>
      <c r="AA434" s="244">
        <f t="shared" si="309"/>
        <v>38937</v>
      </c>
      <c r="AB434" s="244">
        <f t="shared" si="310"/>
        <v>7250</v>
      </c>
      <c r="AC434" s="244">
        <f t="shared" si="311"/>
        <v>38937</v>
      </c>
      <c r="AD434" s="244">
        <f t="shared" si="312"/>
        <v>16500</v>
      </c>
      <c r="AE434" s="244">
        <f t="shared" si="303"/>
        <v>7600</v>
      </c>
      <c r="AF434" s="245">
        <v>3800</v>
      </c>
      <c r="AG434" s="245">
        <f t="shared" si="327"/>
        <v>50</v>
      </c>
      <c r="AH434" s="245"/>
      <c r="AI434" s="245">
        <f t="shared" si="328"/>
        <v>3800</v>
      </c>
      <c r="AJ434" s="245">
        <f t="shared" si="329"/>
        <v>42737</v>
      </c>
      <c r="AK434" s="245">
        <f t="shared" si="330"/>
        <v>42737</v>
      </c>
      <c r="AL434" s="245">
        <f>T434</f>
        <v>16500</v>
      </c>
      <c r="AM434" s="245">
        <f t="shared" si="331"/>
        <v>3800</v>
      </c>
      <c r="AN434" s="896" t="s">
        <v>1502</v>
      </c>
      <c r="AO434" s="256">
        <f>W434/U434</f>
        <v>0.48821548821548821</v>
      </c>
      <c r="AQ434" s="257" t="s">
        <v>1503</v>
      </c>
      <c r="AR434" s="215" t="s">
        <v>1194</v>
      </c>
      <c r="AS434" s="258"/>
      <c r="AT434" s="207"/>
      <c r="AU434" s="359" t="s">
        <v>1317</v>
      </c>
      <c r="AY434" s="258"/>
      <c r="AZ434" s="258"/>
      <c r="BA434" s="258"/>
    </row>
    <row r="435" spans="1:53" s="988" customFormat="1" ht="25.5">
      <c r="A435" s="248">
        <v>53</v>
      </c>
      <c r="B435" s="934" t="s">
        <v>1504</v>
      </c>
      <c r="C435" s="934"/>
      <c r="D435" s="934"/>
      <c r="E435" s="934"/>
      <c r="F435" s="934"/>
      <c r="G435" s="935" t="s">
        <v>333</v>
      </c>
      <c r="H435" s="935">
        <v>2016</v>
      </c>
      <c r="I435" s="935"/>
      <c r="J435" s="895">
        <v>2020</v>
      </c>
      <c r="K435" s="936"/>
      <c r="L435" s="936"/>
      <c r="M435" s="987"/>
      <c r="N435" s="943">
        <v>5305</v>
      </c>
      <c r="O435" s="943"/>
      <c r="P435" s="943">
        <v>5305</v>
      </c>
      <c r="Q435" s="943">
        <v>2000</v>
      </c>
      <c r="R435" s="943"/>
      <c r="S435" s="943">
        <v>2000</v>
      </c>
      <c r="T435" s="943">
        <v>4775</v>
      </c>
      <c r="U435" s="943">
        <v>2775</v>
      </c>
      <c r="V435" s="245">
        <v>2775</v>
      </c>
      <c r="W435" s="245">
        <v>1387.5</v>
      </c>
      <c r="X435" s="245">
        <v>50</v>
      </c>
      <c r="Y435" s="943"/>
      <c r="Z435" s="245">
        <f t="shared" si="273"/>
        <v>2775</v>
      </c>
      <c r="AA435" s="244">
        <f t="shared" si="309"/>
        <v>4775</v>
      </c>
      <c r="AB435" s="244">
        <f t="shared" si="310"/>
        <v>2775</v>
      </c>
      <c r="AC435" s="244">
        <f t="shared" si="311"/>
        <v>4775</v>
      </c>
      <c r="AD435" s="244">
        <f t="shared" si="312"/>
        <v>4775</v>
      </c>
      <c r="AE435" s="244">
        <f t="shared" si="303"/>
        <v>0</v>
      </c>
      <c r="AF435" s="943"/>
      <c r="AG435" s="245"/>
      <c r="AH435" s="245"/>
      <c r="AI435" s="245"/>
      <c r="AJ435" s="245"/>
      <c r="AK435" s="245"/>
      <c r="AL435" s="245"/>
      <c r="AM435" s="245"/>
      <c r="AN435" s="939" t="s">
        <v>1505</v>
      </c>
      <c r="AQ435" s="989" t="s">
        <v>1465</v>
      </c>
      <c r="AR435" s="989" t="s">
        <v>1169</v>
      </c>
      <c r="AS435" s="990"/>
      <c r="AT435" s="207"/>
      <c r="AY435" s="990"/>
      <c r="AZ435" s="990"/>
      <c r="BA435" s="990"/>
    </row>
    <row r="436" spans="1:53" s="539" customFormat="1" ht="22.5" customHeight="1">
      <c r="A436" s="991"/>
      <c r="B436" s="992" t="s">
        <v>1506</v>
      </c>
      <c r="C436" s="440"/>
      <c r="D436" s="440"/>
      <c r="E436" s="440"/>
      <c r="F436" s="440"/>
      <c r="G436" s="440"/>
      <c r="H436" s="440"/>
      <c r="I436" s="440"/>
      <c r="J436" s="440"/>
      <c r="K436" s="440"/>
      <c r="L436" s="440"/>
      <c r="M436" s="993"/>
      <c r="N436" s="994">
        <f>SUBTOTAL(9, N437:N439)</f>
        <v>68196</v>
      </c>
      <c r="O436" s="994">
        <f t="shared" ref="O436:AE436" si="332">SUBTOTAL(9, O437:O439)</f>
        <v>0</v>
      </c>
      <c r="P436" s="994">
        <f t="shared" si="332"/>
        <v>25303</v>
      </c>
      <c r="Q436" s="994">
        <f t="shared" si="332"/>
        <v>10500</v>
      </c>
      <c r="R436" s="994">
        <f t="shared" si="332"/>
        <v>0</v>
      </c>
      <c r="S436" s="994">
        <f t="shared" si="332"/>
        <v>4500</v>
      </c>
      <c r="T436" s="994">
        <f t="shared" si="332"/>
        <v>23998</v>
      </c>
      <c r="U436" s="994">
        <f t="shared" si="332"/>
        <v>19498</v>
      </c>
      <c r="V436" s="994">
        <f t="shared" si="332"/>
        <v>5100</v>
      </c>
      <c r="W436" s="994">
        <f t="shared" si="332"/>
        <v>5100</v>
      </c>
      <c r="X436" s="994"/>
      <c r="Y436" s="994">
        <f t="shared" si="332"/>
        <v>3600</v>
      </c>
      <c r="Z436" s="994">
        <f t="shared" si="332"/>
        <v>8700</v>
      </c>
      <c r="AA436" s="994">
        <f t="shared" si="332"/>
        <v>19200</v>
      </c>
      <c r="AB436" s="994">
        <f t="shared" si="332"/>
        <v>8700</v>
      </c>
      <c r="AC436" s="994">
        <f t="shared" si="332"/>
        <v>13200</v>
      </c>
      <c r="AD436" s="994">
        <f t="shared" si="332"/>
        <v>23998</v>
      </c>
      <c r="AE436" s="994">
        <f t="shared" si="332"/>
        <v>10798</v>
      </c>
      <c r="AF436" s="995"/>
      <c r="AG436" s="995"/>
      <c r="AH436" s="995"/>
      <c r="AI436" s="995"/>
      <c r="AJ436" s="995"/>
      <c r="AK436" s="995"/>
      <c r="AL436" s="995"/>
      <c r="AM436" s="995"/>
      <c r="AN436" s="440"/>
      <c r="AQ436" s="540"/>
      <c r="AR436" s="540"/>
      <c r="AS436" s="440"/>
      <c r="AT436" s="207"/>
      <c r="AY436" s="440"/>
      <c r="AZ436" s="440"/>
      <c r="BA436" s="440"/>
    </row>
    <row r="437" spans="1:53" s="256" customFormat="1" ht="38.25">
      <c r="A437" s="268">
        <v>1</v>
      </c>
      <c r="B437" s="593" t="s">
        <v>1507</v>
      </c>
      <c r="C437" s="593"/>
      <c r="D437" s="593"/>
      <c r="E437" s="593"/>
      <c r="F437" s="593"/>
      <c r="G437" s="268" t="s">
        <v>333</v>
      </c>
      <c r="H437" s="272">
        <v>2018</v>
      </c>
      <c r="I437" s="272"/>
      <c r="J437" s="273">
        <v>2020</v>
      </c>
      <c r="K437" s="273"/>
      <c r="L437" s="273"/>
      <c r="M437" s="274" t="s">
        <v>1508</v>
      </c>
      <c r="N437" s="594">
        <v>6600</v>
      </c>
      <c r="O437" s="594"/>
      <c r="P437" s="594">
        <v>6600</v>
      </c>
      <c r="Q437" s="594"/>
      <c r="R437" s="594"/>
      <c r="S437" s="594"/>
      <c r="T437" s="594">
        <f>3700+2900</f>
        <v>6600</v>
      </c>
      <c r="U437" s="594">
        <v>6600</v>
      </c>
      <c r="V437" s="245">
        <v>1850</v>
      </c>
      <c r="W437" s="245">
        <v>1850</v>
      </c>
      <c r="X437" s="245">
        <v>50</v>
      </c>
      <c r="Y437" s="277">
        <v>1850</v>
      </c>
      <c r="Z437" s="245">
        <f t="shared" ref="Z437:Z439" si="333">V437+Y437</f>
        <v>3700</v>
      </c>
      <c r="AA437" s="244">
        <f t="shared" ref="AA437:AC439" si="334">Q437+$Z437</f>
        <v>3700</v>
      </c>
      <c r="AB437" s="244">
        <f t="shared" si="334"/>
        <v>3700</v>
      </c>
      <c r="AC437" s="244">
        <f t="shared" si="334"/>
        <v>3700</v>
      </c>
      <c r="AD437" s="244">
        <f>T437</f>
        <v>6600</v>
      </c>
      <c r="AE437" s="244">
        <f>U437-Z437</f>
        <v>2900</v>
      </c>
      <c r="AF437" s="245">
        <v>1450</v>
      </c>
      <c r="AG437" s="245">
        <f t="shared" ref="AG437:AG439" si="335">AF437/AE437*100</f>
        <v>50</v>
      </c>
      <c r="AH437" s="245"/>
      <c r="AI437" s="245">
        <f t="shared" ref="AI437:AI439" si="336">AF437+AH437</f>
        <v>1450</v>
      </c>
      <c r="AJ437" s="245">
        <f t="shared" ref="AJ437:AJ439" si="337">AA437+AI437</f>
        <v>5150</v>
      </c>
      <c r="AK437" s="245">
        <f t="shared" ref="AK437:AK439" si="338">AC437+AI437</f>
        <v>5150</v>
      </c>
      <c r="AL437" s="245">
        <f>T437</f>
        <v>6600</v>
      </c>
      <c r="AM437" s="245">
        <f t="shared" ref="AM437:AM439" si="339">AE437-AI437</f>
        <v>1450</v>
      </c>
      <c r="AN437" s="996" t="s">
        <v>1509</v>
      </c>
      <c r="AQ437" s="257" t="s">
        <v>1052</v>
      </c>
      <c r="AR437" s="257" t="s">
        <v>1169</v>
      </c>
      <c r="AS437" s="258"/>
      <c r="AT437" s="207"/>
      <c r="AU437" s="954" t="s">
        <v>1510</v>
      </c>
      <c r="AY437" s="258"/>
      <c r="AZ437" s="258"/>
      <c r="BA437" s="258"/>
    </row>
    <row r="438" spans="1:53" s="256" customFormat="1" ht="38.25">
      <c r="A438" s="997">
        <v>2</v>
      </c>
      <c r="B438" s="998" t="s">
        <v>1511</v>
      </c>
      <c r="G438" s="999" t="s">
        <v>333</v>
      </c>
      <c r="H438" s="1000">
        <v>2018</v>
      </c>
      <c r="I438" s="1000"/>
      <c r="J438" s="1001">
        <v>2020</v>
      </c>
      <c r="M438" s="997" t="s">
        <v>1512</v>
      </c>
      <c r="N438" s="1002">
        <v>7657</v>
      </c>
      <c r="O438" s="1002"/>
      <c r="P438" s="594">
        <v>5657</v>
      </c>
      <c r="Q438" s="1002"/>
      <c r="R438" s="1002"/>
      <c r="S438" s="1002"/>
      <c r="T438" s="1002">
        <v>5657</v>
      </c>
      <c r="U438" s="1002">
        <v>5657</v>
      </c>
      <c r="V438" s="245">
        <v>1750</v>
      </c>
      <c r="W438" s="245">
        <v>1750</v>
      </c>
      <c r="X438" s="245">
        <v>50</v>
      </c>
      <c r="Y438" s="1002">
        <v>1750</v>
      </c>
      <c r="Z438" s="245">
        <f t="shared" si="333"/>
        <v>3500</v>
      </c>
      <c r="AA438" s="244">
        <f t="shared" si="334"/>
        <v>3500</v>
      </c>
      <c r="AB438" s="244">
        <f t="shared" si="334"/>
        <v>3500</v>
      </c>
      <c r="AC438" s="244">
        <f t="shared" si="334"/>
        <v>3500</v>
      </c>
      <c r="AD438" s="244">
        <f>T438</f>
        <v>5657</v>
      </c>
      <c r="AE438" s="244">
        <f>U438-Z438</f>
        <v>2157</v>
      </c>
      <c r="AF438" s="245">
        <v>2157</v>
      </c>
      <c r="AG438" s="245">
        <f t="shared" si="335"/>
        <v>100</v>
      </c>
      <c r="AH438" s="245"/>
      <c r="AI438" s="245">
        <f t="shared" si="336"/>
        <v>2157</v>
      </c>
      <c r="AJ438" s="245">
        <f t="shared" si="337"/>
        <v>5657</v>
      </c>
      <c r="AK438" s="245">
        <f t="shared" si="338"/>
        <v>5657</v>
      </c>
      <c r="AL438" s="245">
        <f>T438</f>
        <v>5657</v>
      </c>
      <c r="AM438" s="245">
        <f t="shared" si="339"/>
        <v>0</v>
      </c>
      <c r="AN438" s="996" t="s">
        <v>1513</v>
      </c>
      <c r="AQ438" s="257" t="s">
        <v>1514</v>
      </c>
      <c r="AR438" s="257" t="s">
        <v>1169</v>
      </c>
      <c r="AS438" s="258"/>
      <c r="AT438" s="207"/>
      <c r="AU438" s="954" t="s">
        <v>1515</v>
      </c>
      <c r="AY438" s="258"/>
      <c r="AZ438" s="258"/>
      <c r="BA438" s="258"/>
    </row>
    <row r="439" spans="1:53" s="256" customFormat="1" ht="25.5">
      <c r="A439" s="248">
        <v>3</v>
      </c>
      <c r="B439" s="351" t="s">
        <v>1516</v>
      </c>
      <c r="C439" s="351"/>
      <c r="D439" s="351"/>
      <c r="E439" s="814" t="s">
        <v>1349</v>
      </c>
      <c r="F439" s="665" t="s">
        <v>1167</v>
      </c>
      <c r="G439" s="764" t="s">
        <v>435</v>
      </c>
      <c r="H439" s="253">
        <v>2015</v>
      </c>
      <c r="I439" s="253">
        <v>2015</v>
      </c>
      <c r="J439" s="895">
        <v>2020</v>
      </c>
      <c r="K439" s="253" t="s">
        <v>328</v>
      </c>
      <c r="L439" s="253"/>
      <c r="M439" s="252" t="s">
        <v>1517</v>
      </c>
      <c r="N439" s="337">
        <v>53939</v>
      </c>
      <c r="O439" s="337">
        <v>0</v>
      </c>
      <c r="P439" s="337">
        <v>13046</v>
      </c>
      <c r="Q439" s="337">
        <v>10500</v>
      </c>
      <c r="R439" s="337">
        <v>0</v>
      </c>
      <c r="S439" s="337">
        <v>4500</v>
      </c>
      <c r="T439" s="337">
        <f>6000+7046-1305</f>
        <v>11741</v>
      </c>
      <c r="U439" s="337">
        <f>1500+3523+2218</f>
        <v>7241</v>
      </c>
      <c r="V439" s="245">
        <v>1500</v>
      </c>
      <c r="W439" s="245">
        <v>1500</v>
      </c>
      <c r="X439" s="245">
        <v>100</v>
      </c>
      <c r="Y439" s="341"/>
      <c r="Z439" s="245">
        <f t="shared" si="333"/>
        <v>1500</v>
      </c>
      <c r="AA439" s="244">
        <f t="shared" si="334"/>
        <v>12000</v>
      </c>
      <c r="AB439" s="244">
        <f t="shared" si="334"/>
        <v>1500</v>
      </c>
      <c r="AC439" s="244">
        <f t="shared" si="334"/>
        <v>6000</v>
      </c>
      <c r="AD439" s="244">
        <f>T439</f>
        <v>11741</v>
      </c>
      <c r="AE439" s="244">
        <f>U439-Z439</f>
        <v>5741</v>
      </c>
      <c r="AF439" s="245">
        <v>3523</v>
      </c>
      <c r="AG439" s="245">
        <f t="shared" si="335"/>
        <v>61.36561574638565</v>
      </c>
      <c r="AH439" s="245"/>
      <c r="AI439" s="245">
        <f t="shared" si="336"/>
        <v>3523</v>
      </c>
      <c r="AJ439" s="245">
        <f t="shared" si="337"/>
        <v>15523</v>
      </c>
      <c r="AK439" s="245">
        <f t="shared" si="338"/>
        <v>9523</v>
      </c>
      <c r="AL439" s="245">
        <f>T439</f>
        <v>11741</v>
      </c>
      <c r="AM439" s="245">
        <f t="shared" si="339"/>
        <v>2218</v>
      </c>
      <c r="AN439" s="996" t="s">
        <v>1518</v>
      </c>
      <c r="AQ439" s="257" t="s">
        <v>993</v>
      </c>
      <c r="AR439" s="257" t="s">
        <v>1169</v>
      </c>
      <c r="AS439" s="258" t="s">
        <v>496</v>
      </c>
      <c r="AT439" s="207"/>
      <c r="AU439" s="359" t="s">
        <v>1519</v>
      </c>
      <c r="AY439" s="258"/>
      <c r="AZ439" s="258"/>
      <c r="BA439" s="258"/>
    </row>
    <row r="440" spans="1:53" s="224" customFormat="1">
      <c r="A440" s="1003" t="s">
        <v>1346</v>
      </c>
      <c r="B440" s="1004" t="s">
        <v>1520</v>
      </c>
      <c r="C440" s="1004"/>
      <c r="D440" s="1004"/>
      <c r="E440" s="1004"/>
      <c r="F440" s="1004"/>
      <c r="G440" s="1003"/>
      <c r="H440" s="1003"/>
      <c r="I440" s="1003"/>
      <c r="J440" s="1003"/>
      <c r="K440" s="1003"/>
      <c r="L440" s="1003"/>
      <c r="M440" s="1003"/>
      <c r="N440" s="1005">
        <f>SUBTOTAL(9, N442:N458)</f>
        <v>140865</v>
      </c>
      <c r="O440" s="1005">
        <f t="shared" ref="O440:AE440" si="340">SUBTOTAL(9, O442:O458)</f>
        <v>0</v>
      </c>
      <c r="P440" s="1005">
        <f t="shared" si="340"/>
        <v>117785</v>
      </c>
      <c r="Q440" s="1005">
        <f t="shared" si="340"/>
        <v>3570</v>
      </c>
      <c r="R440" s="1005">
        <f t="shared" si="340"/>
        <v>0</v>
      </c>
      <c r="S440" s="1005">
        <f t="shared" si="340"/>
        <v>360</v>
      </c>
      <c r="T440" s="1005">
        <f t="shared" si="340"/>
        <v>111753.5</v>
      </c>
      <c r="U440" s="1005">
        <f t="shared" si="340"/>
        <v>111674.5</v>
      </c>
      <c r="V440" s="1005">
        <f t="shared" si="340"/>
        <v>37387</v>
      </c>
      <c r="W440" s="1005">
        <f t="shared" si="340"/>
        <v>37386.550000000003</v>
      </c>
      <c r="X440" s="1005"/>
      <c r="Y440" s="1005">
        <f t="shared" si="340"/>
        <v>31515</v>
      </c>
      <c r="Z440" s="1005">
        <f t="shared" si="340"/>
        <v>68902</v>
      </c>
      <c r="AA440" s="1005">
        <f t="shared" si="340"/>
        <v>72472</v>
      </c>
      <c r="AB440" s="1005">
        <f t="shared" si="340"/>
        <v>68902</v>
      </c>
      <c r="AC440" s="1005">
        <f t="shared" si="340"/>
        <v>69262</v>
      </c>
      <c r="AD440" s="1005">
        <f t="shared" si="340"/>
        <v>111753.5</v>
      </c>
      <c r="AE440" s="1005">
        <f t="shared" si="340"/>
        <v>42592.5</v>
      </c>
      <c r="AF440" s="1005"/>
      <c r="AG440" s="1005"/>
      <c r="AH440" s="1005"/>
      <c r="AI440" s="1005"/>
      <c r="AJ440" s="1005"/>
      <c r="AK440" s="1005"/>
      <c r="AL440" s="1005"/>
      <c r="AM440" s="1005"/>
      <c r="AN440" s="1003"/>
      <c r="AQ440" s="225"/>
      <c r="AR440" s="225"/>
      <c r="AS440" s="226"/>
      <c r="AT440" s="207"/>
      <c r="AY440" s="226"/>
      <c r="AZ440" s="226"/>
      <c r="BA440" s="226"/>
    </row>
    <row r="441" spans="1:53" s="256" customFormat="1" ht="25.5">
      <c r="A441" s="1006"/>
      <c r="B441" s="1007" t="s">
        <v>1521</v>
      </c>
      <c r="C441" s="1007"/>
      <c r="D441" s="1007"/>
      <c r="E441" s="1007"/>
      <c r="F441" s="1007"/>
      <c r="G441" s="1006"/>
      <c r="H441" s="1006"/>
      <c r="I441" s="1006"/>
      <c r="J441" s="1006"/>
      <c r="K441" s="1006"/>
      <c r="L441" s="1006"/>
      <c r="M441" s="1006"/>
      <c r="N441" s="1008"/>
      <c r="O441" s="1008"/>
      <c r="P441" s="1008"/>
      <c r="Q441" s="1008"/>
      <c r="R441" s="1008"/>
      <c r="S441" s="1008"/>
      <c r="T441" s="1008"/>
      <c r="U441" s="1008"/>
      <c r="V441" s="245"/>
      <c r="W441" s="1008"/>
      <c r="X441" s="255"/>
      <c r="Y441" s="1008"/>
      <c r="Z441" s="245">
        <f t="shared" ref="Z441:Z458" si="341">V441+Y441</f>
        <v>0</v>
      </c>
      <c r="AA441" s="1008"/>
      <c r="AB441" s="1008"/>
      <c r="AC441" s="1008"/>
      <c r="AD441" s="1008"/>
      <c r="AE441" s="1008"/>
      <c r="AF441" s="1008"/>
      <c r="AG441" s="255"/>
      <c r="AH441" s="255"/>
      <c r="AI441" s="255"/>
      <c r="AJ441" s="255"/>
      <c r="AK441" s="255"/>
      <c r="AL441" s="255"/>
      <c r="AM441" s="255"/>
      <c r="AN441" s="1006"/>
      <c r="AO441" s="256">
        <v>21345</v>
      </c>
      <c r="AQ441" s="257"/>
      <c r="AR441" s="257"/>
      <c r="AS441" s="258"/>
      <c r="AT441" s="207"/>
      <c r="AY441" s="258"/>
      <c r="AZ441" s="258"/>
      <c r="BA441" s="258"/>
    </row>
    <row r="442" spans="1:53" ht="38.25">
      <c r="A442" s="268">
        <v>1</v>
      </c>
      <c r="B442" s="270" t="s">
        <v>2538</v>
      </c>
      <c r="C442" s="270"/>
      <c r="D442" s="270"/>
      <c r="E442" s="270"/>
      <c r="F442" s="270"/>
      <c r="G442" s="271" t="s">
        <v>382</v>
      </c>
      <c r="H442" s="272">
        <v>2018</v>
      </c>
      <c r="I442" s="272"/>
      <c r="J442" s="273">
        <v>2020</v>
      </c>
      <c r="K442" s="273"/>
      <c r="L442" s="273"/>
      <c r="M442" s="925" t="s">
        <v>1522</v>
      </c>
      <c r="N442" s="277">
        <v>11993</v>
      </c>
      <c r="O442" s="277"/>
      <c r="P442" s="594">
        <v>5899</v>
      </c>
      <c r="Q442" s="277">
        <v>60</v>
      </c>
      <c r="R442" s="277"/>
      <c r="S442" s="277">
        <v>60</v>
      </c>
      <c r="T442" s="277">
        <v>5309</v>
      </c>
      <c r="U442" s="277">
        <v>5309</v>
      </c>
      <c r="V442" s="245">
        <v>1593</v>
      </c>
      <c r="W442" s="245">
        <v>1592.7</v>
      </c>
      <c r="X442" s="245">
        <v>30</v>
      </c>
      <c r="Y442" s="277"/>
      <c r="Z442" s="245">
        <f t="shared" si="341"/>
        <v>1593</v>
      </c>
      <c r="AA442" s="244">
        <f t="shared" ref="AA442:AA458" si="342">Q442+$Z442</f>
        <v>1653</v>
      </c>
      <c r="AB442" s="244">
        <f t="shared" ref="AB442:AB458" si="343">R442+$Z442</f>
        <v>1593</v>
      </c>
      <c r="AC442" s="244">
        <f t="shared" ref="AC442:AC458" si="344">S442+$Z442</f>
        <v>1653</v>
      </c>
      <c r="AD442" s="244">
        <f t="shared" ref="AD442:AD458" si="345">T442</f>
        <v>5309</v>
      </c>
      <c r="AE442" s="244">
        <f>U442-Z442-S442</f>
        <v>3656</v>
      </c>
      <c r="AF442" s="245">
        <v>1828</v>
      </c>
      <c r="AG442" s="245">
        <f t="shared" ref="AG442:AG445" si="346">AF442/AE442*100</f>
        <v>50</v>
      </c>
      <c r="AH442" s="245"/>
      <c r="AI442" s="245">
        <f t="shared" ref="AI442:AI445" si="347">AF442+AH442</f>
        <v>1828</v>
      </c>
      <c r="AJ442" s="245">
        <f t="shared" ref="AJ442:AJ445" si="348">AA442+AI442</f>
        <v>3481</v>
      </c>
      <c r="AK442" s="245">
        <f t="shared" ref="AK442:AK445" si="349">AC442+AI442</f>
        <v>3481</v>
      </c>
      <c r="AL442" s="245">
        <f>T442</f>
        <v>5309</v>
      </c>
      <c r="AM442" s="245">
        <f t="shared" ref="AM442:AM445" si="350">AE442-AI442</f>
        <v>1828</v>
      </c>
      <c r="AN442" s="926"/>
      <c r="AO442" s="209">
        <f>W440-AO441</f>
        <v>16041.550000000003</v>
      </c>
      <c r="AQ442" s="215" t="s">
        <v>585</v>
      </c>
      <c r="AR442" s="215" t="s">
        <v>1194</v>
      </c>
      <c r="AS442" s="216" t="s">
        <v>572</v>
      </c>
      <c r="AT442" s="207" t="s">
        <v>307</v>
      </c>
      <c r="AU442" s="1009" t="s">
        <v>1451</v>
      </c>
      <c r="AY442" s="216"/>
      <c r="AZ442" s="216"/>
      <c r="BA442" s="216"/>
    </row>
    <row r="443" spans="1:53" ht="38.25">
      <c r="A443" s="268">
        <v>2</v>
      </c>
      <c r="B443" s="270" t="s">
        <v>1523</v>
      </c>
      <c r="C443" s="270"/>
      <c r="D443" s="270"/>
      <c r="E443" s="270"/>
      <c r="F443" s="270"/>
      <c r="G443" s="271" t="s">
        <v>382</v>
      </c>
      <c r="H443" s="272">
        <v>2018</v>
      </c>
      <c r="I443" s="272"/>
      <c r="J443" s="273">
        <v>2020</v>
      </c>
      <c r="K443" s="273"/>
      <c r="L443" s="273"/>
      <c r="M443" s="781" t="s">
        <v>2423</v>
      </c>
      <c r="N443" s="277">
        <v>5000</v>
      </c>
      <c r="O443" s="277"/>
      <c r="P443" s="594">
        <v>3600</v>
      </c>
      <c r="Q443" s="277"/>
      <c r="R443" s="277"/>
      <c r="S443" s="277"/>
      <c r="T443" s="277">
        <v>3240</v>
      </c>
      <c r="U443" s="277">
        <v>3240</v>
      </c>
      <c r="V443" s="245">
        <v>972</v>
      </c>
      <c r="W443" s="245">
        <v>972</v>
      </c>
      <c r="X443" s="245">
        <v>30</v>
      </c>
      <c r="Y443" s="277"/>
      <c r="Z443" s="245">
        <f t="shared" si="341"/>
        <v>972</v>
      </c>
      <c r="AA443" s="244">
        <f t="shared" si="342"/>
        <v>972</v>
      </c>
      <c r="AB443" s="244">
        <f t="shared" si="343"/>
        <v>972</v>
      </c>
      <c r="AC443" s="244">
        <f t="shared" si="344"/>
        <v>972</v>
      </c>
      <c r="AD443" s="244">
        <f t="shared" si="345"/>
        <v>3240</v>
      </c>
      <c r="AE443" s="244">
        <f>U443-Z443</f>
        <v>2268</v>
      </c>
      <c r="AF443" s="245">
        <v>1134</v>
      </c>
      <c r="AG443" s="245">
        <f t="shared" si="346"/>
        <v>50</v>
      </c>
      <c r="AH443" s="245"/>
      <c r="AI443" s="245">
        <f t="shared" si="347"/>
        <v>1134</v>
      </c>
      <c r="AJ443" s="245">
        <f t="shared" si="348"/>
        <v>2106</v>
      </c>
      <c r="AK443" s="245">
        <f t="shared" si="349"/>
        <v>2106</v>
      </c>
      <c r="AL443" s="245">
        <f>T443</f>
        <v>3240</v>
      </c>
      <c r="AM443" s="245">
        <f t="shared" si="350"/>
        <v>1134</v>
      </c>
      <c r="AN443" s="926"/>
      <c r="AO443" s="209">
        <f>AO442-AN441</f>
        <v>16041.550000000003</v>
      </c>
      <c r="AQ443" s="215" t="s">
        <v>885</v>
      </c>
      <c r="AR443" s="215" t="s">
        <v>1194</v>
      </c>
      <c r="AS443" s="216" t="s">
        <v>572</v>
      </c>
      <c r="AT443" s="207" t="s">
        <v>307</v>
      </c>
      <c r="AU443" s="1009" t="s">
        <v>1451</v>
      </c>
      <c r="AY443" s="216"/>
      <c r="AZ443" s="216"/>
      <c r="BA443" s="216"/>
    </row>
    <row r="444" spans="1:53" ht="31.5">
      <c r="A444" s="268">
        <v>3</v>
      </c>
      <c r="B444" s="1010" t="s">
        <v>1524</v>
      </c>
      <c r="C444" s="1010"/>
      <c r="D444" s="1010"/>
      <c r="E444" s="1010"/>
      <c r="F444" s="1010"/>
      <c r="G444" s="1011" t="s">
        <v>341</v>
      </c>
      <c r="H444" s="272">
        <v>2018</v>
      </c>
      <c r="I444" s="272"/>
      <c r="J444" s="273">
        <v>2020</v>
      </c>
      <c r="K444" s="273"/>
      <c r="L444" s="273"/>
      <c r="M444" s="1012" t="s">
        <v>1525</v>
      </c>
      <c r="N444" s="277">
        <v>5000</v>
      </c>
      <c r="O444" s="277"/>
      <c r="P444" s="277">
        <v>3624</v>
      </c>
      <c r="Q444" s="594"/>
      <c r="R444" s="594"/>
      <c r="S444" s="594"/>
      <c r="T444" s="594">
        <v>3622</v>
      </c>
      <c r="U444" s="594">
        <v>3723</v>
      </c>
      <c r="V444" s="245">
        <v>1117</v>
      </c>
      <c r="W444" s="245">
        <v>1116.9000000000001</v>
      </c>
      <c r="X444" s="245">
        <v>30</v>
      </c>
      <c r="Y444" s="277"/>
      <c r="Z444" s="245">
        <f t="shared" si="341"/>
        <v>1117</v>
      </c>
      <c r="AA444" s="244">
        <f t="shared" si="342"/>
        <v>1117</v>
      </c>
      <c r="AB444" s="244">
        <f t="shared" si="343"/>
        <v>1117</v>
      </c>
      <c r="AC444" s="244">
        <f t="shared" si="344"/>
        <v>1117</v>
      </c>
      <c r="AD444" s="244">
        <f t="shared" si="345"/>
        <v>3622</v>
      </c>
      <c r="AE444" s="244">
        <f>U444-Z444</f>
        <v>2606</v>
      </c>
      <c r="AF444" s="245">
        <v>1303</v>
      </c>
      <c r="AG444" s="245">
        <f t="shared" si="346"/>
        <v>50</v>
      </c>
      <c r="AH444" s="245"/>
      <c r="AI444" s="245">
        <f t="shared" si="347"/>
        <v>1303</v>
      </c>
      <c r="AJ444" s="245">
        <f t="shared" si="348"/>
        <v>2420</v>
      </c>
      <c r="AK444" s="245">
        <f t="shared" si="349"/>
        <v>2420</v>
      </c>
      <c r="AL444" s="245">
        <f>T444</f>
        <v>3622</v>
      </c>
      <c r="AM444" s="245">
        <f t="shared" si="350"/>
        <v>1303</v>
      </c>
      <c r="AN444" s="586" t="s">
        <v>1494</v>
      </c>
      <c r="AQ444" s="215" t="s">
        <v>1526</v>
      </c>
      <c r="AR444" s="215" t="s">
        <v>1450</v>
      </c>
      <c r="AS444" s="216"/>
      <c r="AT444" s="207" t="s">
        <v>307</v>
      </c>
      <c r="AU444" s="1009" t="s">
        <v>631</v>
      </c>
      <c r="AY444" s="216"/>
      <c r="AZ444" s="216"/>
      <c r="BA444" s="216"/>
    </row>
    <row r="445" spans="1:53" ht="31.5">
      <c r="A445" s="268">
        <v>4</v>
      </c>
      <c r="B445" s="975" t="s">
        <v>1527</v>
      </c>
      <c r="C445" s="975"/>
      <c r="D445" s="975"/>
      <c r="E445" s="975"/>
      <c r="F445" s="975"/>
      <c r="G445" s="271" t="s">
        <v>395</v>
      </c>
      <c r="H445" s="272">
        <v>2018</v>
      </c>
      <c r="I445" s="272"/>
      <c r="J445" s="273">
        <v>2020</v>
      </c>
      <c r="K445" s="273"/>
      <c r="L445" s="273"/>
      <c r="M445" s="1011" t="s">
        <v>1528</v>
      </c>
      <c r="N445" s="277">
        <v>15000</v>
      </c>
      <c r="O445" s="277"/>
      <c r="P445" s="277">
        <v>7500</v>
      </c>
      <c r="Q445" s="277">
        <v>60</v>
      </c>
      <c r="R445" s="277"/>
      <c r="S445" s="277">
        <v>60</v>
      </c>
      <c r="T445" s="277">
        <v>6750</v>
      </c>
      <c r="U445" s="277">
        <v>6750</v>
      </c>
      <c r="V445" s="245">
        <v>2025</v>
      </c>
      <c r="W445" s="245">
        <v>2025</v>
      </c>
      <c r="X445" s="245">
        <v>30</v>
      </c>
      <c r="Y445" s="277"/>
      <c r="Z445" s="245">
        <f t="shared" si="341"/>
        <v>2025</v>
      </c>
      <c r="AA445" s="244">
        <f t="shared" si="342"/>
        <v>2085</v>
      </c>
      <c r="AB445" s="244">
        <f t="shared" si="343"/>
        <v>2025</v>
      </c>
      <c r="AC445" s="244">
        <f t="shared" si="344"/>
        <v>2085</v>
      </c>
      <c r="AD445" s="244">
        <f t="shared" si="345"/>
        <v>6750</v>
      </c>
      <c r="AE445" s="244">
        <f>U445-Z445-S445</f>
        <v>4665</v>
      </c>
      <c r="AF445" s="245">
        <v>2332.5</v>
      </c>
      <c r="AG445" s="245">
        <f t="shared" si="346"/>
        <v>50</v>
      </c>
      <c r="AH445" s="245"/>
      <c r="AI445" s="245">
        <f t="shared" si="347"/>
        <v>2332.5</v>
      </c>
      <c r="AJ445" s="245">
        <f t="shared" si="348"/>
        <v>4417.5</v>
      </c>
      <c r="AK445" s="245">
        <f t="shared" si="349"/>
        <v>4417.5</v>
      </c>
      <c r="AL445" s="245">
        <f>T445</f>
        <v>6750</v>
      </c>
      <c r="AM445" s="245">
        <f t="shared" si="350"/>
        <v>2332.5</v>
      </c>
      <c r="AN445" s="926"/>
      <c r="AQ445" s="215" t="s">
        <v>660</v>
      </c>
      <c r="AR445" s="215" t="s">
        <v>1169</v>
      </c>
      <c r="AS445" s="216"/>
      <c r="AU445" s="1009" t="s">
        <v>1529</v>
      </c>
      <c r="AY445" s="216"/>
      <c r="AZ445" s="216"/>
      <c r="BA445" s="216"/>
    </row>
    <row r="446" spans="1:53" ht="25.5">
      <c r="A446" s="268">
        <v>5</v>
      </c>
      <c r="B446" s="270" t="s">
        <v>1530</v>
      </c>
      <c r="C446" s="270"/>
      <c r="D446" s="270"/>
      <c r="E446" s="270"/>
      <c r="F446" s="270"/>
      <c r="G446" s="271" t="s">
        <v>435</v>
      </c>
      <c r="H446" s="272">
        <v>2018</v>
      </c>
      <c r="I446" s="272"/>
      <c r="J446" s="273">
        <v>2020</v>
      </c>
      <c r="K446" s="273"/>
      <c r="L446" s="273"/>
      <c r="M446" s="1013" t="s">
        <v>1531</v>
      </c>
      <c r="N446" s="277">
        <v>9500</v>
      </c>
      <c r="O446" s="277"/>
      <c r="P446" s="594">
        <v>9500</v>
      </c>
      <c r="Q446" s="277">
        <v>60</v>
      </c>
      <c r="R446" s="277"/>
      <c r="S446" s="277">
        <v>60</v>
      </c>
      <c r="T446" s="277">
        <v>8550</v>
      </c>
      <c r="U446" s="277">
        <v>8550</v>
      </c>
      <c r="V446" s="245">
        <v>2565</v>
      </c>
      <c r="W446" s="245">
        <v>2565</v>
      </c>
      <c r="X446" s="245">
        <v>30</v>
      </c>
      <c r="Y446" s="277">
        <v>5930</v>
      </c>
      <c r="Z446" s="245">
        <f t="shared" si="341"/>
        <v>8495</v>
      </c>
      <c r="AA446" s="244">
        <f t="shared" si="342"/>
        <v>8555</v>
      </c>
      <c r="AB446" s="244">
        <f t="shared" si="343"/>
        <v>8495</v>
      </c>
      <c r="AC446" s="244">
        <f t="shared" si="344"/>
        <v>8555</v>
      </c>
      <c r="AD446" s="244">
        <f t="shared" si="345"/>
        <v>8550</v>
      </c>
      <c r="AE446" s="244">
        <f>U446-Z446-S446</f>
        <v>-5</v>
      </c>
      <c r="AF446" s="277"/>
      <c r="AG446" s="245"/>
      <c r="AH446" s="245"/>
      <c r="AI446" s="245"/>
      <c r="AJ446" s="245"/>
      <c r="AK446" s="245"/>
      <c r="AL446" s="245"/>
      <c r="AM446" s="245"/>
      <c r="AN446" s="926" t="s">
        <v>1532</v>
      </c>
      <c r="AQ446" s="215" t="s">
        <v>608</v>
      </c>
      <c r="AR446" s="215" t="s">
        <v>1194</v>
      </c>
      <c r="AS446" s="216"/>
      <c r="AT446" s="207" t="s">
        <v>307</v>
      </c>
      <c r="AU446" s="207" t="s">
        <v>609</v>
      </c>
      <c r="AY446" s="216"/>
      <c r="AZ446" s="216"/>
      <c r="BA446" s="216"/>
    </row>
    <row r="447" spans="1:53" ht="25.5">
      <c r="A447" s="268"/>
      <c r="B447" s="1007" t="s">
        <v>1533</v>
      </c>
      <c r="C447" s="270"/>
      <c r="D447" s="270"/>
      <c r="E447" s="270"/>
      <c r="F447" s="270"/>
      <c r="G447" s="271"/>
      <c r="H447" s="272"/>
      <c r="I447" s="272"/>
      <c r="J447" s="273"/>
      <c r="K447" s="273"/>
      <c r="L447" s="273"/>
      <c r="M447" s="1011"/>
      <c r="N447" s="277"/>
      <c r="O447" s="277"/>
      <c r="P447" s="594"/>
      <c r="Q447" s="277"/>
      <c r="R447" s="277"/>
      <c r="S447" s="277"/>
      <c r="T447" s="277"/>
      <c r="U447" s="277"/>
      <c r="V447" s="245"/>
      <c r="W447" s="245"/>
      <c r="X447" s="245"/>
      <c r="Y447" s="277"/>
      <c r="Z447" s="245">
        <f t="shared" si="341"/>
        <v>0</v>
      </c>
      <c r="AA447" s="244">
        <f t="shared" si="342"/>
        <v>0</v>
      </c>
      <c r="AB447" s="244">
        <f t="shared" si="343"/>
        <v>0</v>
      </c>
      <c r="AC447" s="244">
        <f t="shared" si="344"/>
        <v>0</v>
      </c>
      <c r="AD447" s="244">
        <f t="shared" si="345"/>
        <v>0</v>
      </c>
      <c r="AE447" s="244">
        <f t="shared" ref="AE447:AE458" si="351">U447-Z447</f>
        <v>0</v>
      </c>
      <c r="AF447" s="277"/>
      <c r="AG447" s="245"/>
      <c r="AH447" s="245"/>
      <c r="AI447" s="245"/>
      <c r="AJ447" s="245"/>
      <c r="AK447" s="245"/>
      <c r="AL447" s="245"/>
      <c r="AM447" s="245"/>
      <c r="AN447" s="926"/>
      <c r="AQ447" s="215"/>
      <c r="AR447" s="215"/>
      <c r="AS447" s="216"/>
      <c r="AY447" s="216"/>
      <c r="AZ447" s="216"/>
      <c r="BA447" s="216"/>
    </row>
    <row r="448" spans="1:53" s="256" customFormat="1" ht="31.5">
      <c r="A448" s="268">
        <v>6</v>
      </c>
      <c r="B448" s="1010" t="s">
        <v>2517</v>
      </c>
      <c r="C448" s="1010"/>
      <c r="D448" s="1010"/>
      <c r="E448" s="1010"/>
      <c r="F448" s="1010"/>
      <c r="G448" s="1014" t="s">
        <v>373</v>
      </c>
      <c r="H448" s="272">
        <v>2018</v>
      </c>
      <c r="I448" s="272"/>
      <c r="J448" s="273">
        <v>2020</v>
      </c>
      <c r="K448" s="273"/>
      <c r="L448" s="273"/>
      <c r="M448" s="268" t="s">
        <v>1534</v>
      </c>
      <c r="N448" s="277">
        <v>9986</v>
      </c>
      <c r="O448" s="277"/>
      <c r="P448" s="277">
        <v>9986</v>
      </c>
      <c r="Q448" s="277">
        <v>60</v>
      </c>
      <c r="R448" s="277"/>
      <c r="S448" s="277">
        <v>60</v>
      </c>
      <c r="T448" s="277">
        <v>9986</v>
      </c>
      <c r="U448" s="275">
        <f>T448-Q448</f>
        <v>9926</v>
      </c>
      <c r="V448" s="245">
        <v>2978</v>
      </c>
      <c r="W448" s="245">
        <v>2977.8</v>
      </c>
      <c r="X448" s="245">
        <v>30</v>
      </c>
      <c r="Y448" s="277"/>
      <c r="Z448" s="245">
        <f t="shared" si="341"/>
        <v>2978</v>
      </c>
      <c r="AA448" s="244">
        <f t="shared" si="342"/>
        <v>3038</v>
      </c>
      <c r="AB448" s="244">
        <f t="shared" si="343"/>
        <v>2978</v>
      </c>
      <c r="AC448" s="244">
        <f t="shared" si="344"/>
        <v>3038</v>
      </c>
      <c r="AD448" s="244">
        <f t="shared" si="345"/>
        <v>9986</v>
      </c>
      <c r="AE448" s="244">
        <f t="shared" si="351"/>
        <v>6948</v>
      </c>
      <c r="AF448" s="245">
        <v>3474</v>
      </c>
      <c r="AG448" s="245">
        <f t="shared" ref="AG448:AG451" si="352">AF448/AE448*100</f>
        <v>50</v>
      </c>
      <c r="AH448" s="245"/>
      <c r="AI448" s="245">
        <f t="shared" ref="AI448:AI451" si="353">AF448+AH448</f>
        <v>3474</v>
      </c>
      <c r="AJ448" s="245">
        <f t="shared" ref="AJ448:AJ451" si="354">AA448+AI448</f>
        <v>6512</v>
      </c>
      <c r="AK448" s="245">
        <f t="shared" ref="AK448:AK451" si="355">AC448+AI448</f>
        <v>6512</v>
      </c>
      <c r="AL448" s="245">
        <f>T448</f>
        <v>9986</v>
      </c>
      <c r="AM448" s="245">
        <f t="shared" ref="AM448:AM451" si="356">AE448-AI448</f>
        <v>3474</v>
      </c>
      <c r="AN448" s="996" t="s">
        <v>1535</v>
      </c>
      <c r="AQ448" s="257" t="s">
        <v>1536</v>
      </c>
      <c r="AR448" s="257" t="s">
        <v>1450</v>
      </c>
      <c r="AS448" s="258" t="s">
        <v>496</v>
      </c>
      <c r="AT448" s="207" t="s">
        <v>307</v>
      </c>
      <c r="AU448" s="1009" t="s">
        <v>1537</v>
      </c>
      <c r="AY448" s="258"/>
      <c r="AZ448" s="258"/>
      <c r="BA448" s="258"/>
    </row>
    <row r="449" spans="1:53" s="256" customFormat="1" ht="31.5">
      <c r="A449" s="268">
        <v>7</v>
      </c>
      <c r="B449" s="270" t="s">
        <v>2424</v>
      </c>
      <c r="C449" s="270"/>
      <c r="D449" s="270"/>
      <c r="E449" s="270"/>
      <c r="F449" s="270"/>
      <c r="G449" s="271" t="s">
        <v>373</v>
      </c>
      <c r="H449" s="272">
        <v>2018</v>
      </c>
      <c r="I449" s="272"/>
      <c r="J449" s="273">
        <v>2020</v>
      </c>
      <c r="K449" s="273"/>
      <c r="L449" s="273"/>
      <c r="M449" s="1015" t="s">
        <v>1538</v>
      </c>
      <c r="N449" s="277">
        <v>9000</v>
      </c>
      <c r="O449" s="277"/>
      <c r="P449" s="594">
        <v>9000</v>
      </c>
      <c r="Q449" s="277">
        <v>60</v>
      </c>
      <c r="R449" s="277"/>
      <c r="S449" s="277">
        <v>60</v>
      </c>
      <c r="T449" s="277">
        <v>9000</v>
      </c>
      <c r="U449" s="275">
        <f>T449-Q449</f>
        <v>8940</v>
      </c>
      <c r="V449" s="245">
        <v>2682</v>
      </c>
      <c r="W449" s="245">
        <v>2682</v>
      </c>
      <c r="X449" s="245">
        <v>30</v>
      </c>
      <c r="Y449" s="277"/>
      <c r="Z449" s="245">
        <f t="shared" si="341"/>
        <v>2682</v>
      </c>
      <c r="AA449" s="244">
        <f t="shared" si="342"/>
        <v>2742</v>
      </c>
      <c r="AB449" s="244">
        <f t="shared" si="343"/>
        <v>2682</v>
      </c>
      <c r="AC449" s="244">
        <f t="shared" si="344"/>
        <v>2742</v>
      </c>
      <c r="AD449" s="244">
        <f t="shared" si="345"/>
        <v>9000</v>
      </c>
      <c r="AE449" s="244">
        <f t="shared" si="351"/>
        <v>6258</v>
      </c>
      <c r="AF449" s="245">
        <v>3129</v>
      </c>
      <c r="AG449" s="245">
        <f t="shared" si="352"/>
        <v>50</v>
      </c>
      <c r="AH449" s="245"/>
      <c r="AI449" s="245">
        <f t="shared" si="353"/>
        <v>3129</v>
      </c>
      <c r="AJ449" s="245">
        <f t="shared" si="354"/>
        <v>5871</v>
      </c>
      <c r="AK449" s="245">
        <f t="shared" si="355"/>
        <v>5871</v>
      </c>
      <c r="AL449" s="245">
        <f>T449</f>
        <v>9000</v>
      </c>
      <c r="AM449" s="245">
        <f t="shared" si="356"/>
        <v>3129</v>
      </c>
      <c r="AN449" s="996" t="s">
        <v>1535</v>
      </c>
      <c r="AQ449" s="257" t="s">
        <v>485</v>
      </c>
      <c r="AR449" s="215" t="s">
        <v>1194</v>
      </c>
      <c r="AS449" s="258"/>
      <c r="AT449" s="207" t="s">
        <v>307</v>
      </c>
      <c r="AU449" s="1009" t="s">
        <v>1537</v>
      </c>
      <c r="AY449" s="258"/>
      <c r="AZ449" s="258"/>
      <c r="BA449" s="258"/>
    </row>
    <row r="450" spans="1:53" s="256" customFormat="1" ht="31.5">
      <c r="A450" s="268">
        <v>11</v>
      </c>
      <c r="B450" s="1010" t="s">
        <v>1539</v>
      </c>
      <c r="C450" s="1010"/>
      <c r="D450" s="1010"/>
      <c r="E450" s="1010"/>
      <c r="F450" s="1010"/>
      <c r="G450" s="1014" t="s">
        <v>435</v>
      </c>
      <c r="H450" s="272">
        <v>2018</v>
      </c>
      <c r="I450" s="272"/>
      <c r="J450" s="273">
        <v>2020</v>
      </c>
      <c r="K450" s="273"/>
      <c r="L450" s="273"/>
      <c r="M450" s="1016" t="s">
        <v>1540</v>
      </c>
      <c r="N450" s="277">
        <v>6000</v>
      </c>
      <c r="O450" s="277"/>
      <c r="P450" s="277">
        <v>6000</v>
      </c>
      <c r="Q450" s="277"/>
      <c r="R450" s="277"/>
      <c r="S450" s="277"/>
      <c r="T450" s="277">
        <v>6000</v>
      </c>
      <c r="U450" s="277">
        <v>6000</v>
      </c>
      <c r="V450" s="245">
        <v>1800</v>
      </c>
      <c r="W450" s="245">
        <v>1800</v>
      </c>
      <c r="X450" s="245">
        <v>30</v>
      </c>
      <c r="Y450" s="277">
        <f>556+264+181</f>
        <v>1001</v>
      </c>
      <c r="Z450" s="245">
        <f t="shared" si="341"/>
        <v>2801</v>
      </c>
      <c r="AA450" s="244">
        <f t="shared" si="342"/>
        <v>2801</v>
      </c>
      <c r="AB450" s="244">
        <f t="shared" si="343"/>
        <v>2801</v>
      </c>
      <c r="AC450" s="244">
        <f t="shared" si="344"/>
        <v>2801</v>
      </c>
      <c r="AD450" s="244">
        <f t="shared" si="345"/>
        <v>6000</v>
      </c>
      <c r="AE450" s="244">
        <f t="shared" si="351"/>
        <v>3199</v>
      </c>
      <c r="AF450" s="245">
        <v>2100</v>
      </c>
      <c r="AG450" s="245">
        <f t="shared" si="352"/>
        <v>65.645514223194752</v>
      </c>
      <c r="AH450" s="245"/>
      <c r="AI450" s="245">
        <f t="shared" si="353"/>
        <v>2100</v>
      </c>
      <c r="AJ450" s="245">
        <f t="shared" si="354"/>
        <v>4901</v>
      </c>
      <c r="AK450" s="245">
        <f t="shared" si="355"/>
        <v>4901</v>
      </c>
      <c r="AL450" s="245">
        <f>T450</f>
        <v>6000</v>
      </c>
      <c r="AM450" s="245">
        <f t="shared" si="356"/>
        <v>1099</v>
      </c>
      <c r="AN450" s="926"/>
      <c r="AQ450" s="257" t="s">
        <v>732</v>
      </c>
      <c r="AR450" s="257" t="s">
        <v>1450</v>
      </c>
      <c r="AS450" s="258"/>
      <c r="AT450" s="207" t="s">
        <v>307</v>
      </c>
      <c r="AU450" s="1009" t="s">
        <v>1307</v>
      </c>
      <c r="AY450" s="258"/>
      <c r="AZ450" s="258"/>
      <c r="BA450" s="258"/>
    </row>
    <row r="451" spans="1:53" s="256" customFormat="1" ht="31.5">
      <c r="A451" s="268">
        <v>12</v>
      </c>
      <c r="B451" s="1010" t="s">
        <v>1541</v>
      </c>
      <c r="C451" s="1010"/>
      <c r="D451" s="1010"/>
      <c r="E451" s="1010"/>
      <c r="F451" s="1010"/>
      <c r="G451" s="1014" t="s">
        <v>373</v>
      </c>
      <c r="H451" s="272">
        <v>2018</v>
      </c>
      <c r="I451" s="272"/>
      <c r="J451" s="273">
        <v>2020</v>
      </c>
      <c r="K451" s="273"/>
      <c r="L451" s="273"/>
      <c r="M451" s="268" t="s">
        <v>1542</v>
      </c>
      <c r="N451" s="277">
        <v>9500</v>
      </c>
      <c r="O451" s="277"/>
      <c r="P451" s="277">
        <v>9500</v>
      </c>
      <c r="Q451" s="277">
        <v>60</v>
      </c>
      <c r="R451" s="277"/>
      <c r="S451" s="277">
        <v>60</v>
      </c>
      <c r="T451" s="277">
        <v>9500</v>
      </c>
      <c r="U451" s="275">
        <f>T451-Q451</f>
        <v>9440</v>
      </c>
      <c r="V451" s="245">
        <v>2832</v>
      </c>
      <c r="W451" s="245">
        <v>2832</v>
      </c>
      <c r="X451" s="245">
        <v>30</v>
      </c>
      <c r="Y451" s="277"/>
      <c r="Z451" s="245">
        <f t="shared" si="341"/>
        <v>2832</v>
      </c>
      <c r="AA451" s="244">
        <f t="shared" si="342"/>
        <v>2892</v>
      </c>
      <c r="AB451" s="244">
        <f t="shared" si="343"/>
        <v>2832</v>
      </c>
      <c r="AC451" s="244">
        <f t="shared" si="344"/>
        <v>2892</v>
      </c>
      <c r="AD451" s="244">
        <f t="shared" si="345"/>
        <v>9500</v>
      </c>
      <c r="AE451" s="244">
        <f t="shared" si="351"/>
        <v>6608</v>
      </c>
      <c r="AF451" s="245">
        <v>3304</v>
      </c>
      <c r="AG451" s="245">
        <f t="shared" si="352"/>
        <v>50</v>
      </c>
      <c r="AH451" s="245"/>
      <c r="AI451" s="245">
        <f t="shared" si="353"/>
        <v>3304</v>
      </c>
      <c r="AJ451" s="245">
        <f t="shared" si="354"/>
        <v>6196</v>
      </c>
      <c r="AK451" s="245">
        <f t="shared" si="355"/>
        <v>6196</v>
      </c>
      <c r="AL451" s="245">
        <f>T451</f>
        <v>9500</v>
      </c>
      <c r="AM451" s="245">
        <f t="shared" si="356"/>
        <v>3304</v>
      </c>
      <c r="AN451" s="996" t="s">
        <v>1535</v>
      </c>
      <c r="AQ451" s="257" t="s">
        <v>604</v>
      </c>
      <c r="AR451" s="257" t="s">
        <v>1450</v>
      </c>
      <c r="AS451" s="258" t="s">
        <v>496</v>
      </c>
      <c r="AT451" s="207" t="s">
        <v>307</v>
      </c>
      <c r="AU451" s="1009" t="s">
        <v>1537</v>
      </c>
      <c r="AY451" s="258"/>
      <c r="AZ451" s="258"/>
      <c r="BA451" s="258"/>
    </row>
    <row r="452" spans="1:53" s="1023" customFormat="1" ht="25.5">
      <c r="A452" s="1006"/>
      <c r="B452" s="1017" t="s">
        <v>1543</v>
      </c>
      <c r="C452" s="1017"/>
      <c r="D452" s="1017"/>
      <c r="E452" s="1017"/>
      <c r="F452" s="1017"/>
      <c r="G452" s="1018"/>
      <c r="H452" s="1019"/>
      <c r="I452" s="1019"/>
      <c r="J452" s="1020"/>
      <c r="K452" s="1020"/>
      <c r="L452" s="1020"/>
      <c r="M452" s="1006"/>
      <c r="N452" s="1008"/>
      <c r="O452" s="1008"/>
      <c r="P452" s="1008"/>
      <c r="Q452" s="1008"/>
      <c r="R452" s="1008"/>
      <c r="S452" s="1008"/>
      <c r="T452" s="1008"/>
      <c r="U452" s="1008"/>
      <c r="V452" s="245"/>
      <c r="W452" s="245"/>
      <c r="X452" s="245"/>
      <c r="Y452" s="277"/>
      <c r="Z452" s="245">
        <f t="shared" si="341"/>
        <v>0</v>
      </c>
      <c r="AA452" s="244">
        <f t="shared" si="342"/>
        <v>0</v>
      </c>
      <c r="AB452" s="244">
        <f t="shared" si="343"/>
        <v>0</v>
      </c>
      <c r="AC452" s="244">
        <f t="shared" si="344"/>
        <v>0</v>
      </c>
      <c r="AD452" s="244">
        <f t="shared" si="345"/>
        <v>0</v>
      </c>
      <c r="AE452" s="244">
        <f t="shared" si="351"/>
        <v>0</v>
      </c>
      <c r="AF452" s="277"/>
      <c r="AG452" s="1021"/>
      <c r="AH452" s="1021"/>
      <c r="AI452" s="1021"/>
      <c r="AJ452" s="1021"/>
      <c r="AK452" s="1021"/>
      <c r="AL452" s="1021"/>
      <c r="AM452" s="1021"/>
      <c r="AN452" s="1022"/>
      <c r="AQ452" s="1024"/>
      <c r="AR452" s="1024"/>
      <c r="AS452" s="1025"/>
      <c r="AT452" s="207"/>
      <c r="AY452" s="1025"/>
      <c r="AZ452" s="1025"/>
      <c r="BA452" s="1025"/>
    </row>
    <row r="453" spans="1:53" s="256" customFormat="1" ht="25.5">
      <c r="A453" s="268">
        <v>13</v>
      </c>
      <c r="B453" s="1010" t="s">
        <v>1544</v>
      </c>
      <c r="C453" s="1010"/>
      <c r="D453" s="1010"/>
      <c r="E453" s="1010"/>
      <c r="F453" s="1010"/>
      <c r="G453" s="1014" t="s">
        <v>382</v>
      </c>
      <c r="H453" s="272">
        <v>2018</v>
      </c>
      <c r="I453" s="272"/>
      <c r="J453" s="273">
        <v>2019</v>
      </c>
      <c r="K453" s="273"/>
      <c r="L453" s="273"/>
      <c r="M453" s="268"/>
      <c r="N453" s="277">
        <v>3000</v>
      </c>
      <c r="O453" s="277"/>
      <c r="P453" s="277">
        <v>3000</v>
      </c>
      <c r="Q453" s="277"/>
      <c r="R453" s="277"/>
      <c r="S453" s="277"/>
      <c r="T453" s="277">
        <v>3000</v>
      </c>
      <c r="U453" s="277">
        <v>3000</v>
      </c>
      <c r="V453" s="245">
        <v>1500</v>
      </c>
      <c r="W453" s="245">
        <v>1500</v>
      </c>
      <c r="X453" s="245">
        <v>50</v>
      </c>
      <c r="Y453" s="277">
        <v>1500</v>
      </c>
      <c r="Z453" s="245">
        <f t="shared" si="341"/>
        <v>3000</v>
      </c>
      <c r="AA453" s="244">
        <f t="shared" si="342"/>
        <v>3000</v>
      </c>
      <c r="AB453" s="244">
        <f t="shared" si="343"/>
        <v>3000</v>
      </c>
      <c r="AC453" s="244">
        <f t="shared" si="344"/>
        <v>3000</v>
      </c>
      <c r="AD453" s="244">
        <f t="shared" si="345"/>
        <v>3000</v>
      </c>
      <c r="AE453" s="244">
        <f t="shared" si="351"/>
        <v>0</v>
      </c>
      <c r="AF453" s="277"/>
      <c r="AG453" s="255"/>
      <c r="AH453" s="255"/>
      <c r="AI453" s="255"/>
      <c r="AJ453" s="255"/>
      <c r="AK453" s="255"/>
      <c r="AL453" s="255"/>
      <c r="AM453" s="255"/>
      <c r="AN453" s="926" t="s">
        <v>1545</v>
      </c>
      <c r="AQ453" s="257" t="s">
        <v>595</v>
      </c>
      <c r="AR453" s="257" t="s">
        <v>1169</v>
      </c>
      <c r="AS453" s="258"/>
      <c r="AT453" s="207"/>
      <c r="AY453" s="258"/>
      <c r="AZ453" s="258"/>
      <c r="BA453" s="258"/>
    </row>
    <row r="454" spans="1:53" s="256" customFormat="1" ht="85.5" customHeight="1">
      <c r="A454" s="268">
        <v>14</v>
      </c>
      <c r="B454" s="1026" t="s">
        <v>1546</v>
      </c>
      <c r="C454" s="1026"/>
      <c r="D454" s="1026"/>
      <c r="E454" s="1026"/>
      <c r="F454" s="1026"/>
      <c r="G454" s="268" t="s">
        <v>1547</v>
      </c>
      <c r="H454" s="272">
        <v>2018</v>
      </c>
      <c r="I454" s="272"/>
      <c r="J454" s="273">
        <v>2019</v>
      </c>
      <c r="K454" s="273"/>
      <c r="L454" s="273"/>
      <c r="M454" s="1016" t="s">
        <v>1548</v>
      </c>
      <c r="N454" s="594">
        <v>4171</v>
      </c>
      <c r="O454" s="594"/>
      <c r="P454" s="594">
        <f>N454</f>
        <v>4171</v>
      </c>
      <c r="Q454" s="594">
        <v>0</v>
      </c>
      <c r="R454" s="594"/>
      <c r="S454" s="594">
        <v>0</v>
      </c>
      <c r="T454" s="594">
        <v>4171</v>
      </c>
      <c r="U454" s="594">
        <v>4171</v>
      </c>
      <c r="V454" s="245">
        <v>2086</v>
      </c>
      <c r="W454" s="245">
        <v>2085.5</v>
      </c>
      <c r="X454" s="245">
        <v>50</v>
      </c>
      <c r="Y454" s="277">
        <v>1800</v>
      </c>
      <c r="Z454" s="245">
        <f t="shared" si="341"/>
        <v>3886</v>
      </c>
      <c r="AA454" s="244">
        <f t="shared" si="342"/>
        <v>3886</v>
      </c>
      <c r="AB454" s="244">
        <f t="shared" si="343"/>
        <v>3886</v>
      </c>
      <c r="AC454" s="244">
        <f t="shared" si="344"/>
        <v>3886</v>
      </c>
      <c r="AD454" s="244">
        <f t="shared" si="345"/>
        <v>4171</v>
      </c>
      <c r="AE454" s="244">
        <f t="shared" si="351"/>
        <v>285</v>
      </c>
      <c r="AF454" s="245">
        <v>285</v>
      </c>
      <c r="AG454" s="245">
        <f t="shared" ref="AG454" si="357">AF454/AE454*100</f>
        <v>100</v>
      </c>
      <c r="AH454" s="245"/>
      <c r="AI454" s="245">
        <f t="shared" ref="AI454" si="358">AF454+AH454</f>
        <v>285</v>
      </c>
      <c r="AJ454" s="245">
        <f t="shared" ref="AJ454" si="359">AA454+AI454</f>
        <v>4171</v>
      </c>
      <c r="AK454" s="245">
        <f t="shared" ref="AK454" si="360">AC454+AI454</f>
        <v>4171</v>
      </c>
      <c r="AL454" s="245">
        <f>T454</f>
        <v>4171</v>
      </c>
      <c r="AM454" s="245">
        <f t="shared" ref="AM454" si="361">AE454-AI454</f>
        <v>0</v>
      </c>
      <c r="AN454" s="595"/>
      <c r="AQ454" s="257" t="s">
        <v>1547</v>
      </c>
      <c r="AR454" s="257" t="s">
        <v>1169</v>
      </c>
      <c r="AS454" s="258"/>
      <c r="AT454" s="207"/>
      <c r="AU454" s="829" t="s">
        <v>1549</v>
      </c>
      <c r="AY454" s="258"/>
      <c r="AZ454" s="258"/>
      <c r="BA454" s="258"/>
    </row>
    <row r="455" spans="1:53" s="256" customFormat="1" ht="38.25">
      <c r="A455" s="268">
        <v>15</v>
      </c>
      <c r="B455" s="1010" t="s">
        <v>1550</v>
      </c>
      <c r="C455" s="1010"/>
      <c r="D455" s="1010"/>
      <c r="E455" s="1010"/>
      <c r="F455" s="1010"/>
      <c r="G455" s="1014" t="s">
        <v>341</v>
      </c>
      <c r="H455" s="272">
        <v>2018</v>
      </c>
      <c r="I455" s="272"/>
      <c r="J455" s="273">
        <v>2020</v>
      </c>
      <c r="K455" s="273"/>
      <c r="L455" s="273"/>
      <c r="M455" s="268"/>
      <c r="N455" s="277">
        <v>33795</v>
      </c>
      <c r="O455" s="277"/>
      <c r="P455" s="277">
        <v>33795</v>
      </c>
      <c r="Q455" s="277"/>
      <c r="R455" s="277"/>
      <c r="S455" s="277"/>
      <c r="T455" s="277">
        <v>30415.5</v>
      </c>
      <c r="U455" s="277">
        <f>P455*0.9</f>
        <v>30415.5</v>
      </c>
      <c r="V455" s="245">
        <v>9125</v>
      </c>
      <c r="W455" s="245">
        <v>9124.65</v>
      </c>
      <c r="X455" s="245">
        <v>30</v>
      </c>
      <c r="Y455" s="277">
        <v>21284</v>
      </c>
      <c r="Z455" s="245">
        <f t="shared" si="341"/>
        <v>30409</v>
      </c>
      <c r="AA455" s="244">
        <f t="shared" si="342"/>
        <v>30409</v>
      </c>
      <c r="AB455" s="244">
        <f t="shared" si="343"/>
        <v>30409</v>
      </c>
      <c r="AC455" s="244">
        <f t="shared" si="344"/>
        <v>30409</v>
      </c>
      <c r="AD455" s="244">
        <f t="shared" si="345"/>
        <v>30415.5</v>
      </c>
      <c r="AE455" s="244">
        <f t="shared" si="351"/>
        <v>6.5</v>
      </c>
      <c r="AF455" s="245"/>
      <c r="AG455" s="255"/>
      <c r="AH455" s="255"/>
      <c r="AI455" s="255"/>
      <c r="AJ455" s="255"/>
      <c r="AK455" s="255"/>
      <c r="AL455" s="255"/>
      <c r="AM455" s="255"/>
      <c r="AN455" s="926" t="s">
        <v>1551</v>
      </c>
      <c r="AQ455" s="257" t="s">
        <v>626</v>
      </c>
      <c r="AR455" s="257" t="s">
        <v>1169</v>
      </c>
      <c r="AS455" s="258"/>
      <c r="AT455" s="207" t="s">
        <v>307</v>
      </c>
      <c r="AU455" s="1009" t="s">
        <v>631</v>
      </c>
      <c r="AY455" s="258"/>
      <c r="AZ455" s="258"/>
      <c r="BA455" s="258"/>
    </row>
    <row r="456" spans="1:53" s="348" customFormat="1" ht="39.75" customHeight="1">
      <c r="A456" s="268">
        <v>16</v>
      </c>
      <c r="B456" s="1010" t="s">
        <v>1552</v>
      </c>
      <c r="G456" s="1014" t="s">
        <v>435</v>
      </c>
      <c r="H456" s="1027">
        <v>2018</v>
      </c>
      <c r="I456" s="1027"/>
      <c r="J456" s="1028">
        <v>2020</v>
      </c>
      <c r="M456" s="268"/>
      <c r="N456" s="277">
        <v>5000</v>
      </c>
      <c r="O456" s="277"/>
      <c r="P456" s="277">
        <v>1500</v>
      </c>
      <c r="Q456" s="277"/>
      <c r="R456" s="277"/>
      <c r="S456" s="277"/>
      <c r="T456" s="277">
        <v>1500</v>
      </c>
      <c r="U456" s="277">
        <v>1500</v>
      </c>
      <c r="V456" s="245">
        <v>1500</v>
      </c>
      <c r="W456" s="245">
        <v>1500</v>
      </c>
      <c r="X456" s="245">
        <v>30</v>
      </c>
      <c r="Y456" s="277"/>
      <c r="Z456" s="245">
        <f t="shared" si="341"/>
        <v>1500</v>
      </c>
      <c r="AA456" s="244">
        <f t="shared" si="342"/>
        <v>1500</v>
      </c>
      <c r="AB456" s="244">
        <f t="shared" si="343"/>
        <v>1500</v>
      </c>
      <c r="AC456" s="244">
        <f t="shared" si="344"/>
        <v>1500</v>
      </c>
      <c r="AD456" s="244">
        <f t="shared" si="345"/>
        <v>1500</v>
      </c>
      <c r="AE456" s="244">
        <f t="shared" si="351"/>
        <v>0</v>
      </c>
      <c r="AF456" s="277"/>
      <c r="AG456" s="255"/>
      <c r="AH456" s="255"/>
      <c r="AI456" s="255"/>
      <c r="AJ456" s="255"/>
      <c r="AK456" s="255"/>
      <c r="AL456" s="255"/>
      <c r="AM456" s="255"/>
      <c r="AN456" s="926" t="s">
        <v>1553</v>
      </c>
      <c r="AO456" s="348" t="s">
        <v>1554</v>
      </c>
      <c r="AQ456" s="349" t="s">
        <v>1555</v>
      </c>
      <c r="AR456" s="349"/>
      <c r="AS456" s="350"/>
      <c r="AT456" s="207"/>
      <c r="AY456" s="350"/>
      <c r="AZ456" s="350"/>
      <c r="BA456" s="350"/>
    </row>
    <row r="457" spans="1:53" s="348" customFormat="1" ht="51">
      <c r="A457" s="268">
        <v>17</v>
      </c>
      <c r="B457" s="1010" t="s">
        <v>1556</v>
      </c>
      <c r="G457" s="1014" t="s">
        <v>341</v>
      </c>
      <c r="H457" s="1027">
        <v>2018</v>
      </c>
      <c r="I457" s="1027"/>
      <c r="J457" s="1028">
        <v>2020</v>
      </c>
      <c r="M457" s="268" t="s">
        <v>1557</v>
      </c>
      <c r="N457" s="277">
        <v>8710</v>
      </c>
      <c r="O457" s="277"/>
      <c r="P457" s="277">
        <v>8710</v>
      </c>
      <c r="Q457" s="277"/>
      <c r="R457" s="277"/>
      <c r="S457" s="277"/>
      <c r="T457" s="277">
        <v>8710</v>
      </c>
      <c r="U457" s="277">
        <v>8710</v>
      </c>
      <c r="V457" s="245">
        <v>2612</v>
      </c>
      <c r="W457" s="245">
        <v>2613</v>
      </c>
      <c r="X457" s="245">
        <v>30</v>
      </c>
      <c r="Y457" s="277"/>
      <c r="Z457" s="245">
        <f t="shared" si="341"/>
        <v>2612</v>
      </c>
      <c r="AA457" s="244">
        <f t="shared" si="342"/>
        <v>2612</v>
      </c>
      <c r="AB457" s="244">
        <f t="shared" si="343"/>
        <v>2612</v>
      </c>
      <c r="AC457" s="244">
        <f t="shared" si="344"/>
        <v>2612</v>
      </c>
      <c r="AD457" s="244">
        <f t="shared" si="345"/>
        <v>8710</v>
      </c>
      <c r="AE457" s="244">
        <f t="shared" si="351"/>
        <v>6098</v>
      </c>
      <c r="AF457" s="245">
        <v>3049</v>
      </c>
      <c r="AG457" s="245">
        <f t="shared" ref="AG457" si="362">AF457/AE457*100</f>
        <v>50</v>
      </c>
      <c r="AH457" s="245">
        <v>1117</v>
      </c>
      <c r="AI457" s="245">
        <f t="shared" ref="AI457" si="363">AF457+AH457</f>
        <v>4166</v>
      </c>
      <c r="AJ457" s="245">
        <f t="shared" ref="AJ457" si="364">AA457+AI457</f>
        <v>6778</v>
      </c>
      <c r="AK457" s="245">
        <f t="shared" ref="AK457" si="365">AC457+AI457</f>
        <v>6778</v>
      </c>
      <c r="AL457" s="245">
        <f>T457</f>
        <v>8710</v>
      </c>
      <c r="AM457" s="245">
        <f t="shared" ref="AM457" si="366">AE457-AI457</f>
        <v>1932</v>
      </c>
      <c r="AN457" s="926" t="s">
        <v>1558</v>
      </c>
      <c r="AO457" s="348" t="s">
        <v>1554</v>
      </c>
      <c r="AQ457" s="349" t="s">
        <v>638</v>
      </c>
      <c r="AR457" s="349" t="s">
        <v>1169</v>
      </c>
      <c r="AS457" s="350"/>
      <c r="AT457" s="207"/>
      <c r="AU457" s="1009" t="s">
        <v>631</v>
      </c>
      <c r="AY457" s="350"/>
      <c r="AZ457" s="350"/>
      <c r="BA457" s="350"/>
    </row>
    <row r="458" spans="1:53" s="224" customFormat="1" ht="38.25">
      <c r="A458" s="1029">
        <v>19</v>
      </c>
      <c r="B458" s="1030" t="s">
        <v>1559</v>
      </c>
      <c r="C458" s="226"/>
      <c r="D458" s="226"/>
      <c r="E458" s="226"/>
      <c r="F458" s="226"/>
      <c r="G458" s="1031" t="s">
        <v>378</v>
      </c>
      <c r="H458" s="1032">
        <v>2015</v>
      </c>
      <c r="I458" s="1032"/>
      <c r="J458" s="1033">
        <v>2018</v>
      </c>
      <c r="K458" s="226"/>
      <c r="L458" s="226"/>
      <c r="M458" s="1034" t="s">
        <v>1560</v>
      </c>
      <c r="N458" s="1035">
        <v>5210</v>
      </c>
      <c r="O458" s="1035"/>
      <c r="P458" s="1035">
        <v>2000</v>
      </c>
      <c r="Q458" s="1035">
        <v>3210</v>
      </c>
      <c r="R458" s="1035"/>
      <c r="S458" s="1035">
        <v>0</v>
      </c>
      <c r="T458" s="1035">
        <v>2000</v>
      </c>
      <c r="U458" s="1035">
        <v>2000</v>
      </c>
      <c r="V458" s="373">
        <v>2000</v>
      </c>
      <c r="W458" s="373">
        <v>2000</v>
      </c>
      <c r="X458" s="373">
        <v>100</v>
      </c>
      <c r="Y458" s="1036"/>
      <c r="Z458" s="373">
        <f t="shared" si="341"/>
        <v>2000</v>
      </c>
      <c r="AA458" s="524">
        <f t="shared" si="342"/>
        <v>5210</v>
      </c>
      <c r="AB458" s="524">
        <f t="shared" si="343"/>
        <v>2000</v>
      </c>
      <c r="AC458" s="524">
        <f t="shared" si="344"/>
        <v>2000</v>
      </c>
      <c r="AD458" s="524">
        <f t="shared" si="345"/>
        <v>2000</v>
      </c>
      <c r="AE458" s="524">
        <f t="shared" si="351"/>
        <v>0</v>
      </c>
      <c r="AF458" s="1036"/>
      <c r="AG458" s="1036"/>
      <c r="AH458" s="1036"/>
      <c r="AI458" s="1036"/>
      <c r="AJ458" s="1036"/>
      <c r="AK458" s="1036"/>
      <c r="AL458" s="1036"/>
      <c r="AM458" s="1036"/>
      <c r="AN458" s="226" t="s">
        <v>1561</v>
      </c>
      <c r="AQ458" s="225" t="s">
        <v>1025</v>
      </c>
      <c r="AR458" s="225"/>
      <c r="AS458" s="226"/>
      <c r="AT458" s="207" t="s">
        <v>307</v>
      </c>
      <c r="AY458" s="226"/>
      <c r="AZ458" s="226"/>
      <c r="BA458" s="226"/>
    </row>
    <row r="459" spans="1:53" s="1041" customFormat="1">
      <c r="A459" s="326" t="s">
        <v>33</v>
      </c>
      <c r="B459" s="1037" t="s">
        <v>1562</v>
      </c>
      <c r="C459" s="1037"/>
      <c r="D459" s="1037"/>
      <c r="E459" s="1037"/>
      <c r="F459" s="1037"/>
      <c r="G459" s="1038"/>
      <c r="H459" s="1039"/>
      <c r="I459" s="1039"/>
      <c r="J459" s="1039"/>
      <c r="K459" s="1039"/>
      <c r="L459" s="1039"/>
      <c r="M459" s="1039"/>
      <c r="N459" s="1040">
        <f>SUBTOTAL(109,N460:N521)</f>
        <v>603584</v>
      </c>
      <c r="O459" s="1040">
        <f t="shared" ref="O459:AE459" si="367">SUBTOTAL(109,O460:O521)</f>
        <v>0</v>
      </c>
      <c r="P459" s="1040">
        <f t="shared" si="367"/>
        <v>381290</v>
      </c>
      <c r="Q459" s="1040">
        <f t="shared" si="367"/>
        <v>0</v>
      </c>
      <c r="R459" s="1040">
        <f t="shared" si="367"/>
        <v>0</v>
      </c>
      <c r="S459" s="1040">
        <f t="shared" si="367"/>
        <v>0</v>
      </c>
      <c r="T459" s="1040">
        <f t="shared" si="367"/>
        <v>0</v>
      </c>
      <c r="U459" s="1040">
        <f t="shared" si="367"/>
        <v>0</v>
      </c>
      <c r="V459" s="1040">
        <f t="shared" si="367"/>
        <v>0</v>
      </c>
      <c r="W459" s="1040">
        <f t="shared" si="367"/>
        <v>0</v>
      </c>
      <c r="X459" s="1040">
        <f t="shared" si="367"/>
        <v>0</v>
      </c>
      <c r="Y459" s="1040">
        <f t="shared" si="367"/>
        <v>0</v>
      </c>
      <c r="Z459" s="1040">
        <f t="shared" si="367"/>
        <v>0</v>
      </c>
      <c r="AA459" s="1040">
        <f t="shared" si="367"/>
        <v>0</v>
      </c>
      <c r="AB459" s="1040">
        <f t="shared" si="367"/>
        <v>0</v>
      </c>
      <c r="AC459" s="1040">
        <f t="shared" si="367"/>
        <v>0</v>
      </c>
      <c r="AD459" s="1040">
        <f t="shared" si="367"/>
        <v>245763.6</v>
      </c>
      <c r="AE459" s="1040">
        <f t="shared" si="367"/>
        <v>245763.6</v>
      </c>
      <c r="AF459" s="1040"/>
      <c r="AG459" s="286"/>
      <c r="AH459" s="286"/>
      <c r="AI459" s="286"/>
      <c r="AJ459" s="286"/>
      <c r="AK459" s="286"/>
      <c r="AL459" s="286"/>
      <c r="AM459" s="286"/>
      <c r="AN459" s="472"/>
      <c r="AQ459" s="1042"/>
      <c r="AR459" s="1042"/>
      <c r="AS459" s="1043"/>
      <c r="AT459" s="207"/>
      <c r="AU459" s="472"/>
      <c r="AV459" s="382"/>
      <c r="AW459" s="1044"/>
      <c r="AY459" s="382"/>
      <c r="AZ459" s="382"/>
      <c r="BA459" s="637"/>
    </row>
    <row r="460" spans="1:53" ht="34.5" customHeight="1">
      <c r="A460" s="1045" t="s">
        <v>36</v>
      </c>
      <c r="B460" s="1046" t="s">
        <v>892</v>
      </c>
      <c r="C460" s="1046"/>
      <c r="D460" s="1046"/>
      <c r="E460" s="1046"/>
      <c r="F460" s="1046"/>
      <c r="G460" s="1047"/>
      <c r="H460" s="446"/>
      <c r="I460" s="446"/>
      <c r="J460" s="446"/>
      <c r="K460" s="446"/>
      <c r="L460" s="446"/>
      <c r="M460" s="446"/>
      <c r="N460" s="1048">
        <f>SUBTOTAL(109,N461:N474)</f>
        <v>137200</v>
      </c>
      <c r="O460" s="1048"/>
      <c r="P460" s="1048">
        <f t="shared" ref="P460:AE460" si="368">SUBTOTAL(109,P461:P474)</f>
        <v>74920</v>
      </c>
      <c r="Q460" s="1048"/>
      <c r="R460" s="1048"/>
      <c r="S460" s="1048"/>
      <c r="T460" s="1048"/>
      <c r="U460" s="1048"/>
      <c r="V460" s="1048"/>
      <c r="W460" s="1048"/>
      <c r="X460" s="1048"/>
      <c r="Y460" s="1048"/>
      <c r="Z460" s="1048"/>
      <c r="AA460" s="1048">
        <f t="shared" si="368"/>
        <v>0</v>
      </c>
      <c r="AB460" s="1048"/>
      <c r="AC460" s="1048">
        <f t="shared" si="368"/>
        <v>0</v>
      </c>
      <c r="AD460" s="1048">
        <f t="shared" si="368"/>
        <v>51352</v>
      </c>
      <c r="AE460" s="1048">
        <f t="shared" si="368"/>
        <v>51352</v>
      </c>
      <c r="AF460" s="1048"/>
      <c r="AG460" s="286"/>
      <c r="AH460" s="286"/>
      <c r="AI460" s="286"/>
      <c r="AJ460" s="286"/>
      <c r="AK460" s="286"/>
      <c r="AL460" s="286"/>
      <c r="AM460" s="286"/>
      <c r="AN460" s="472"/>
      <c r="AQ460" s="215"/>
      <c r="AR460" s="215"/>
      <c r="AS460" s="216"/>
      <c r="AU460" s="472"/>
      <c r="AV460" s="226"/>
      <c r="AW460" s="1049"/>
      <c r="AY460" s="226"/>
      <c r="AZ460" s="226"/>
      <c r="BA460" s="285"/>
    </row>
    <row r="461" spans="1:53" ht="51">
      <c r="A461" s="629">
        <v>1</v>
      </c>
      <c r="B461" s="1050" t="s">
        <v>1563</v>
      </c>
      <c r="C461" s="1050"/>
      <c r="D461" s="1050"/>
      <c r="E461" s="1050"/>
      <c r="F461" s="1050"/>
      <c r="G461" s="1051" t="s">
        <v>435</v>
      </c>
      <c r="H461" s="288">
        <v>2019</v>
      </c>
      <c r="I461" s="288"/>
      <c r="J461" s="288">
        <v>2021</v>
      </c>
      <c r="K461" s="288"/>
      <c r="L461" s="288"/>
      <c r="M461" s="494" t="s">
        <v>1564</v>
      </c>
      <c r="N461" s="1052">
        <v>9000</v>
      </c>
      <c r="O461" s="1052"/>
      <c r="P461" s="497">
        <v>9000</v>
      </c>
      <c r="Q461" s="497"/>
      <c r="R461" s="497"/>
      <c r="S461" s="497"/>
      <c r="T461" s="497"/>
      <c r="U461" s="497"/>
      <c r="V461" s="497"/>
      <c r="W461" s="497"/>
      <c r="X461" s="497"/>
      <c r="Y461" s="497"/>
      <c r="Z461" s="497"/>
      <c r="AA461" s="497"/>
      <c r="AB461" s="497"/>
      <c r="AC461" s="497"/>
      <c r="AD461" s="497">
        <f>P461*0.6</f>
        <v>5400</v>
      </c>
      <c r="AE461" s="497">
        <f>AD461</f>
        <v>5400</v>
      </c>
      <c r="AF461" s="245">
        <v>2700</v>
      </c>
      <c r="AG461" s="245">
        <f t="shared" ref="AG461:AG521" si="369">AF461/AE461*100</f>
        <v>50</v>
      </c>
      <c r="AH461" s="245"/>
      <c r="AI461" s="245">
        <f t="shared" ref="AI461:AI474" si="370">AF461+AH461</f>
        <v>2700</v>
      </c>
      <c r="AJ461" s="245">
        <f t="shared" ref="AJ461:AJ474" si="371">AA461+AI461</f>
        <v>2700</v>
      </c>
      <c r="AK461" s="245">
        <f t="shared" ref="AK461:AK474" si="372">AC461+AI461</f>
        <v>2700</v>
      </c>
      <c r="AL461" s="245">
        <f t="shared" ref="AL461:AL521" si="373">AD461</f>
        <v>5400</v>
      </c>
      <c r="AM461" s="245">
        <f t="shared" ref="AM461:AM521" si="374">AE461-AI461</f>
        <v>2700</v>
      </c>
      <c r="AN461" s="462" t="s">
        <v>1565</v>
      </c>
      <c r="AQ461" s="349" t="s">
        <v>1555</v>
      </c>
      <c r="AR461" s="215" t="s">
        <v>1169</v>
      </c>
      <c r="AS461" s="216"/>
      <c r="AU461" s="641" t="s">
        <v>2546</v>
      </c>
      <c r="AV461" s="1053" t="s">
        <v>1566</v>
      </c>
      <c r="AW461" s="1054" t="s">
        <v>1567</v>
      </c>
      <c r="AY461" s="226"/>
      <c r="AZ461" s="226"/>
      <c r="BA461" s="285"/>
    </row>
    <row r="462" spans="1:53" ht="102">
      <c r="A462" s="248">
        <v>2</v>
      </c>
      <c r="B462" s="1055" t="s">
        <v>1568</v>
      </c>
      <c r="C462" s="1055"/>
      <c r="D462" s="1055"/>
      <c r="E462" s="1055"/>
      <c r="F462" s="1055"/>
      <c r="G462" s="403" t="s">
        <v>435</v>
      </c>
      <c r="H462" s="404">
        <v>2018</v>
      </c>
      <c r="I462" s="404"/>
      <c r="J462" s="404">
        <v>2020</v>
      </c>
      <c r="K462" s="404"/>
      <c r="L462" s="404"/>
      <c r="M462" s="398" t="s">
        <v>1569</v>
      </c>
      <c r="N462" s="1056">
        <v>45000</v>
      </c>
      <c r="O462" s="1056"/>
      <c r="P462" s="1056">
        <v>16000</v>
      </c>
      <c r="Q462" s="1056"/>
      <c r="R462" s="1056"/>
      <c r="S462" s="1056"/>
      <c r="T462" s="1056"/>
      <c r="U462" s="1056"/>
      <c r="V462" s="1056"/>
      <c r="W462" s="1056"/>
      <c r="X462" s="1056"/>
      <c r="Y462" s="1056"/>
      <c r="Z462" s="1056"/>
      <c r="AA462" s="1056"/>
      <c r="AB462" s="1056"/>
      <c r="AC462" s="1056"/>
      <c r="AD462" s="1057">
        <f>P462*1</f>
        <v>16000</v>
      </c>
      <c r="AE462" s="1057">
        <f>AD462</f>
        <v>16000</v>
      </c>
      <c r="AF462" s="245">
        <v>8000</v>
      </c>
      <c r="AG462" s="245">
        <f t="shared" si="369"/>
        <v>50</v>
      </c>
      <c r="AH462" s="245"/>
      <c r="AI462" s="245">
        <f t="shared" si="370"/>
        <v>8000</v>
      </c>
      <c r="AJ462" s="245">
        <f t="shared" si="371"/>
        <v>8000</v>
      </c>
      <c r="AK462" s="245">
        <f t="shared" si="372"/>
        <v>8000</v>
      </c>
      <c r="AL462" s="245">
        <f t="shared" si="373"/>
        <v>16000</v>
      </c>
      <c r="AM462" s="245">
        <f t="shared" si="374"/>
        <v>8000</v>
      </c>
      <c r="AN462" s="411" t="s">
        <v>1570</v>
      </c>
      <c r="AO462" s="1058" t="s">
        <v>1571</v>
      </c>
      <c r="AQ462" s="215" t="s">
        <v>613</v>
      </c>
      <c r="AR462" s="215" t="s">
        <v>1450</v>
      </c>
      <c r="AS462" s="216"/>
      <c r="AT462" s="207" t="s">
        <v>307</v>
      </c>
      <c r="AU462" s="403" t="s">
        <v>1451</v>
      </c>
      <c r="AV462" s="226" t="s">
        <v>1572</v>
      </c>
      <c r="AW462" s="390" t="s">
        <v>1573</v>
      </c>
      <c r="AY462" s="226"/>
      <c r="AZ462" s="226"/>
      <c r="BA462" s="285"/>
    </row>
    <row r="463" spans="1:53" ht="51">
      <c r="A463" s="629">
        <v>3</v>
      </c>
      <c r="B463" s="402" t="s">
        <v>2521</v>
      </c>
      <c r="C463" s="402"/>
      <c r="D463" s="402"/>
      <c r="E463" s="402"/>
      <c r="F463" s="402"/>
      <c r="G463" s="403" t="s">
        <v>373</v>
      </c>
      <c r="H463" s="404">
        <v>2019</v>
      </c>
      <c r="I463" s="404"/>
      <c r="J463" s="404">
        <v>2021</v>
      </c>
      <c r="K463" s="404"/>
      <c r="L463" s="404"/>
      <c r="M463" s="398" t="s">
        <v>1574</v>
      </c>
      <c r="N463" s="1059">
        <v>5000</v>
      </c>
      <c r="O463" s="1059"/>
      <c r="P463" s="1059">
        <v>3000</v>
      </c>
      <c r="Q463" s="1059"/>
      <c r="R463" s="1059"/>
      <c r="S463" s="1059"/>
      <c r="T463" s="1059"/>
      <c r="U463" s="1059"/>
      <c r="V463" s="1059"/>
      <c r="W463" s="1059"/>
      <c r="X463" s="1059"/>
      <c r="Y463" s="1059"/>
      <c r="Z463" s="1059"/>
      <c r="AA463" s="1059"/>
      <c r="AB463" s="1059"/>
      <c r="AC463" s="1059"/>
      <c r="AD463" s="497">
        <f t="shared" ref="AD463:AD474" si="375">P463*0.6</f>
        <v>1800</v>
      </c>
      <c r="AE463" s="497">
        <f>AD463</f>
        <v>1800</v>
      </c>
      <c r="AF463" s="245">
        <v>900</v>
      </c>
      <c r="AG463" s="245">
        <f t="shared" si="369"/>
        <v>50</v>
      </c>
      <c r="AH463" s="245"/>
      <c r="AI463" s="245">
        <f t="shared" si="370"/>
        <v>900</v>
      </c>
      <c r="AJ463" s="245">
        <f t="shared" si="371"/>
        <v>900</v>
      </c>
      <c r="AK463" s="245">
        <f t="shared" si="372"/>
        <v>900</v>
      </c>
      <c r="AL463" s="245">
        <f t="shared" si="373"/>
        <v>1800</v>
      </c>
      <c r="AM463" s="245">
        <f t="shared" si="374"/>
        <v>900</v>
      </c>
      <c r="AN463" s="1060" t="s">
        <v>1575</v>
      </c>
      <c r="AQ463" s="215" t="s">
        <v>1576</v>
      </c>
      <c r="AR463" s="215" t="s">
        <v>1450</v>
      </c>
      <c r="AS463" s="216" t="s">
        <v>496</v>
      </c>
      <c r="AT463" s="207" t="s">
        <v>307</v>
      </c>
      <c r="AU463" s="403" t="s">
        <v>1577</v>
      </c>
      <c r="AV463" s="226" t="s">
        <v>1578</v>
      </c>
      <c r="AW463" s="390" t="s">
        <v>1579</v>
      </c>
      <c r="AY463" s="226"/>
      <c r="AZ463" s="226"/>
      <c r="BA463" s="285"/>
    </row>
    <row r="464" spans="1:53" ht="51">
      <c r="A464" s="248">
        <v>4</v>
      </c>
      <c r="B464" s="402" t="s">
        <v>1580</v>
      </c>
      <c r="C464" s="402"/>
      <c r="D464" s="402"/>
      <c r="E464" s="402"/>
      <c r="F464" s="402"/>
      <c r="G464" s="403" t="s">
        <v>341</v>
      </c>
      <c r="H464" s="404">
        <v>2019</v>
      </c>
      <c r="I464" s="404"/>
      <c r="J464" s="404">
        <v>2021</v>
      </c>
      <c r="K464" s="404"/>
      <c r="L464" s="404"/>
      <c r="M464" s="398" t="s">
        <v>1581</v>
      </c>
      <c r="N464" s="442">
        <v>8500</v>
      </c>
      <c r="O464" s="442"/>
      <c r="P464" s="442">
        <v>5100</v>
      </c>
      <c r="Q464" s="442"/>
      <c r="R464" s="442"/>
      <c r="S464" s="442"/>
      <c r="T464" s="442"/>
      <c r="U464" s="442"/>
      <c r="V464" s="442"/>
      <c r="W464" s="442"/>
      <c r="X464" s="442"/>
      <c r="Y464" s="442"/>
      <c r="Z464" s="442"/>
      <c r="AA464" s="442"/>
      <c r="AB464" s="442"/>
      <c r="AC464" s="442"/>
      <c r="AD464" s="497">
        <f t="shared" si="375"/>
        <v>3060</v>
      </c>
      <c r="AE464" s="497">
        <f t="shared" ref="AE464:AE474" si="376">AD464</f>
        <v>3060</v>
      </c>
      <c r="AF464" s="245">
        <v>1530</v>
      </c>
      <c r="AG464" s="245">
        <f t="shared" si="369"/>
        <v>50</v>
      </c>
      <c r="AH464" s="245"/>
      <c r="AI464" s="245">
        <f t="shared" si="370"/>
        <v>1530</v>
      </c>
      <c r="AJ464" s="245">
        <f t="shared" si="371"/>
        <v>1530</v>
      </c>
      <c r="AK464" s="245">
        <f t="shared" si="372"/>
        <v>1530</v>
      </c>
      <c r="AL464" s="245">
        <f t="shared" si="373"/>
        <v>3060</v>
      </c>
      <c r="AM464" s="245">
        <f t="shared" si="374"/>
        <v>1530</v>
      </c>
      <c r="AN464" s="1060" t="s">
        <v>1575</v>
      </c>
      <c r="AQ464" s="215" t="s">
        <v>1526</v>
      </c>
      <c r="AR464" s="215" t="s">
        <v>1450</v>
      </c>
      <c r="AS464" s="216"/>
      <c r="AT464" s="207" t="s">
        <v>307</v>
      </c>
      <c r="AU464" s="403" t="s">
        <v>631</v>
      </c>
      <c r="AV464" s="226" t="s">
        <v>1582</v>
      </c>
      <c r="AW464" s="390" t="s">
        <v>1583</v>
      </c>
      <c r="AY464" s="226"/>
      <c r="AZ464" s="226"/>
      <c r="BA464" s="285"/>
    </row>
    <row r="465" spans="1:53" ht="52.5" customHeight="1">
      <c r="A465" s="629">
        <v>5</v>
      </c>
      <c r="B465" s="402" t="s">
        <v>1584</v>
      </c>
      <c r="C465" s="402"/>
      <c r="D465" s="402"/>
      <c r="E465" s="402"/>
      <c r="F465" s="402"/>
      <c r="G465" s="403" t="s">
        <v>435</v>
      </c>
      <c r="H465" s="404">
        <v>2019</v>
      </c>
      <c r="I465" s="404"/>
      <c r="J465" s="404">
        <v>2021</v>
      </c>
      <c r="K465" s="404"/>
      <c r="L465" s="404"/>
      <c r="M465" s="1061" t="s">
        <v>1585</v>
      </c>
      <c r="N465" s="442">
        <v>15000</v>
      </c>
      <c r="O465" s="442"/>
      <c r="P465" s="442">
        <v>9000</v>
      </c>
      <c r="Q465" s="442"/>
      <c r="R465" s="442"/>
      <c r="S465" s="442"/>
      <c r="T465" s="442"/>
      <c r="U465" s="442"/>
      <c r="V465" s="442"/>
      <c r="W465" s="442"/>
      <c r="X465" s="442"/>
      <c r="Y465" s="442"/>
      <c r="Z465" s="442"/>
      <c r="AA465" s="442"/>
      <c r="AB465" s="442"/>
      <c r="AC465" s="442"/>
      <c r="AD465" s="497">
        <f t="shared" si="375"/>
        <v>5400</v>
      </c>
      <c r="AE465" s="497">
        <f t="shared" si="376"/>
        <v>5400</v>
      </c>
      <c r="AF465" s="245">
        <v>2700</v>
      </c>
      <c r="AG465" s="245">
        <f t="shared" si="369"/>
        <v>50</v>
      </c>
      <c r="AH465" s="245"/>
      <c r="AI465" s="245">
        <f t="shared" si="370"/>
        <v>2700</v>
      </c>
      <c r="AJ465" s="245">
        <f t="shared" si="371"/>
        <v>2700</v>
      </c>
      <c r="AK465" s="245">
        <f t="shared" si="372"/>
        <v>2700</v>
      </c>
      <c r="AL465" s="245">
        <f t="shared" si="373"/>
        <v>5400</v>
      </c>
      <c r="AM465" s="245">
        <f t="shared" si="374"/>
        <v>2700</v>
      </c>
      <c r="AN465" s="1060" t="s">
        <v>1575</v>
      </c>
      <c r="AQ465" s="402" t="s">
        <v>495</v>
      </c>
      <c r="AR465" s="215" t="s">
        <v>1450</v>
      </c>
      <c r="AS465" s="216"/>
      <c r="AT465" s="207" t="s">
        <v>307</v>
      </c>
      <c r="AU465" s="403" t="s">
        <v>1307</v>
      </c>
      <c r="AV465" s="226" t="s">
        <v>1582</v>
      </c>
      <c r="AW465" s="390" t="s">
        <v>1586</v>
      </c>
      <c r="AY465" s="226"/>
      <c r="AZ465" s="226"/>
      <c r="BA465" s="285"/>
    </row>
    <row r="466" spans="1:53" ht="102">
      <c r="A466" s="248">
        <v>6</v>
      </c>
      <c r="B466" s="402" t="s">
        <v>1587</v>
      </c>
      <c r="C466" s="402"/>
      <c r="D466" s="402"/>
      <c r="E466" s="402"/>
      <c r="F466" s="402"/>
      <c r="G466" s="403" t="s">
        <v>373</v>
      </c>
      <c r="H466" s="404">
        <v>2019</v>
      </c>
      <c r="I466" s="404"/>
      <c r="J466" s="404">
        <v>2021</v>
      </c>
      <c r="K466" s="404"/>
      <c r="L466" s="404"/>
      <c r="M466" s="1061" t="s">
        <v>2425</v>
      </c>
      <c r="N466" s="442">
        <v>6000</v>
      </c>
      <c r="O466" s="442"/>
      <c r="P466" s="442">
        <v>3600</v>
      </c>
      <c r="Q466" s="442"/>
      <c r="R466" s="442"/>
      <c r="S466" s="442"/>
      <c r="T466" s="442"/>
      <c r="U466" s="442"/>
      <c r="V466" s="442"/>
      <c r="W466" s="442"/>
      <c r="X466" s="442"/>
      <c r="Y466" s="442"/>
      <c r="Z466" s="442"/>
      <c r="AA466" s="442"/>
      <c r="AB466" s="442"/>
      <c r="AC466" s="442"/>
      <c r="AD466" s="497">
        <f t="shared" si="375"/>
        <v>2160</v>
      </c>
      <c r="AE466" s="497">
        <f t="shared" si="376"/>
        <v>2160</v>
      </c>
      <c r="AF466" s="245">
        <v>1080</v>
      </c>
      <c r="AG466" s="245">
        <f t="shared" si="369"/>
        <v>50</v>
      </c>
      <c r="AH466" s="1062"/>
      <c r="AI466" s="245">
        <f t="shared" si="370"/>
        <v>1080</v>
      </c>
      <c r="AJ466" s="245">
        <f t="shared" si="371"/>
        <v>1080</v>
      </c>
      <c r="AK466" s="245">
        <f t="shared" si="372"/>
        <v>1080</v>
      </c>
      <c r="AL466" s="245">
        <f t="shared" si="373"/>
        <v>2160</v>
      </c>
      <c r="AM466" s="245">
        <f t="shared" si="374"/>
        <v>1080</v>
      </c>
      <c r="AN466" s="1063" t="s">
        <v>1588</v>
      </c>
      <c r="AO466" s="1063" t="s">
        <v>1588</v>
      </c>
      <c r="AQ466" s="215" t="s">
        <v>485</v>
      </c>
      <c r="AR466" s="215" t="s">
        <v>1450</v>
      </c>
      <c r="AS466" s="216"/>
      <c r="AT466" s="207" t="s">
        <v>307</v>
      </c>
      <c r="AU466" s="403" t="s">
        <v>1537</v>
      </c>
      <c r="AV466" s="226" t="s">
        <v>1582</v>
      </c>
      <c r="AW466" s="390" t="s">
        <v>1589</v>
      </c>
      <c r="AY466" s="226"/>
      <c r="AZ466" s="226"/>
      <c r="BA466" s="285"/>
    </row>
    <row r="467" spans="1:53" ht="63.75">
      <c r="A467" s="629">
        <v>7</v>
      </c>
      <c r="B467" s="402" t="s">
        <v>1590</v>
      </c>
      <c r="C467" s="402"/>
      <c r="D467" s="402"/>
      <c r="E467" s="402"/>
      <c r="F467" s="402"/>
      <c r="G467" s="403" t="s">
        <v>435</v>
      </c>
      <c r="H467" s="404">
        <v>2019</v>
      </c>
      <c r="I467" s="404"/>
      <c r="J467" s="404">
        <v>2021</v>
      </c>
      <c r="K467" s="404"/>
      <c r="L467" s="404"/>
      <c r="M467" s="1061" t="s">
        <v>1591</v>
      </c>
      <c r="N467" s="406">
        <v>5000</v>
      </c>
      <c r="O467" s="406"/>
      <c r="P467" s="1064">
        <f t="shared" ref="P467:P474" si="377">N467*0.6</f>
        <v>3000</v>
      </c>
      <c r="Q467" s="1064"/>
      <c r="R467" s="1064"/>
      <c r="S467" s="1064"/>
      <c r="T467" s="1064"/>
      <c r="U467" s="1064"/>
      <c r="V467" s="1064"/>
      <c r="W467" s="1064"/>
      <c r="X467" s="1064"/>
      <c r="Y467" s="1064"/>
      <c r="Z467" s="1064"/>
      <c r="AA467" s="1064"/>
      <c r="AB467" s="1064"/>
      <c r="AC467" s="1064"/>
      <c r="AD467" s="497">
        <f t="shared" si="375"/>
        <v>1800</v>
      </c>
      <c r="AE467" s="497">
        <f t="shared" si="376"/>
        <v>1800</v>
      </c>
      <c r="AF467" s="245">
        <v>900</v>
      </c>
      <c r="AG467" s="245">
        <f t="shared" si="369"/>
        <v>50</v>
      </c>
      <c r="AH467" s="245"/>
      <c r="AI467" s="245">
        <f t="shared" si="370"/>
        <v>900</v>
      </c>
      <c r="AJ467" s="245">
        <f t="shared" si="371"/>
        <v>900</v>
      </c>
      <c r="AK467" s="245">
        <f t="shared" si="372"/>
        <v>900</v>
      </c>
      <c r="AL467" s="245">
        <f t="shared" si="373"/>
        <v>1800</v>
      </c>
      <c r="AM467" s="245">
        <f t="shared" si="374"/>
        <v>900</v>
      </c>
      <c r="AN467" s="1060" t="s">
        <v>1575</v>
      </c>
      <c r="AQ467" s="215" t="s">
        <v>622</v>
      </c>
      <c r="AR467" s="215" t="s">
        <v>1450</v>
      </c>
      <c r="AS467" s="216"/>
      <c r="AT467" s="207" t="s">
        <v>307</v>
      </c>
      <c r="AU467" s="399" t="s">
        <v>623</v>
      </c>
      <c r="AV467" s="641" t="s">
        <v>1592</v>
      </c>
      <c r="AW467" s="787" t="s">
        <v>1593</v>
      </c>
      <c r="AY467" s="226"/>
      <c r="AZ467" s="226"/>
      <c r="BA467" s="285"/>
    </row>
    <row r="468" spans="1:53" ht="63.75">
      <c r="A468" s="248">
        <v>8</v>
      </c>
      <c r="B468" s="402" t="s">
        <v>1594</v>
      </c>
      <c r="C468" s="402"/>
      <c r="D468" s="402"/>
      <c r="E468" s="402"/>
      <c r="F468" s="402"/>
      <c r="G468" s="403" t="s">
        <v>435</v>
      </c>
      <c r="H468" s="404">
        <v>2019</v>
      </c>
      <c r="I468" s="404"/>
      <c r="J468" s="404">
        <v>2021</v>
      </c>
      <c r="K468" s="404"/>
      <c r="L468" s="404"/>
      <c r="M468" s="1065" t="s">
        <v>1595</v>
      </c>
      <c r="N468" s="406">
        <v>3500</v>
      </c>
      <c r="O468" s="406"/>
      <c r="P468" s="1064">
        <f t="shared" si="377"/>
        <v>2100</v>
      </c>
      <c r="Q468" s="1064"/>
      <c r="R468" s="1064"/>
      <c r="S468" s="1064"/>
      <c r="T468" s="1064"/>
      <c r="U468" s="1064"/>
      <c r="V468" s="1064"/>
      <c r="W468" s="1064"/>
      <c r="X468" s="1064"/>
      <c r="Y468" s="1064"/>
      <c r="Z468" s="1064"/>
      <c r="AA468" s="1064"/>
      <c r="AB468" s="1064"/>
      <c r="AC468" s="1064"/>
      <c r="AD468" s="497">
        <f t="shared" si="375"/>
        <v>1260</v>
      </c>
      <c r="AE468" s="497">
        <f t="shared" si="376"/>
        <v>1260</v>
      </c>
      <c r="AF468" s="245">
        <v>630</v>
      </c>
      <c r="AG468" s="245">
        <f t="shared" si="369"/>
        <v>50</v>
      </c>
      <c r="AH468" s="245"/>
      <c r="AI468" s="245">
        <f t="shared" si="370"/>
        <v>630</v>
      </c>
      <c r="AJ468" s="245">
        <f t="shared" si="371"/>
        <v>630</v>
      </c>
      <c r="AK468" s="245">
        <f t="shared" si="372"/>
        <v>630</v>
      </c>
      <c r="AL468" s="245">
        <f t="shared" si="373"/>
        <v>1260</v>
      </c>
      <c r="AM468" s="245">
        <f t="shared" si="374"/>
        <v>630</v>
      </c>
      <c r="AN468" s="1060" t="s">
        <v>1575</v>
      </c>
      <c r="AQ468" s="215" t="s">
        <v>1555</v>
      </c>
      <c r="AR468" s="215" t="s">
        <v>1450</v>
      </c>
      <c r="AS468" s="216"/>
      <c r="AT468" s="207" t="s">
        <v>307</v>
      </c>
      <c r="AU468" s="399" t="s">
        <v>1596</v>
      </c>
      <c r="AV468" s="641" t="s">
        <v>1592</v>
      </c>
      <c r="AW468" s="787" t="s">
        <v>1597</v>
      </c>
      <c r="AY468" s="226"/>
      <c r="AZ468" s="226"/>
      <c r="BA468" s="285"/>
    </row>
    <row r="469" spans="1:53" ht="63.75">
      <c r="A469" s="629">
        <v>9</v>
      </c>
      <c r="B469" s="402" t="s">
        <v>1598</v>
      </c>
      <c r="C469" s="402"/>
      <c r="D469" s="402"/>
      <c r="E469" s="402"/>
      <c r="F469" s="402"/>
      <c r="G469" s="403" t="s">
        <v>373</v>
      </c>
      <c r="H469" s="404">
        <v>2019</v>
      </c>
      <c r="I469" s="404"/>
      <c r="J469" s="404">
        <v>2021</v>
      </c>
      <c r="K469" s="404"/>
      <c r="L469" s="404"/>
      <c r="M469" s="1066" t="s">
        <v>1599</v>
      </c>
      <c r="N469" s="406">
        <v>5500</v>
      </c>
      <c r="O469" s="406"/>
      <c r="P469" s="1064">
        <f t="shared" si="377"/>
        <v>3300</v>
      </c>
      <c r="Q469" s="1064"/>
      <c r="R469" s="1064"/>
      <c r="S469" s="1064"/>
      <c r="T469" s="1064"/>
      <c r="U469" s="1064"/>
      <c r="V469" s="1064"/>
      <c r="W469" s="1064"/>
      <c r="X469" s="1064"/>
      <c r="Y469" s="1064"/>
      <c r="Z469" s="1064"/>
      <c r="AA469" s="1064"/>
      <c r="AB469" s="1064"/>
      <c r="AC469" s="1064"/>
      <c r="AD469" s="497">
        <f t="shared" si="375"/>
        <v>1980</v>
      </c>
      <c r="AE469" s="497">
        <f t="shared" si="376"/>
        <v>1980</v>
      </c>
      <c r="AF469" s="245">
        <v>990</v>
      </c>
      <c r="AG469" s="245">
        <f t="shared" si="369"/>
        <v>50</v>
      </c>
      <c r="AH469" s="245"/>
      <c r="AI469" s="245">
        <f t="shared" si="370"/>
        <v>990</v>
      </c>
      <c r="AJ469" s="245">
        <f t="shared" si="371"/>
        <v>990</v>
      </c>
      <c r="AK469" s="245">
        <f t="shared" si="372"/>
        <v>990</v>
      </c>
      <c r="AL469" s="245">
        <f t="shared" si="373"/>
        <v>1980</v>
      </c>
      <c r="AM469" s="245">
        <f t="shared" si="374"/>
        <v>990</v>
      </c>
      <c r="AN469" s="631" t="s">
        <v>1600</v>
      </c>
      <c r="AQ469" s="215" t="s">
        <v>1601</v>
      </c>
      <c r="AR469" s="215" t="s">
        <v>1450</v>
      </c>
      <c r="AS469" s="216"/>
      <c r="AT469" s="207" t="s">
        <v>307</v>
      </c>
      <c r="AU469" s="337" t="s">
        <v>1602</v>
      </c>
      <c r="AV469" s="607" t="s">
        <v>1603</v>
      </c>
      <c r="AW469" s="1067" t="s">
        <v>1604</v>
      </c>
      <c r="AY469" s="226"/>
      <c r="AZ469" s="226"/>
      <c r="BA469" s="285"/>
    </row>
    <row r="470" spans="1:53" s="625" customFormat="1" ht="51">
      <c r="A470" s="1068">
        <v>10</v>
      </c>
      <c r="B470" s="1069" t="s">
        <v>1605</v>
      </c>
      <c r="C470" s="1069"/>
      <c r="D470" s="1069"/>
      <c r="E470" s="1069"/>
      <c r="F470" s="1069"/>
      <c r="G470" s="1070" t="s">
        <v>341</v>
      </c>
      <c r="H470" s="1071">
        <v>2019</v>
      </c>
      <c r="I470" s="1071"/>
      <c r="J470" s="1071">
        <v>2021</v>
      </c>
      <c r="K470" s="1071"/>
      <c r="L470" s="1071"/>
      <c r="M470" s="1072" t="s">
        <v>1606</v>
      </c>
      <c r="N470" s="1073">
        <v>6700</v>
      </c>
      <c r="O470" s="1073"/>
      <c r="P470" s="1074">
        <f t="shared" si="377"/>
        <v>4020</v>
      </c>
      <c r="Q470" s="1075"/>
      <c r="R470" s="1075"/>
      <c r="S470" s="1075"/>
      <c r="T470" s="1075"/>
      <c r="U470" s="1075"/>
      <c r="V470" s="1075"/>
      <c r="W470" s="1075"/>
      <c r="X470" s="1075"/>
      <c r="Y470" s="1075"/>
      <c r="Z470" s="1075"/>
      <c r="AA470" s="1075"/>
      <c r="AB470" s="1075"/>
      <c r="AC470" s="1075"/>
      <c r="AD470" s="1076">
        <f t="shared" si="375"/>
        <v>2412</v>
      </c>
      <c r="AE470" s="1076">
        <f t="shared" si="376"/>
        <v>2412</v>
      </c>
      <c r="AF470" s="245">
        <v>1206</v>
      </c>
      <c r="AG470" s="245">
        <f t="shared" si="369"/>
        <v>50</v>
      </c>
      <c r="AH470" s="1062"/>
      <c r="AI470" s="245">
        <f t="shared" si="370"/>
        <v>1206</v>
      </c>
      <c r="AJ470" s="245">
        <f t="shared" si="371"/>
        <v>1206</v>
      </c>
      <c r="AK470" s="245">
        <f t="shared" si="372"/>
        <v>1206</v>
      </c>
      <c r="AL470" s="245">
        <f t="shared" si="373"/>
        <v>2412</v>
      </c>
      <c r="AM470" s="245">
        <f t="shared" si="374"/>
        <v>1206</v>
      </c>
      <c r="AN470" s="1077" t="s">
        <v>1607</v>
      </c>
      <c r="AO470" s="1077" t="s">
        <v>1608</v>
      </c>
      <c r="AP470" s="1077" t="s">
        <v>1609</v>
      </c>
      <c r="AQ470" s="380" t="s">
        <v>634</v>
      </c>
      <c r="AR470" s="215" t="s">
        <v>1450</v>
      </c>
      <c r="AS470" s="626"/>
      <c r="AT470" s="207" t="s">
        <v>307</v>
      </c>
      <c r="AU470" s="1078" t="s">
        <v>631</v>
      </c>
      <c r="AV470" s="627" t="s">
        <v>1610</v>
      </c>
      <c r="AW470" s="1079" t="s">
        <v>1611</v>
      </c>
      <c r="AY470" s="626"/>
      <c r="AZ470" s="626"/>
      <c r="BA470" s="628"/>
    </row>
    <row r="471" spans="1:53" s="625" customFormat="1" ht="51">
      <c r="A471" s="1080">
        <v>11</v>
      </c>
      <c r="B471" s="1081" t="s">
        <v>1612</v>
      </c>
      <c r="C471" s="1081"/>
      <c r="D471" s="1081"/>
      <c r="E471" s="1081"/>
      <c r="F471" s="1081"/>
      <c r="G471" s="1070" t="s">
        <v>341</v>
      </c>
      <c r="H471" s="1071">
        <v>2019</v>
      </c>
      <c r="I471" s="1071"/>
      <c r="J471" s="1071">
        <v>2021</v>
      </c>
      <c r="K471" s="1071"/>
      <c r="L471" s="1071"/>
      <c r="M471" s="1072" t="s">
        <v>1613</v>
      </c>
      <c r="N471" s="1082">
        <v>4500</v>
      </c>
      <c r="O471" s="1082"/>
      <c r="P471" s="1074">
        <f t="shared" si="377"/>
        <v>2700</v>
      </c>
      <c r="Q471" s="1075"/>
      <c r="R471" s="1075"/>
      <c r="S471" s="1075"/>
      <c r="T471" s="1075"/>
      <c r="U471" s="1075"/>
      <c r="V471" s="1075"/>
      <c r="W471" s="1075"/>
      <c r="X471" s="1075"/>
      <c r="Y471" s="1075"/>
      <c r="Z471" s="1075"/>
      <c r="AA471" s="1075"/>
      <c r="AB471" s="1075"/>
      <c r="AC471" s="1075"/>
      <c r="AD471" s="1076">
        <f t="shared" si="375"/>
        <v>1620</v>
      </c>
      <c r="AE471" s="1076">
        <f t="shared" si="376"/>
        <v>1620</v>
      </c>
      <c r="AF471" s="245">
        <v>810</v>
      </c>
      <c r="AG471" s="245">
        <f t="shared" si="369"/>
        <v>50</v>
      </c>
      <c r="AH471" s="1062"/>
      <c r="AI471" s="245">
        <f t="shared" si="370"/>
        <v>810</v>
      </c>
      <c r="AJ471" s="245">
        <f t="shared" si="371"/>
        <v>810</v>
      </c>
      <c r="AK471" s="245">
        <f t="shared" si="372"/>
        <v>810</v>
      </c>
      <c r="AL471" s="245">
        <f t="shared" si="373"/>
        <v>1620</v>
      </c>
      <c r="AM471" s="245">
        <f t="shared" si="374"/>
        <v>810</v>
      </c>
      <c r="AN471" s="1077" t="s">
        <v>1614</v>
      </c>
      <c r="AO471" s="1077" t="s">
        <v>1615</v>
      </c>
      <c r="AP471" s="1077" t="s">
        <v>1616</v>
      </c>
      <c r="AQ471" s="380" t="s">
        <v>634</v>
      </c>
      <c r="AR471" s="215" t="s">
        <v>1450</v>
      </c>
      <c r="AS471" s="626"/>
      <c r="AT471" s="207" t="s">
        <v>307</v>
      </c>
      <c r="AU471" s="1078" t="s">
        <v>631</v>
      </c>
      <c r="AV471" s="627" t="s">
        <v>1610</v>
      </c>
      <c r="AW471" s="1079" t="s">
        <v>1617</v>
      </c>
      <c r="AY471" s="626"/>
      <c r="AZ471" s="626"/>
      <c r="BA471" s="628"/>
    </row>
    <row r="472" spans="1:53" ht="51">
      <c r="A472" s="248">
        <v>12</v>
      </c>
      <c r="B472" s="452" t="s">
        <v>1618</v>
      </c>
      <c r="C472" s="452"/>
      <c r="D472" s="452"/>
      <c r="E472" s="452"/>
      <c r="F472" s="452"/>
      <c r="G472" s="403" t="s">
        <v>341</v>
      </c>
      <c r="H472" s="404">
        <v>2019</v>
      </c>
      <c r="I472" s="404"/>
      <c r="J472" s="404">
        <v>2021</v>
      </c>
      <c r="K472" s="404"/>
      <c r="L472" s="404"/>
      <c r="M472" s="1083" t="s">
        <v>1619</v>
      </c>
      <c r="N472" s="1064">
        <v>8000</v>
      </c>
      <c r="O472" s="1064"/>
      <c r="P472" s="1064">
        <f t="shared" si="377"/>
        <v>4800</v>
      </c>
      <c r="Q472" s="1064"/>
      <c r="R472" s="1064"/>
      <c r="S472" s="1064"/>
      <c r="T472" s="1064"/>
      <c r="U472" s="1064"/>
      <c r="V472" s="1064"/>
      <c r="W472" s="1064"/>
      <c r="X472" s="1064"/>
      <c r="Y472" s="1064"/>
      <c r="Z472" s="1064"/>
      <c r="AA472" s="1064"/>
      <c r="AB472" s="1064"/>
      <c r="AC472" s="1064"/>
      <c r="AD472" s="497">
        <f t="shared" si="375"/>
        <v>2880</v>
      </c>
      <c r="AE472" s="497">
        <f t="shared" si="376"/>
        <v>2880</v>
      </c>
      <c r="AF472" s="245">
        <v>1440</v>
      </c>
      <c r="AG472" s="245">
        <f t="shared" si="369"/>
        <v>50</v>
      </c>
      <c r="AH472" s="245"/>
      <c r="AI472" s="245">
        <f t="shared" si="370"/>
        <v>1440</v>
      </c>
      <c r="AJ472" s="245">
        <f t="shared" si="371"/>
        <v>1440</v>
      </c>
      <c r="AK472" s="245">
        <f t="shared" si="372"/>
        <v>1440</v>
      </c>
      <c r="AL472" s="245">
        <f t="shared" si="373"/>
        <v>2880</v>
      </c>
      <c r="AM472" s="245">
        <f t="shared" si="374"/>
        <v>1440</v>
      </c>
      <c r="AN472" s="631" t="s">
        <v>1600</v>
      </c>
      <c r="AQ472" s="215" t="s">
        <v>1620</v>
      </c>
      <c r="AR472" s="215" t="s">
        <v>1450</v>
      </c>
      <c r="AS472" s="216"/>
      <c r="AT472" s="207" t="s">
        <v>307</v>
      </c>
      <c r="AU472" s="337" t="s">
        <v>631</v>
      </c>
      <c r="AV472" s="607" t="s">
        <v>1621</v>
      </c>
      <c r="AW472" s="390" t="s">
        <v>1622</v>
      </c>
      <c r="AY472" s="226"/>
      <c r="AZ472" s="226"/>
      <c r="BA472" s="285"/>
    </row>
    <row r="473" spans="1:53" ht="89.25">
      <c r="A473" s="629">
        <v>13</v>
      </c>
      <c r="B473" s="1084" t="s">
        <v>1623</v>
      </c>
      <c r="C473" s="1084"/>
      <c r="D473" s="1084"/>
      <c r="E473" s="1084"/>
      <c r="F473" s="1084"/>
      <c r="G473" s="1051" t="s">
        <v>435</v>
      </c>
      <c r="H473" s="404">
        <v>2019</v>
      </c>
      <c r="I473" s="404"/>
      <c r="J473" s="404">
        <v>2021</v>
      </c>
      <c r="K473" s="404"/>
      <c r="L473" s="404"/>
      <c r="M473" s="1083" t="s">
        <v>1624</v>
      </c>
      <c r="N473" s="1085">
        <v>9500</v>
      </c>
      <c r="O473" s="1085"/>
      <c r="P473" s="1064">
        <f t="shared" si="377"/>
        <v>5700</v>
      </c>
      <c r="Q473" s="1064"/>
      <c r="R473" s="1064"/>
      <c r="S473" s="1064"/>
      <c r="T473" s="1064"/>
      <c r="U473" s="1064"/>
      <c r="V473" s="1064"/>
      <c r="W473" s="1064"/>
      <c r="X473" s="1064"/>
      <c r="Y473" s="1064"/>
      <c r="Z473" s="1064"/>
      <c r="AA473" s="1064"/>
      <c r="AB473" s="1064"/>
      <c r="AC473" s="1064"/>
      <c r="AD473" s="497">
        <f t="shared" si="375"/>
        <v>3420</v>
      </c>
      <c r="AE473" s="497">
        <f t="shared" si="376"/>
        <v>3420</v>
      </c>
      <c r="AF473" s="245">
        <v>1710</v>
      </c>
      <c r="AG473" s="245">
        <f t="shared" si="369"/>
        <v>50</v>
      </c>
      <c r="AH473" s="245"/>
      <c r="AI473" s="245">
        <f t="shared" si="370"/>
        <v>1710</v>
      </c>
      <c r="AJ473" s="245">
        <f t="shared" si="371"/>
        <v>1710</v>
      </c>
      <c r="AK473" s="245">
        <f t="shared" si="372"/>
        <v>1710</v>
      </c>
      <c r="AL473" s="245">
        <f t="shared" si="373"/>
        <v>3420</v>
      </c>
      <c r="AM473" s="245">
        <f t="shared" si="374"/>
        <v>1710</v>
      </c>
      <c r="AN473" s="286"/>
      <c r="AQ473" s="215" t="s">
        <v>773</v>
      </c>
      <c r="AR473" s="215" t="s">
        <v>1194</v>
      </c>
      <c r="AS473" s="216" t="s">
        <v>496</v>
      </c>
      <c r="AT473" s="207" t="s">
        <v>307</v>
      </c>
      <c r="AU473" s="399" t="s">
        <v>774</v>
      </c>
      <c r="AV473" s="401" t="s">
        <v>1625</v>
      </c>
      <c r="AW473" s="787" t="s">
        <v>1626</v>
      </c>
      <c r="AY473" s="226"/>
      <c r="AZ473" s="226"/>
      <c r="BA473" s="285"/>
    </row>
    <row r="474" spans="1:53" ht="55.5" customHeight="1">
      <c r="A474" s="248">
        <v>14</v>
      </c>
      <c r="B474" s="402" t="s">
        <v>1627</v>
      </c>
      <c r="C474" s="402"/>
      <c r="D474" s="402"/>
      <c r="E474" s="402"/>
      <c r="F474" s="402"/>
      <c r="G474" s="403" t="s">
        <v>382</v>
      </c>
      <c r="H474" s="404">
        <v>2019</v>
      </c>
      <c r="I474" s="404"/>
      <c r="J474" s="404">
        <v>2021</v>
      </c>
      <c r="K474" s="404"/>
      <c r="L474" s="404"/>
      <c r="M474" s="1083" t="s">
        <v>1628</v>
      </c>
      <c r="N474" s="1086">
        <v>6000</v>
      </c>
      <c r="O474" s="1086"/>
      <c r="P474" s="1064">
        <f t="shared" si="377"/>
        <v>3600</v>
      </c>
      <c r="Q474" s="1064"/>
      <c r="R474" s="1064"/>
      <c r="S474" s="1064"/>
      <c r="T474" s="1064"/>
      <c r="U474" s="1064"/>
      <c r="V474" s="1064"/>
      <c r="W474" s="1064"/>
      <c r="X474" s="1064"/>
      <c r="Y474" s="1064"/>
      <c r="Z474" s="1064"/>
      <c r="AA474" s="1064"/>
      <c r="AB474" s="1064"/>
      <c r="AC474" s="1064"/>
      <c r="AD474" s="497">
        <f t="shared" si="375"/>
        <v>2160</v>
      </c>
      <c r="AE474" s="497">
        <f t="shared" si="376"/>
        <v>2160</v>
      </c>
      <c r="AF474" s="245">
        <v>1080</v>
      </c>
      <c r="AG474" s="245">
        <f t="shared" si="369"/>
        <v>50</v>
      </c>
      <c r="AH474" s="245"/>
      <c r="AI474" s="245">
        <f t="shared" si="370"/>
        <v>1080</v>
      </c>
      <c r="AJ474" s="245">
        <f t="shared" si="371"/>
        <v>1080</v>
      </c>
      <c r="AK474" s="245">
        <f t="shared" si="372"/>
        <v>1080</v>
      </c>
      <c r="AL474" s="245">
        <f t="shared" si="373"/>
        <v>2160</v>
      </c>
      <c r="AM474" s="245">
        <f t="shared" si="374"/>
        <v>1080</v>
      </c>
      <c r="AN474" s="631" t="s">
        <v>1600</v>
      </c>
      <c r="AQ474" s="215" t="s">
        <v>595</v>
      </c>
      <c r="AR474" s="215" t="s">
        <v>1450</v>
      </c>
      <c r="AS474" s="216"/>
      <c r="AT474" s="207" t="s">
        <v>307</v>
      </c>
      <c r="AU474" s="399" t="s">
        <v>1629</v>
      </c>
      <c r="AV474" s="607" t="s">
        <v>1630</v>
      </c>
      <c r="AW474" s="787" t="s">
        <v>1631</v>
      </c>
      <c r="AY474" s="226"/>
      <c r="AZ474" s="226"/>
      <c r="BA474" s="285"/>
    </row>
    <row r="475" spans="1:53" s="1093" customFormat="1" ht="13.5">
      <c r="A475" s="1087" t="s">
        <v>43</v>
      </c>
      <c r="B475" s="1088" t="s">
        <v>898</v>
      </c>
      <c r="C475" s="1088"/>
      <c r="D475" s="1088"/>
      <c r="E475" s="1088"/>
      <c r="F475" s="1088"/>
      <c r="G475" s="1089"/>
      <c r="H475" s="1090"/>
      <c r="I475" s="1090"/>
      <c r="J475" s="1090"/>
      <c r="K475" s="1090"/>
      <c r="L475" s="1090"/>
      <c r="M475" s="1090"/>
      <c r="N475" s="1091">
        <f t="shared" ref="N475:AF475" si="378">SUBTOTAL(109,N476:N521)</f>
        <v>466384</v>
      </c>
      <c r="O475" s="1091">
        <f t="shared" si="378"/>
        <v>0</v>
      </c>
      <c r="P475" s="1091">
        <f t="shared" si="378"/>
        <v>306370</v>
      </c>
      <c r="Q475" s="1091">
        <f t="shared" si="378"/>
        <v>0</v>
      </c>
      <c r="R475" s="1091">
        <f t="shared" si="378"/>
        <v>0</v>
      </c>
      <c r="S475" s="1091">
        <f t="shared" si="378"/>
        <v>0</v>
      </c>
      <c r="T475" s="1091">
        <f t="shared" si="378"/>
        <v>0</v>
      </c>
      <c r="U475" s="1091">
        <f t="shared" si="378"/>
        <v>0</v>
      </c>
      <c r="V475" s="1091">
        <f t="shared" si="378"/>
        <v>0</v>
      </c>
      <c r="W475" s="1091">
        <f t="shared" si="378"/>
        <v>0</v>
      </c>
      <c r="X475" s="1091">
        <f t="shared" si="378"/>
        <v>0</v>
      </c>
      <c r="Y475" s="1091">
        <f t="shared" si="378"/>
        <v>0</v>
      </c>
      <c r="Z475" s="1091">
        <f t="shared" si="378"/>
        <v>0</v>
      </c>
      <c r="AA475" s="1091">
        <f t="shared" si="378"/>
        <v>0</v>
      </c>
      <c r="AB475" s="1091">
        <f t="shared" si="378"/>
        <v>0</v>
      </c>
      <c r="AC475" s="1091">
        <f t="shared" si="378"/>
        <v>0</v>
      </c>
      <c r="AD475" s="1091">
        <f t="shared" si="378"/>
        <v>194411.60000000003</v>
      </c>
      <c r="AE475" s="1091">
        <f t="shared" si="378"/>
        <v>194411.60000000003</v>
      </c>
      <c r="AF475" s="1091">
        <f t="shared" si="378"/>
        <v>84837.240000000165</v>
      </c>
      <c r="AG475" s="475"/>
      <c r="AH475" s="475"/>
      <c r="AI475" s="475"/>
      <c r="AJ475" s="475"/>
      <c r="AK475" s="475"/>
      <c r="AL475" s="475"/>
      <c r="AM475" s="475"/>
      <c r="AN475" s="1092"/>
      <c r="AQ475" s="1094"/>
      <c r="AR475" s="1094"/>
      <c r="AS475" s="1095"/>
      <c r="AT475" s="207"/>
      <c r="AU475" s="1096"/>
      <c r="AV475" s="1097"/>
      <c r="AW475" s="1098"/>
      <c r="AY475" s="1099"/>
      <c r="AZ475" s="1099"/>
      <c r="BA475" s="1100"/>
    </row>
    <row r="476" spans="1:53" ht="67.5" customHeight="1">
      <c r="A476" s="629">
        <v>1</v>
      </c>
      <c r="B476" s="1101" t="s">
        <v>2520</v>
      </c>
      <c r="C476" s="1101"/>
      <c r="D476" s="1101"/>
      <c r="E476" s="1101"/>
      <c r="F476" s="1101"/>
      <c r="G476" s="1102" t="s">
        <v>341</v>
      </c>
      <c r="H476" s="397">
        <v>2019</v>
      </c>
      <c r="I476" s="397"/>
      <c r="J476" s="397">
        <v>2020</v>
      </c>
      <c r="K476" s="397"/>
      <c r="L476" s="397"/>
      <c r="M476" s="1072" t="s">
        <v>1632</v>
      </c>
      <c r="N476" s="1103">
        <v>67500</v>
      </c>
      <c r="O476" s="1103"/>
      <c r="P476" s="1103">
        <v>67500</v>
      </c>
      <c r="Q476" s="1103"/>
      <c r="R476" s="1103"/>
      <c r="S476" s="1103"/>
      <c r="T476" s="1103"/>
      <c r="U476" s="1103"/>
      <c r="V476" s="1103"/>
      <c r="W476" s="1103"/>
      <c r="X476" s="1103"/>
      <c r="Y476" s="1103"/>
      <c r="Z476" s="1103"/>
      <c r="AA476" s="1103"/>
      <c r="AB476" s="1103"/>
      <c r="AC476" s="1103"/>
      <c r="AD476" s="1103">
        <f>P476*0.9*0.6</f>
        <v>36450</v>
      </c>
      <c r="AE476" s="1103">
        <f>AD476</f>
        <v>36450</v>
      </c>
      <c r="AF476" s="245">
        <v>12311.240000000158</v>
      </c>
      <c r="AG476" s="245">
        <f t="shared" si="369"/>
        <v>33.775692729767236</v>
      </c>
      <c r="AH476" s="245"/>
      <c r="AI476" s="245">
        <f t="shared" ref="AI476:AI502" si="379">AF476+AH476</f>
        <v>12311.240000000158</v>
      </c>
      <c r="AJ476" s="245">
        <f t="shared" ref="AJ476:AJ502" si="380">AA476+AI476</f>
        <v>12311.240000000158</v>
      </c>
      <c r="AK476" s="245">
        <f t="shared" ref="AK476:AK502" si="381">AC476+AI476</f>
        <v>12311.240000000158</v>
      </c>
      <c r="AL476" s="245">
        <f t="shared" si="373"/>
        <v>36450</v>
      </c>
      <c r="AM476" s="245">
        <f t="shared" si="374"/>
        <v>24138.759999999842</v>
      </c>
      <c r="AN476" s="598"/>
      <c r="AQ476" s="215" t="s">
        <v>1459</v>
      </c>
      <c r="AR476" s="215" t="s">
        <v>1450</v>
      </c>
      <c r="AS476" s="216" t="s">
        <v>572</v>
      </c>
      <c r="AT476" s="207" t="s">
        <v>307</v>
      </c>
      <c r="AU476" s="403" t="s">
        <v>631</v>
      </c>
      <c r="AV476" s="1053" t="s">
        <v>1633</v>
      </c>
      <c r="AW476" s="1104"/>
      <c r="AY476" s="226"/>
      <c r="AZ476" s="226"/>
      <c r="BA476" s="285"/>
    </row>
    <row r="477" spans="1:53" ht="51">
      <c r="A477" s="237">
        <v>2</v>
      </c>
      <c r="B477" s="1105" t="s">
        <v>1634</v>
      </c>
      <c r="C477" s="1105"/>
      <c r="D477" s="1105"/>
      <c r="E477" s="1105"/>
      <c r="F477" s="1105"/>
      <c r="G477" s="1060" t="s">
        <v>341</v>
      </c>
      <c r="H477" s="1106">
        <v>2018</v>
      </c>
      <c r="I477" s="1106"/>
      <c r="J477" s="1106">
        <v>2020</v>
      </c>
      <c r="K477" s="1106"/>
      <c r="L477" s="1106"/>
      <c r="M477" s="946" t="s">
        <v>1635</v>
      </c>
      <c r="N477" s="1107">
        <v>2100</v>
      </c>
      <c r="O477" s="1107"/>
      <c r="P477" s="1107">
        <v>1260</v>
      </c>
      <c r="Q477" s="1107"/>
      <c r="R477" s="1107"/>
      <c r="S477" s="1107"/>
      <c r="T477" s="1107"/>
      <c r="U477" s="1107"/>
      <c r="V477" s="1107"/>
      <c r="W477" s="1107"/>
      <c r="X477" s="1107"/>
      <c r="Y477" s="1107"/>
      <c r="Z477" s="1107"/>
      <c r="AA477" s="1107"/>
      <c r="AB477" s="1107"/>
      <c r="AC477" s="1107"/>
      <c r="AD477" s="1108">
        <f>P477</f>
        <v>1260</v>
      </c>
      <c r="AE477" s="1108">
        <f>AD477</f>
        <v>1260</v>
      </c>
      <c r="AF477" s="245">
        <v>1260</v>
      </c>
      <c r="AG477" s="245">
        <f t="shared" si="369"/>
        <v>100</v>
      </c>
      <c r="AH477" s="245"/>
      <c r="AI477" s="245">
        <f t="shared" si="379"/>
        <v>1260</v>
      </c>
      <c r="AJ477" s="245">
        <f t="shared" si="380"/>
        <v>1260</v>
      </c>
      <c r="AK477" s="245">
        <f t="shared" si="381"/>
        <v>1260</v>
      </c>
      <c r="AL477" s="245">
        <f t="shared" si="373"/>
        <v>1260</v>
      </c>
      <c r="AM477" s="245">
        <f t="shared" si="374"/>
        <v>0</v>
      </c>
      <c r="AN477" s="576" t="s">
        <v>1636</v>
      </c>
      <c r="AQ477" s="215" t="s">
        <v>1526</v>
      </c>
      <c r="AR477" s="215" t="s">
        <v>1450</v>
      </c>
      <c r="AS477" s="216"/>
      <c r="AT477" s="207" t="s">
        <v>307</v>
      </c>
      <c r="AU477" s="1109" t="s">
        <v>631</v>
      </c>
      <c r="AV477" s="1053" t="s">
        <v>1578</v>
      </c>
      <c r="AW477" s="787" t="s">
        <v>1637</v>
      </c>
      <c r="AY477" s="226"/>
      <c r="AZ477" s="226"/>
      <c r="BA477" s="285"/>
    </row>
    <row r="478" spans="1:53" ht="51">
      <c r="A478" s="629">
        <v>3</v>
      </c>
      <c r="B478" s="1110" t="s">
        <v>2539</v>
      </c>
      <c r="C478" s="1110"/>
      <c r="D478" s="1110"/>
      <c r="E478" s="1110"/>
      <c r="F478" s="1110"/>
      <c r="G478" s="403" t="s">
        <v>382</v>
      </c>
      <c r="H478" s="288">
        <v>2018</v>
      </c>
      <c r="I478" s="288"/>
      <c r="J478" s="288">
        <v>2020</v>
      </c>
      <c r="K478" s="288"/>
      <c r="L478" s="288"/>
      <c r="M478" s="781" t="s">
        <v>1638</v>
      </c>
      <c r="N478" s="496">
        <v>9956</v>
      </c>
      <c r="O478" s="496"/>
      <c r="P478" s="496">
        <v>5973</v>
      </c>
      <c r="Q478" s="496"/>
      <c r="R478" s="496"/>
      <c r="S478" s="496"/>
      <c r="T478" s="496"/>
      <c r="U478" s="496"/>
      <c r="V478" s="496"/>
      <c r="W478" s="496"/>
      <c r="X478" s="496"/>
      <c r="Y478" s="496"/>
      <c r="Z478" s="496"/>
      <c r="AA478" s="496"/>
      <c r="AB478" s="496"/>
      <c r="AC478" s="496"/>
      <c r="AD478" s="1108">
        <f>P478</f>
        <v>5973</v>
      </c>
      <c r="AE478" s="1108">
        <f t="shared" ref="AE478:AE491" si="382">AD478</f>
        <v>5973</v>
      </c>
      <c r="AF478" s="245">
        <v>2986</v>
      </c>
      <c r="AG478" s="245">
        <f t="shared" si="369"/>
        <v>49.99162899715386</v>
      </c>
      <c r="AH478" s="245"/>
      <c r="AI478" s="245">
        <f t="shared" si="379"/>
        <v>2986</v>
      </c>
      <c r="AJ478" s="245">
        <f t="shared" si="380"/>
        <v>2986</v>
      </c>
      <c r="AK478" s="245">
        <f t="shared" si="381"/>
        <v>2986</v>
      </c>
      <c r="AL478" s="245">
        <f t="shared" si="373"/>
        <v>5973</v>
      </c>
      <c r="AM478" s="245">
        <f t="shared" si="374"/>
        <v>2987</v>
      </c>
      <c r="AN478" s="398" t="s">
        <v>1639</v>
      </c>
      <c r="AQ478" s="215" t="s">
        <v>742</v>
      </c>
      <c r="AR478" s="215" t="s">
        <v>1450</v>
      </c>
      <c r="AS478" s="216"/>
      <c r="AU478" s="337" t="s">
        <v>743</v>
      </c>
      <c r="AV478" s="1053" t="s">
        <v>1578</v>
      </c>
      <c r="AW478" s="787" t="s">
        <v>1640</v>
      </c>
      <c r="AY478" s="226"/>
      <c r="AZ478" s="226"/>
      <c r="BA478" s="285"/>
    </row>
    <row r="479" spans="1:53" ht="51">
      <c r="A479" s="237">
        <v>4</v>
      </c>
      <c r="B479" s="1105" t="s">
        <v>2519</v>
      </c>
      <c r="C479" s="1105"/>
      <c r="D479" s="1105"/>
      <c r="E479" s="1105"/>
      <c r="F479" s="1105"/>
      <c r="G479" s="1060" t="s">
        <v>373</v>
      </c>
      <c r="H479" s="1106">
        <v>2018</v>
      </c>
      <c r="I479" s="1106"/>
      <c r="J479" s="1106">
        <v>2020</v>
      </c>
      <c r="K479" s="1106"/>
      <c r="L479" s="1106"/>
      <c r="M479" s="946" t="s">
        <v>1641</v>
      </c>
      <c r="N479" s="1107">
        <v>9910</v>
      </c>
      <c r="O479" s="1107"/>
      <c r="P479" s="1107">
        <v>5946</v>
      </c>
      <c r="Q479" s="1107"/>
      <c r="R479" s="1107"/>
      <c r="S479" s="1107"/>
      <c r="T479" s="1107"/>
      <c r="U479" s="1107"/>
      <c r="V479" s="1107"/>
      <c r="W479" s="1107"/>
      <c r="X479" s="1107"/>
      <c r="Y479" s="1107"/>
      <c r="Z479" s="1107"/>
      <c r="AA479" s="1107"/>
      <c r="AB479" s="1107"/>
      <c r="AC479" s="1107"/>
      <c r="AD479" s="1108">
        <f>P479</f>
        <v>5946</v>
      </c>
      <c r="AE479" s="1108">
        <f t="shared" si="382"/>
        <v>5946</v>
      </c>
      <c r="AF479" s="245">
        <v>2973</v>
      </c>
      <c r="AG479" s="245">
        <f t="shared" si="369"/>
        <v>50</v>
      </c>
      <c r="AH479" s="245"/>
      <c r="AI479" s="245">
        <f t="shared" si="379"/>
        <v>2973</v>
      </c>
      <c r="AJ479" s="245">
        <f t="shared" si="380"/>
        <v>2973</v>
      </c>
      <c r="AK479" s="245">
        <f t="shared" si="381"/>
        <v>2973</v>
      </c>
      <c r="AL479" s="245">
        <f t="shared" si="373"/>
        <v>5946</v>
      </c>
      <c r="AM479" s="245">
        <f t="shared" si="374"/>
        <v>2973</v>
      </c>
      <c r="AN479" s="1106" t="s">
        <v>1642</v>
      </c>
      <c r="AQ479" s="215" t="s">
        <v>554</v>
      </c>
      <c r="AR479" s="215" t="s">
        <v>1450</v>
      </c>
      <c r="AS479" s="216" t="s">
        <v>496</v>
      </c>
      <c r="AT479" s="207" t="s">
        <v>307</v>
      </c>
      <c r="AU479" s="582" t="s">
        <v>555</v>
      </c>
      <c r="AV479" s="1053" t="s">
        <v>1578</v>
      </c>
      <c r="AW479" s="787" t="s">
        <v>1643</v>
      </c>
      <c r="AY479" s="226"/>
      <c r="AZ479" s="226"/>
      <c r="BA479" s="285"/>
    </row>
    <row r="480" spans="1:53" ht="51">
      <c r="A480" s="629">
        <v>5</v>
      </c>
      <c r="B480" s="1105" t="s">
        <v>1644</v>
      </c>
      <c r="C480" s="1105"/>
      <c r="D480" s="1105"/>
      <c r="E480" s="1105"/>
      <c r="F480" s="1105"/>
      <c r="G480" s="1060" t="s">
        <v>395</v>
      </c>
      <c r="H480" s="1106">
        <v>2019</v>
      </c>
      <c r="I480" s="1106"/>
      <c r="J480" s="1106">
        <v>2020</v>
      </c>
      <c r="K480" s="1106"/>
      <c r="L480" s="1106"/>
      <c r="M480" s="946" t="s">
        <v>1645</v>
      </c>
      <c r="N480" s="1111">
        <v>4500</v>
      </c>
      <c r="O480" s="1111"/>
      <c r="P480" s="1111">
        <v>2700</v>
      </c>
      <c r="Q480" s="1111"/>
      <c r="R480" s="1111"/>
      <c r="S480" s="1111"/>
      <c r="T480" s="1111"/>
      <c r="U480" s="1111"/>
      <c r="V480" s="1111"/>
      <c r="W480" s="1111"/>
      <c r="X480" s="1111"/>
      <c r="Y480" s="1111"/>
      <c r="Z480" s="1111"/>
      <c r="AA480" s="1111"/>
      <c r="AB480" s="1111"/>
      <c r="AC480" s="1111"/>
      <c r="AD480" s="1108">
        <f>P480</f>
        <v>2700</v>
      </c>
      <c r="AE480" s="1108">
        <f t="shared" si="382"/>
        <v>2700</v>
      </c>
      <c r="AF480" s="245">
        <v>1350</v>
      </c>
      <c r="AG480" s="245">
        <f t="shared" si="369"/>
        <v>50</v>
      </c>
      <c r="AH480" s="245"/>
      <c r="AI480" s="245">
        <f t="shared" si="379"/>
        <v>1350</v>
      </c>
      <c r="AJ480" s="245">
        <f t="shared" si="380"/>
        <v>1350</v>
      </c>
      <c r="AK480" s="245">
        <f t="shared" si="381"/>
        <v>1350</v>
      </c>
      <c r="AL480" s="245">
        <f t="shared" si="373"/>
        <v>2700</v>
      </c>
      <c r="AM480" s="245">
        <f t="shared" si="374"/>
        <v>1350</v>
      </c>
      <c r="AN480" s="1060" t="s">
        <v>1575</v>
      </c>
      <c r="AQ480" s="215" t="s">
        <v>1646</v>
      </c>
      <c r="AR480" s="215" t="s">
        <v>1194</v>
      </c>
      <c r="AS480" s="216" t="s">
        <v>496</v>
      </c>
      <c r="AT480" s="207" t="s">
        <v>307</v>
      </c>
      <c r="AU480" s="582" t="s">
        <v>1647</v>
      </c>
      <c r="AV480" s="1053" t="s">
        <v>1578</v>
      </c>
      <c r="AW480" s="787" t="s">
        <v>1648</v>
      </c>
      <c r="AY480" s="226"/>
      <c r="AZ480" s="226"/>
      <c r="BA480" s="285"/>
    </row>
    <row r="481" spans="1:53" ht="63.75">
      <c r="A481" s="237">
        <v>6</v>
      </c>
      <c r="B481" s="1105" t="s">
        <v>1649</v>
      </c>
      <c r="C481" s="1105"/>
      <c r="D481" s="1105"/>
      <c r="E481" s="1105"/>
      <c r="F481" s="1105"/>
      <c r="G481" s="1060" t="s">
        <v>395</v>
      </c>
      <c r="H481" s="1106">
        <v>2018</v>
      </c>
      <c r="I481" s="1106"/>
      <c r="J481" s="1106">
        <v>2020</v>
      </c>
      <c r="K481" s="1106"/>
      <c r="L481" s="1106"/>
      <c r="M481" s="946" t="s">
        <v>1650</v>
      </c>
      <c r="N481" s="1107">
        <v>9000</v>
      </c>
      <c r="O481" s="1107"/>
      <c r="P481" s="1107">
        <v>3000</v>
      </c>
      <c r="Q481" s="1107"/>
      <c r="R481" s="1107"/>
      <c r="S481" s="1107"/>
      <c r="T481" s="1107"/>
      <c r="U481" s="1107"/>
      <c r="V481" s="1107"/>
      <c r="W481" s="1107"/>
      <c r="X481" s="1107"/>
      <c r="Y481" s="1107"/>
      <c r="Z481" s="1107"/>
      <c r="AA481" s="1107"/>
      <c r="AB481" s="1107"/>
      <c r="AC481" s="1107"/>
      <c r="AD481" s="1108">
        <f>P481</f>
        <v>3000</v>
      </c>
      <c r="AE481" s="1108">
        <f t="shared" si="382"/>
        <v>3000</v>
      </c>
      <c r="AF481" s="245">
        <v>1500</v>
      </c>
      <c r="AG481" s="245">
        <f t="shared" si="369"/>
        <v>50</v>
      </c>
      <c r="AH481" s="1062"/>
      <c r="AI481" s="245">
        <f t="shared" si="379"/>
        <v>1500</v>
      </c>
      <c r="AJ481" s="245">
        <f t="shared" si="380"/>
        <v>1500</v>
      </c>
      <c r="AK481" s="245">
        <f t="shared" si="381"/>
        <v>1500</v>
      </c>
      <c r="AL481" s="245">
        <f t="shared" si="373"/>
        <v>3000</v>
      </c>
      <c r="AM481" s="245">
        <f t="shared" si="374"/>
        <v>1500</v>
      </c>
      <c r="AN481" s="1063" t="s">
        <v>1651</v>
      </c>
      <c r="AO481" s="1063" t="s">
        <v>1651</v>
      </c>
      <c r="AQ481" s="215" t="s">
        <v>542</v>
      </c>
      <c r="AR481" s="215" t="s">
        <v>1450</v>
      </c>
      <c r="AS481" s="216"/>
      <c r="AT481" s="207" t="s">
        <v>307</v>
      </c>
      <c r="AU481" s="582" t="s">
        <v>793</v>
      </c>
      <c r="AV481" s="1053" t="s">
        <v>1578</v>
      </c>
      <c r="AW481" s="787" t="s">
        <v>1652</v>
      </c>
      <c r="AY481" s="226"/>
      <c r="AZ481" s="226"/>
      <c r="BA481" s="285"/>
    </row>
    <row r="482" spans="1:53" ht="51">
      <c r="A482" s="629">
        <v>7</v>
      </c>
      <c r="B482" s="1105" t="s">
        <v>1653</v>
      </c>
      <c r="C482" s="1105"/>
      <c r="D482" s="1105"/>
      <c r="E482" s="1105"/>
      <c r="F482" s="1105"/>
      <c r="G482" s="1109" t="s">
        <v>395</v>
      </c>
      <c r="H482" s="1106">
        <v>2019</v>
      </c>
      <c r="I482" s="1106"/>
      <c r="J482" s="1106">
        <v>2021</v>
      </c>
      <c r="K482" s="1112"/>
      <c r="L482" s="1112"/>
      <c r="M482" s="1061" t="s">
        <v>1654</v>
      </c>
      <c r="N482" s="1107">
        <v>9000</v>
      </c>
      <c r="O482" s="1107"/>
      <c r="P482" s="1107">
        <v>5400</v>
      </c>
      <c r="Q482" s="1107"/>
      <c r="R482" s="1107"/>
      <c r="S482" s="1107"/>
      <c r="T482" s="1107"/>
      <c r="U482" s="1107"/>
      <c r="V482" s="1107"/>
      <c r="W482" s="1107"/>
      <c r="X482" s="1107"/>
      <c r="Y482" s="1107"/>
      <c r="Z482" s="1107"/>
      <c r="AA482" s="1107"/>
      <c r="AB482" s="1107"/>
      <c r="AC482" s="1107"/>
      <c r="AD482" s="497">
        <f t="shared" ref="AD482:AD495" si="383">P482*0.6</f>
        <v>3240</v>
      </c>
      <c r="AE482" s="497">
        <f t="shared" si="382"/>
        <v>3240</v>
      </c>
      <c r="AF482" s="245">
        <v>1620</v>
      </c>
      <c r="AG482" s="245">
        <f t="shared" si="369"/>
        <v>50</v>
      </c>
      <c r="AH482" s="245"/>
      <c r="AI482" s="245">
        <f t="shared" si="379"/>
        <v>1620</v>
      </c>
      <c r="AJ482" s="245">
        <f t="shared" si="380"/>
        <v>1620</v>
      </c>
      <c r="AK482" s="245">
        <f t="shared" si="381"/>
        <v>1620</v>
      </c>
      <c r="AL482" s="245">
        <f t="shared" si="373"/>
        <v>3240</v>
      </c>
      <c r="AM482" s="245">
        <f t="shared" si="374"/>
        <v>1620</v>
      </c>
      <c r="AN482" s="1060" t="s">
        <v>1655</v>
      </c>
      <c r="AQ482" s="215" t="s">
        <v>713</v>
      </c>
      <c r="AR482" s="215" t="s">
        <v>1450</v>
      </c>
      <c r="AS482" s="216"/>
      <c r="AT482" s="207" t="s">
        <v>307</v>
      </c>
      <c r="AU482" s="582" t="s">
        <v>714</v>
      </c>
      <c r="AV482" s="1053" t="s">
        <v>360</v>
      </c>
      <c r="AW482" s="390" t="s">
        <v>1656</v>
      </c>
      <c r="AY482" s="226"/>
      <c r="AZ482" s="226"/>
      <c r="BA482" s="285"/>
    </row>
    <row r="483" spans="1:53" ht="51">
      <c r="A483" s="237">
        <v>8</v>
      </c>
      <c r="B483" s="336" t="s">
        <v>1657</v>
      </c>
      <c r="C483" s="336"/>
      <c r="D483" s="336"/>
      <c r="E483" s="336"/>
      <c r="F483" s="336"/>
      <c r="G483" s="494" t="s">
        <v>435</v>
      </c>
      <c r="H483" s="288">
        <v>2019</v>
      </c>
      <c r="I483" s="288"/>
      <c r="J483" s="288">
        <v>2021</v>
      </c>
      <c r="K483" s="288"/>
      <c r="L483" s="288"/>
      <c r="M483" s="1061" t="s">
        <v>1658</v>
      </c>
      <c r="N483" s="497">
        <v>5000</v>
      </c>
      <c r="O483" s="497"/>
      <c r="P483" s="497">
        <v>3000</v>
      </c>
      <c r="Q483" s="497"/>
      <c r="R483" s="497"/>
      <c r="S483" s="497"/>
      <c r="T483" s="497"/>
      <c r="U483" s="497"/>
      <c r="V483" s="497"/>
      <c r="W483" s="497"/>
      <c r="X483" s="497"/>
      <c r="Y483" s="497"/>
      <c r="Z483" s="497"/>
      <c r="AA483" s="497"/>
      <c r="AB483" s="497"/>
      <c r="AC483" s="497"/>
      <c r="AD483" s="497">
        <f t="shared" si="383"/>
        <v>1800</v>
      </c>
      <c r="AE483" s="497">
        <f t="shared" si="382"/>
        <v>1800</v>
      </c>
      <c r="AF483" s="245">
        <v>900</v>
      </c>
      <c r="AG483" s="245">
        <f t="shared" si="369"/>
        <v>50</v>
      </c>
      <c r="AH483" s="245"/>
      <c r="AI483" s="245">
        <f t="shared" si="379"/>
        <v>900</v>
      </c>
      <c r="AJ483" s="245">
        <f t="shared" si="380"/>
        <v>900</v>
      </c>
      <c r="AK483" s="245">
        <f t="shared" si="381"/>
        <v>900</v>
      </c>
      <c r="AL483" s="245">
        <f t="shared" si="373"/>
        <v>1800</v>
      </c>
      <c r="AM483" s="245">
        <f t="shared" si="374"/>
        <v>900</v>
      </c>
      <c r="AN483" s="398" t="s">
        <v>1639</v>
      </c>
      <c r="AQ483" s="215" t="s">
        <v>993</v>
      </c>
      <c r="AR483" s="215" t="s">
        <v>1450</v>
      </c>
      <c r="AS483" s="216" t="s">
        <v>496</v>
      </c>
      <c r="AT483" s="207" t="s">
        <v>307</v>
      </c>
      <c r="AU483" s="337" t="s">
        <v>994</v>
      </c>
      <c r="AV483" s="1053" t="s">
        <v>1633</v>
      </c>
      <c r="AW483" s="787" t="s">
        <v>1659</v>
      </c>
      <c r="AY483" s="226"/>
      <c r="AZ483" s="226"/>
      <c r="BA483" s="285"/>
    </row>
    <row r="484" spans="1:53" ht="51">
      <c r="A484" s="629">
        <v>9</v>
      </c>
      <c r="B484" s="1113" t="s">
        <v>2524</v>
      </c>
      <c r="C484" s="1113"/>
      <c r="D484" s="1113"/>
      <c r="E484" s="1113"/>
      <c r="F484" s="1113"/>
      <c r="G484" s="403" t="s">
        <v>382</v>
      </c>
      <c r="H484" s="288">
        <v>2019</v>
      </c>
      <c r="I484" s="288"/>
      <c r="J484" s="288">
        <v>2021</v>
      </c>
      <c r="K484" s="288"/>
      <c r="L484" s="288"/>
      <c r="M484" s="1061" t="s">
        <v>1660</v>
      </c>
      <c r="N484" s="1114">
        <v>9819</v>
      </c>
      <c r="O484" s="1114"/>
      <c r="P484" s="1114">
        <v>6000</v>
      </c>
      <c r="Q484" s="1114"/>
      <c r="R484" s="1114"/>
      <c r="S484" s="1114"/>
      <c r="T484" s="1114"/>
      <c r="U484" s="1114"/>
      <c r="V484" s="1114"/>
      <c r="W484" s="1114"/>
      <c r="X484" s="1114"/>
      <c r="Y484" s="1114"/>
      <c r="Z484" s="1114"/>
      <c r="AA484" s="1114"/>
      <c r="AB484" s="1114"/>
      <c r="AC484" s="1114"/>
      <c r="AD484" s="497">
        <f t="shared" si="383"/>
        <v>3600</v>
      </c>
      <c r="AE484" s="497">
        <f t="shared" si="382"/>
        <v>3600</v>
      </c>
      <c r="AF484" s="245">
        <v>1800</v>
      </c>
      <c r="AG484" s="245">
        <f t="shared" si="369"/>
        <v>50</v>
      </c>
      <c r="AH484" s="245"/>
      <c r="AI484" s="245">
        <f t="shared" si="379"/>
        <v>1800</v>
      </c>
      <c r="AJ484" s="245">
        <f t="shared" si="380"/>
        <v>1800</v>
      </c>
      <c r="AK484" s="245">
        <f t="shared" si="381"/>
        <v>1800</v>
      </c>
      <c r="AL484" s="245">
        <f t="shared" si="373"/>
        <v>3600</v>
      </c>
      <c r="AM484" s="245">
        <f t="shared" si="374"/>
        <v>1800</v>
      </c>
      <c r="AN484" s="398" t="s">
        <v>1639</v>
      </c>
      <c r="AQ484" s="215" t="s">
        <v>742</v>
      </c>
      <c r="AR484" s="215" t="s">
        <v>1450</v>
      </c>
      <c r="AS484" s="216"/>
      <c r="AU484" s="337" t="s">
        <v>743</v>
      </c>
      <c r="AV484" s="1053" t="s">
        <v>360</v>
      </c>
      <c r="AW484" s="787" t="s">
        <v>1661</v>
      </c>
      <c r="AY484" s="226"/>
      <c r="AZ484" s="226"/>
      <c r="BA484" s="285"/>
    </row>
    <row r="485" spans="1:53" ht="51">
      <c r="A485" s="237">
        <v>10</v>
      </c>
      <c r="B485" s="1113" t="s">
        <v>1662</v>
      </c>
      <c r="C485" s="1113"/>
      <c r="D485" s="1113"/>
      <c r="E485" s="1113"/>
      <c r="F485" s="1113"/>
      <c r="G485" s="403" t="s">
        <v>382</v>
      </c>
      <c r="H485" s="288">
        <v>2019</v>
      </c>
      <c r="I485" s="288"/>
      <c r="J485" s="288">
        <v>2021</v>
      </c>
      <c r="K485" s="288"/>
      <c r="L485" s="288"/>
      <c r="M485" s="1061" t="s">
        <v>1663</v>
      </c>
      <c r="N485" s="1114">
        <v>8223</v>
      </c>
      <c r="O485" s="1114"/>
      <c r="P485" s="1114">
        <v>4933</v>
      </c>
      <c r="Q485" s="1114"/>
      <c r="R485" s="1114"/>
      <c r="S485" s="1114"/>
      <c r="T485" s="1114"/>
      <c r="U485" s="1114"/>
      <c r="V485" s="1114"/>
      <c r="W485" s="1114"/>
      <c r="X485" s="1114"/>
      <c r="Y485" s="1114"/>
      <c r="Z485" s="1114"/>
      <c r="AA485" s="1114"/>
      <c r="AB485" s="1114"/>
      <c r="AC485" s="1114"/>
      <c r="AD485" s="497">
        <f t="shared" si="383"/>
        <v>2959.7999999999997</v>
      </c>
      <c r="AE485" s="497">
        <f t="shared" si="382"/>
        <v>2959.7999999999997</v>
      </c>
      <c r="AF485" s="245">
        <v>1479.9</v>
      </c>
      <c r="AG485" s="245">
        <f t="shared" si="369"/>
        <v>50.000000000000014</v>
      </c>
      <c r="AH485" s="245"/>
      <c r="AI485" s="245">
        <f t="shared" si="379"/>
        <v>1479.9</v>
      </c>
      <c r="AJ485" s="245">
        <f t="shared" si="380"/>
        <v>1479.9</v>
      </c>
      <c r="AK485" s="245">
        <f t="shared" si="381"/>
        <v>1479.9</v>
      </c>
      <c r="AL485" s="245">
        <f t="shared" si="373"/>
        <v>2959.7999999999997</v>
      </c>
      <c r="AM485" s="245">
        <f t="shared" si="374"/>
        <v>1479.8999999999996</v>
      </c>
      <c r="AN485" s="398" t="s">
        <v>1639</v>
      </c>
      <c r="AQ485" s="215" t="s">
        <v>767</v>
      </c>
      <c r="AR485" s="215" t="s">
        <v>1450</v>
      </c>
      <c r="AS485" s="216"/>
      <c r="AT485" s="207" t="s">
        <v>307</v>
      </c>
      <c r="AU485" s="337" t="s">
        <v>768</v>
      </c>
      <c r="AV485" s="1053" t="s">
        <v>945</v>
      </c>
      <c r="AW485" s="787" t="s">
        <v>1664</v>
      </c>
      <c r="AY485" s="226"/>
      <c r="AZ485" s="226"/>
      <c r="BA485" s="285"/>
    </row>
    <row r="486" spans="1:53" ht="51">
      <c r="A486" s="629">
        <v>11</v>
      </c>
      <c r="B486" s="336" t="s">
        <v>2525</v>
      </c>
      <c r="C486" s="336"/>
      <c r="D486" s="336"/>
      <c r="E486" s="336"/>
      <c r="F486" s="336"/>
      <c r="G486" s="403" t="s">
        <v>382</v>
      </c>
      <c r="H486" s="288">
        <v>2019</v>
      </c>
      <c r="I486" s="288"/>
      <c r="J486" s="288">
        <v>2021</v>
      </c>
      <c r="K486" s="288"/>
      <c r="L486" s="288"/>
      <c r="M486" s="1061" t="s">
        <v>1665</v>
      </c>
      <c r="N486" s="289">
        <v>9938</v>
      </c>
      <c r="O486" s="289"/>
      <c r="P486" s="289">
        <v>6000</v>
      </c>
      <c r="Q486" s="289"/>
      <c r="R486" s="289"/>
      <c r="S486" s="289"/>
      <c r="T486" s="289"/>
      <c r="U486" s="289"/>
      <c r="V486" s="289"/>
      <c r="W486" s="289"/>
      <c r="X486" s="289"/>
      <c r="Y486" s="289"/>
      <c r="Z486" s="289"/>
      <c r="AA486" s="289"/>
      <c r="AB486" s="289"/>
      <c r="AC486" s="289"/>
      <c r="AD486" s="497">
        <f t="shared" si="383"/>
        <v>3600</v>
      </c>
      <c r="AE486" s="497">
        <f t="shared" si="382"/>
        <v>3600</v>
      </c>
      <c r="AF486" s="245">
        <v>1800</v>
      </c>
      <c r="AG486" s="245">
        <f t="shared" si="369"/>
        <v>50</v>
      </c>
      <c r="AH486" s="245"/>
      <c r="AI486" s="245">
        <f t="shared" si="379"/>
        <v>1800</v>
      </c>
      <c r="AJ486" s="245">
        <f t="shared" si="380"/>
        <v>1800</v>
      </c>
      <c r="AK486" s="245">
        <f t="shared" si="381"/>
        <v>1800</v>
      </c>
      <c r="AL486" s="245">
        <f t="shared" si="373"/>
        <v>3600</v>
      </c>
      <c r="AM486" s="245">
        <f t="shared" si="374"/>
        <v>1800</v>
      </c>
      <c r="AN486" s="398" t="s">
        <v>1639</v>
      </c>
      <c r="AQ486" s="215" t="s">
        <v>1117</v>
      </c>
      <c r="AR486" s="215" t="s">
        <v>1450</v>
      </c>
      <c r="AS486" s="216"/>
      <c r="AU486" s="337" t="s">
        <v>1666</v>
      </c>
      <c r="AV486" s="1053" t="s">
        <v>1633</v>
      </c>
      <c r="AW486" s="787" t="s">
        <v>1667</v>
      </c>
      <c r="AY486" s="226"/>
      <c r="AZ486" s="226"/>
      <c r="BA486" s="285"/>
    </row>
    <row r="487" spans="1:53" ht="51">
      <c r="A487" s="237">
        <v>12</v>
      </c>
      <c r="B487" s="336" t="s">
        <v>2523</v>
      </c>
      <c r="C487" s="336"/>
      <c r="D487" s="336"/>
      <c r="E487" s="336"/>
      <c r="F487" s="336"/>
      <c r="G487" s="403" t="s">
        <v>435</v>
      </c>
      <c r="H487" s="288">
        <v>2019</v>
      </c>
      <c r="I487" s="288"/>
      <c r="J487" s="288">
        <v>2021</v>
      </c>
      <c r="K487" s="288"/>
      <c r="L487" s="288"/>
      <c r="M487" s="1061" t="s">
        <v>1668</v>
      </c>
      <c r="N487" s="289">
        <v>7000</v>
      </c>
      <c r="O487" s="289"/>
      <c r="P487" s="289">
        <v>4200</v>
      </c>
      <c r="Q487" s="289"/>
      <c r="R487" s="289"/>
      <c r="S487" s="289"/>
      <c r="T487" s="289"/>
      <c r="U487" s="289"/>
      <c r="V487" s="289"/>
      <c r="W487" s="289"/>
      <c r="X487" s="289"/>
      <c r="Y487" s="289"/>
      <c r="Z487" s="289"/>
      <c r="AA487" s="289"/>
      <c r="AB487" s="289"/>
      <c r="AC487" s="289"/>
      <c r="AD487" s="497">
        <f t="shared" si="383"/>
        <v>2520</v>
      </c>
      <c r="AE487" s="497">
        <f t="shared" si="382"/>
        <v>2520</v>
      </c>
      <c r="AF487" s="245">
        <v>1260</v>
      </c>
      <c r="AG487" s="245">
        <f t="shared" si="369"/>
        <v>50</v>
      </c>
      <c r="AH487" s="245"/>
      <c r="AI487" s="245">
        <f t="shared" si="379"/>
        <v>1260</v>
      </c>
      <c r="AJ487" s="245">
        <f t="shared" si="380"/>
        <v>1260</v>
      </c>
      <c r="AK487" s="245">
        <f t="shared" si="381"/>
        <v>1260</v>
      </c>
      <c r="AL487" s="245">
        <f t="shared" si="373"/>
        <v>2520</v>
      </c>
      <c r="AM487" s="245">
        <f t="shared" si="374"/>
        <v>1260</v>
      </c>
      <c r="AN487" s="398" t="s">
        <v>1639</v>
      </c>
      <c r="AQ487" s="215" t="s">
        <v>732</v>
      </c>
      <c r="AR487" s="215" t="s">
        <v>1450</v>
      </c>
      <c r="AS487" s="216"/>
      <c r="AT487" s="207" t="s">
        <v>307</v>
      </c>
      <c r="AU487" s="337" t="s">
        <v>733</v>
      </c>
      <c r="AV487" s="1053" t="s">
        <v>960</v>
      </c>
      <c r="AW487" s="787" t="s">
        <v>1669</v>
      </c>
      <c r="AY487" s="226"/>
      <c r="AZ487" s="226"/>
      <c r="BA487" s="285"/>
    </row>
    <row r="488" spans="1:53" ht="51">
      <c r="A488" s="629">
        <v>13</v>
      </c>
      <c r="B488" s="1105" t="s">
        <v>1670</v>
      </c>
      <c r="C488" s="1105"/>
      <c r="D488" s="1105"/>
      <c r="E488" s="1105"/>
      <c r="F488" s="1105"/>
      <c r="G488" s="403" t="s">
        <v>435</v>
      </c>
      <c r="H488" s="1106">
        <v>2019</v>
      </c>
      <c r="I488" s="1106"/>
      <c r="J488" s="1106">
        <v>2021</v>
      </c>
      <c r="K488" s="1106"/>
      <c r="L488" s="1106"/>
      <c r="M488" s="946" t="s">
        <v>1671</v>
      </c>
      <c r="N488" s="1107">
        <v>7000</v>
      </c>
      <c r="O488" s="1107"/>
      <c r="P488" s="1107">
        <v>7000</v>
      </c>
      <c r="Q488" s="1107"/>
      <c r="R488" s="1107"/>
      <c r="S488" s="1107"/>
      <c r="T488" s="1107"/>
      <c r="U488" s="1107"/>
      <c r="V488" s="1107"/>
      <c r="W488" s="1107"/>
      <c r="X488" s="1107"/>
      <c r="Y488" s="1107"/>
      <c r="Z488" s="1107"/>
      <c r="AA488" s="1107"/>
      <c r="AB488" s="1107"/>
      <c r="AC488" s="1107"/>
      <c r="AD488" s="497">
        <f t="shared" si="383"/>
        <v>4200</v>
      </c>
      <c r="AE488" s="497">
        <f t="shared" si="382"/>
        <v>4200</v>
      </c>
      <c r="AF488" s="245">
        <v>1260</v>
      </c>
      <c r="AG488" s="245">
        <f t="shared" si="369"/>
        <v>30</v>
      </c>
      <c r="AH488" s="245"/>
      <c r="AI488" s="245">
        <f t="shared" si="379"/>
        <v>1260</v>
      </c>
      <c r="AJ488" s="245">
        <f t="shared" si="380"/>
        <v>1260</v>
      </c>
      <c r="AK488" s="245">
        <f t="shared" si="381"/>
        <v>1260</v>
      </c>
      <c r="AL488" s="245">
        <f t="shared" si="373"/>
        <v>4200</v>
      </c>
      <c r="AM488" s="245">
        <f t="shared" si="374"/>
        <v>2940</v>
      </c>
      <c r="AN488" s="1109"/>
      <c r="AQ488" s="215" t="s">
        <v>1555</v>
      </c>
      <c r="AR488" s="215" t="s">
        <v>1169</v>
      </c>
      <c r="AS488" s="216"/>
      <c r="AU488" s="582" t="s">
        <v>1672</v>
      </c>
      <c r="AV488" s="1053" t="s">
        <v>1578</v>
      </c>
      <c r="AW488" s="787" t="s">
        <v>1673</v>
      </c>
      <c r="AY488" s="226"/>
      <c r="AZ488" s="226"/>
      <c r="BA488" s="285"/>
    </row>
    <row r="489" spans="1:53" ht="102">
      <c r="A489" s="237">
        <v>14</v>
      </c>
      <c r="B489" s="630" t="s">
        <v>1674</v>
      </c>
      <c r="C489" s="630"/>
      <c r="D489" s="630"/>
      <c r="E489" s="630"/>
      <c r="F489" s="630"/>
      <c r="G489" s="403" t="s">
        <v>435</v>
      </c>
      <c r="H489" s="288">
        <v>2019</v>
      </c>
      <c r="I489" s="288"/>
      <c r="J489" s="288">
        <v>2021</v>
      </c>
      <c r="K489" s="288"/>
      <c r="L489" s="288"/>
      <c r="M489" s="781" t="s">
        <v>1675</v>
      </c>
      <c r="N489" s="496">
        <v>6800</v>
      </c>
      <c r="O489" s="496"/>
      <c r="P489" s="496">
        <v>4000</v>
      </c>
      <c r="Q489" s="496"/>
      <c r="R489" s="496"/>
      <c r="S489" s="496"/>
      <c r="T489" s="496"/>
      <c r="U489" s="496"/>
      <c r="V489" s="496"/>
      <c r="W489" s="496"/>
      <c r="X489" s="496"/>
      <c r="Y489" s="496"/>
      <c r="Z489" s="496"/>
      <c r="AA489" s="496"/>
      <c r="AB489" s="496"/>
      <c r="AC489" s="496"/>
      <c r="AD489" s="497">
        <f t="shared" si="383"/>
        <v>2400</v>
      </c>
      <c r="AE489" s="497">
        <f t="shared" si="382"/>
        <v>2400</v>
      </c>
      <c r="AF489" s="245">
        <v>1200</v>
      </c>
      <c r="AG489" s="245">
        <f t="shared" si="369"/>
        <v>50</v>
      </c>
      <c r="AH489" s="245"/>
      <c r="AI489" s="245">
        <f t="shared" si="379"/>
        <v>1200</v>
      </c>
      <c r="AJ489" s="245">
        <f t="shared" si="380"/>
        <v>1200</v>
      </c>
      <c r="AK489" s="245">
        <f t="shared" si="381"/>
        <v>1200</v>
      </c>
      <c r="AL489" s="245">
        <f t="shared" si="373"/>
        <v>2400</v>
      </c>
      <c r="AM489" s="245">
        <f t="shared" si="374"/>
        <v>1200</v>
      </c>
      <c r="AN489" s="631" t="s">
        <v>1676</v>
      </c>
      <c r="AQ489" s="215" t="s">
        <v>1555</v>
      </c>
      <c r="AR489" s="215" t="s">
        <v>1450</v>
      </c>
      <c r="AS489" s="216"/>
      <c r="AT489" s="207" t="s">
        <v>307</v>
      </c>
      <c r="AU489" s="337" t="s">
        <v>1307</v>
      </c>
      <c r="AV489" s="1053" t="s">
        <v>1633</v>
      </c>
      <c r="AW489" s="787" t="s">
        <v>1677</v>
      </c>
      <c r="AY489" s="226"/>
      <c r="AZ489" s="226"/>
      <c r="BA489" s="285"/>
    </row>
    <row r="490" spans="1:53" ht="51">
      <c r="A490" s="629">
        <v>15</v>
      </c>
      <c r="B490" s="238" t="s">
        <v>2426</v>
      </c>
      <c r="C490" s="238"/>
      <c r="D490" s="238"/>
      <c r="E490" s="238"/>
      <c r="F490" s="238"/>
      <c r="G490" s="1060" t="s">
        <v>401</v>
      </c>
      <c r="H490" s="1115">
        <v>2019</v>
      </c>
      <c r="I490" s="1115"/>
      <c r="J490" s="1115">
        <v>2021</v>
      </c>
      <c r="K490" s="1115"/>
      <c r="L490" s="1115"/>
      <c r="M490" s="1061" t="s">
        <v>2427</v>
      </c>
      <c r="N490" s="1116">
        <v>15000</v>
      </c>
      <c r="O490" s="1116"/>
      <c r="P490" s="1116">
        <v>6000</v>
      </c>
      <c r="Q490" s="1116"/>
      <c r="R490" s="1116"/>
      <c r="S490" s="1116"/>
      <c r="T490" s="1116"/>
      <c r="U490" s="1116"/>
      <c r="V490" s="1116"/>
      <c r="W490" s="1116"/>
      <c r="X490" s="1116"/>
      <c r="Y490" s="1116"/>
      <c r="Z490" s="1116"/>
      <c r="AA490" s="1116"/>
      <c r="AB490" s="1116"/>
      <c r="AC490" s="1116"/>
      <c r="AD490" s="497">
        <f t="shared" si="383"/>
        <v>3600</v>
      </c>
      <c r="AE490" s="497">
        <f t="shared" si="382"/>
        <v>3600</v>
      </c>
      <c r="AF490" s="245">
        <v>1800</v>
      </c>
      <c r="AG490" s="245">
        <f t="shared" si="369"/>
        <v>50</v>
      </c>
      <c r="AH490" s="245"/>
      <c r="AI490" s="245">
        <f t="shared" si="379"/>
        <v>1800</v>
      </c>
      <c r="AJ490" s="245">
        <f t="shared" si="380"/>
        <v>1800</v>
      </c>
      <c r="AK490" s="245">
        <f t="shared" si="381"/>
        <v>1800</v>
      </c>
      <c r="AL490" s="245">
        <f t="shared" si="373"/>
        <v>3600</v>
      </c>
      <c r="AM490" s="245">
        <f t="shared" si="374"/>
        <v>1800</v>
      </c>
      <c r="AN490" s="1060" t="s">
        <v>1575</v>
      </c>
      <c r="AQ490" s="215" t="s">
        <v>1678</v>
      </c>
      <c r="AR490" s="215" t="s">
        <v>1450</v>
      </c>
      <c r="AS490" s="216"/>
      <c r="AT490" s="207" t="s">
        <v>307</v>
      </c>
      <c r="AU490" s="1117" t="s">
        <v>1679</v>
      </c>
      <c r="AV490" s="1053" t="s">
        <v>1680</v>
      </c>
      <c r="AW490" s="390" t="s">
        <v>1681</v>
      </c>
      <c r="AY490" s="226"/>
      <c r="AZ490" s="226"/>
      <c r="BA490" s="285"/>
    </row>
    <row r="491" spans="1:53" ht="51">
      <c r="A491" s="237">
        <v>16</v>
      </c>
      <c r="B491" s="238" t="s">
        <v>1682</v>
      </c>
      <c r="C491" s="238"/>
      <c r="D491" s="238"/>
      <c r="E491" s="238"/>
      <c r="F491" s="238"/>
      <c r="G491" s="1118" t="s">
        <v>373</v>
      </c>
      <c r="H491" s="1106">
        <v>2019</v>
      </c>
      <c r="I491" s="1106"/>
      <c r="J491" s="1106">
        <v>2021</v>
      </c>
      <c r="K491" s="1106"/>
      <c r="L491" s="1106"/>
      <c r="M491" s="1061" t="s">
        <v>1683</v>
      </c>
      <c r="N491" s="1111">
        <v>10000</v>
      </c>
      <c r="O491" s="1111"/>
      <c r="P491" s="1116">
        <f>N491*0.6</f>
        <v>6000</v>
      </c>
      <c r="Q491" s="1116"/>
      <c r="R491" s="1116"/>
      <c r="S491" s="1116"/>
      <c r="T491" s="1116"/>
      <c r="U491" s="1116"/>
      <c r="V491" s="1116"/>
      <c r="W491" s="1116"/>
      <c r="X491" s="1116"/>
      <c r="Y491" s="1116"/>
      <c r="Z491" s="1116"/>
      <c r="AA491" s="1116"/>
      <c r="AB491" s="1116"/>
      <c r="AC491" s="1116"/>
      <c r="AD491" s="497">
        <f t="shared" si="383"/>
        <v>3600</v>
      </c>
      <c r="AE491" s="497">
        <f t="shared" si="382"/>
        <v>3600</v>
      </c>
      <c r="AF491" s="245">
        <v>1800</v>
      </c>
      <c r="AG491" s="245">
        <f t="shared" si="369"/>
        <v>50</v>
      </c>
      <c r="AH491" s="245"/>
      <c r="AI491" s="245">
        <f t="shared" si="379"/>
        <v>1800</v>
      </c>
      <c r="AJ491" s="245">
        <f t="shared" si="380"/>
        <v>1800</v>
      </c>
      <c r="AK491" s="245">
        <f t="shared" si="381"/>
        <v>1800</v>
      </c>
      <c r="AL491" s="245">
        <f t="shared" si="373"/>
        <v>3600</v>
      </c>
      <c r="AM491" s="245">
        <f t="shared" si="374"/>
        <v>1800</v>
      </c>
      <c r="AN491" s="1060" t="s">
        <v>1684</v>
      </c>
      <c r="AQ491" s="215" t="s">
        <v>1576</v>
      </c>
      <c r="AR491" s="215" t="s">
        <v>1450</v>
      </c>
      <c r="AS491" s="216"/>
      <c r="AT491" s="207" t="s">
        <v>307</v>
      </c>
      <c r="AU491" s="582" t="s">
        <v>1537</v>
      </c>
      <c r="AV491" s="1053" t="s">
        <v>1680</v>
      </c>
      <c r="AW491" s="292" t="s">
        <v>1685</v>
      </c>
      <c r="AY491" s="226"/>
      <c r="AZ491" s="226"/>
      <c r="BA491" s="285"/>
    </row>
    <row r="492" spans="1:53" ht="51">
      <c r="A492" s="629">
        <v>17</v>
      </c>
      <c r="B492" s="336" t="s">
        <v>1686</v>
      </c>
      <c r="C492" s="336"/>
      <c r="D492" s="336"/>
      <c r="E492" s="336"/>
      <c r="F492" s="336"/>
      <c r="G492" s="403" t="s">
        <v>382</v>
      </c>
      <c r="H492" s="1119">
        <v>2019</v>
      </c>
      <c r="I492" s="1119"/>
      <c r="J492" s="1119">
        <v>2021</v>
      </c>
      <c r="K492" s="1119"/>
      <c r="L492" s="1119"/>
      <c r="M492" s="1061" t="s">
        <v>1687</v>
      </c>
      <c r="N492" s="1061">
        <v>5500</v>
      </c>
      <c r="O492" s="1061"/>
      <c r="P492" s="1061">
        <v>3000</v>
      </c>
      <c r="Q492" s="497"/>
      <c r="R492" s="497"/>
      <c r="S492" s="497"/>
      <c r="T492" s="497"/>
      <c r="U492" s="497"/>
      <c r="V492" s="497"/>
      <c r="W492" s="497"/>
      <c r="X492" s="497"/>
      <c r="Y492" s="497"/>
      <c r="Z492" s="497"/>
      <c r="AA492" s="497"/>
      <c r="AB492" s="497"/>
      <c r="AC492" s="497"/>
      <c r="AD492" s="497">
        <f t="shared" si="383"/>
        <v>1800</v>
      </c>
      <c r="AE492" s="497">
        <f>AD492</f>
        <v>1800</v>
      </c>
      <c r="AF492" s="245">
        <v>900</v>
      </c>
      <c r="AG492" s="245">
        <f t="shared" si="369"/>
        <v>50</v>
      </c>
      <c r="AH492" s="245"/>
      <c r="AI492" s="245">
        <f t="shared" si="379"/>
        <v>900</v>
      </c>
      <c r="AJ492" s="245">
        <f t="shared" si="380"/>
        <v>900</v>
      </c>
      <c r="AK492" s="245">
        <f t="shared" si="381"/>
        <v>900</v>
      </c>
      <c r="AL492" s="245">
        <f t="shared" si="373"/>
        <v>1800</v>
      </c>
      <c r="AM492" s="245">
        <f t="shared" si="374"/>
        <v>900</v>
      </c>
      <c r="AN492" s="398" t="s">
        <v>1639</v>
      </c>
      <c r="AQ492" s="215" t="s">
        <v>975</v>
      </c>
      <c r="AR492" s="215" t="s">
        <v>1169</v>
      </c>
      <c r="AS492" s="216"/>
      <c r="AT492" s="207" t="s">
        <v>307</v>
      </c>
      <c r="AU492" s="641" t="s">
        <v>976</v>
      </c>
      <c r="AV492" s="1053" t="s">
        <v>1680</v>
      </c>
      <c r="AW492" s="787" t="s">
        <v>1688</v>
      </c>
      <c r="AY492" s="226"/>
      <c r="AZ492" s="226"/>
      <c r="BA492" s="285"/>
    </row>
    <row r="493" spans="1:53" ht="51">
      <c r="A493" s="237">
        <v>18</v>
      </c>
      <c r="B493" s="1120" t="s">
        <v>1689</v>
      </c>
      <c r="C493" s="336"/>
      <c r="D493" s="336"/>
      <c r="E493" s="336"/>
      <c r="F493" s="336"/>
      <c r="G493" s="403" t="s">
        <v>382</v>
      </c>
      <c r="H493" s="288">
        <v>2019</v>
      </c>
      <c r="I493" s="288"/>
      <c r="J493" s="288">
        <v>2021</v>
      </c>
      <c r="K493" s="288"/>
      <c r="L493" s="288"/>
      <c r="M493" s="1061" t="s">
        <v>1690</v>
      </c>
      <c r="N493" s="289">
        <v>8000</v>
      </c>
      <c r="O493" s="289"/>
      <c r="P493" s="497">
        <f t="shared" ref="P493" si="384">N493*0.6</f>
        <v>4800</v>
      </c>
      <c r="Q493" s="497"/>
      <c r="R493" s="497"/>
      <c r="S493" s="497"/>
      <c r="T493" s="497"/>
      <c r="U493" s="497"/>
      <c r="V493" s="497"/>
      <c r="W493" s="497"/>
      <c r="X493" s="497"/>
      <c r="Y493" s="497"/>
      <c r="Z493" s="497"/>
      <c r="AA493" s="497"/>
      <c r="AB493" s="497"/>
      <c r="AC493" s="497"/>
      <c r="AD493" s="497">
        <f t="shared" si="383"/>
        <v>2880</v>
      </c>
      <c r="AE493" s="497">
        <f t="shared" ref="AE493:AE496" si="385">AD493</f>
        <v>2880</v>
      </c>
      <c r="AF493" s="245">
        <v>1440</v>
      </c>
      <c r="AG493" s="245">
        <f t="shared" si="369"/>
        <v>50</v>
      </c>
      <c r="AH493" s="245"/>
      <c r="AI493" s="245">
        <f t="shared" si="379"/>
        <v>1440</v>
      </c>
      <c r="AJ493" s="245">
        <f t="shared" si="380"/>
        <v>1440</v>
      </c>
      <c r="AK493" s="245">
        <f t="shared" si="381"/>
        <v>1440</v>
      </c>
      <c r="AL493" s="245">
        <f t="shared" si="373"/>
        <v>2880</v>
      </c>
      <c r="AM493" s="245">
        <f t="shared" si="374"/>
        <v>1440</v>
      </c>
      <c r="AN493" s="398" t="s">
        <v>1639</v>
      </c>
      <c r="AQ493" s="215" t="s">
        <v>788</v>
      </c>
      <c r="AR493" s="215" t="s">
        <v>1450</v>
      </c>
      <c r="AS493" s="216"/>
      <c r="AU493" s="607" t="s">
        <v>1691</v>
      </c>
      <c r="AV493" s="1053" t="s">
        <v>1633</v>
      </c>
      <c r="AW493" s="787" t="s">
        <v>1692</v>
      </c>
      <c r="AY493" s="226"/>
      <c r="AZ493" s="226"/>
      <c r="BA493" s="285"/>
    </row>
    <row r="494" spans="1:53" ht="51">
      <c r="A494" s="629">
        <v>19</v>
      </c>
      <c r="B494" s="238" t="s">
        <v>1693</v>
      </c>
      <c r="C494" s="238"/>
      <c r="D494" s="238"/>
      <c r="E494" s="238"/>
      <c r="F494" s="238"/>
      <c r="G494" s="1060" t="s">
        <v>341</v>
      </c>
      <c r="H494" s="1115">
        <v>2019</v>
      </c>
      <c r="I494" s="1115"/>
      <c r="J494" s="1115">
        <v>2021</v>
      </c>
      <c r="K494" s="1115"/>
      <c r="L494" s="1115"/>
      <c r="M494" s="1061" t="s">
        <v>1694</v>
      </c>
      <c r="N494" s="1116">
        <v>12000</v>
      </c>
      <c r="O494" s="1116"/>
      <c r="P494" s="1116">
        <f>N494*0.6</f>
        <v>7200</v>
      </c>
      <c r="Q494" s="1116"/>
      <c r="R494" s="1116"/>
      <c r="S494" s="1116"/>
      <c r="T494" s="1116"/>
      <c r="U494" s="1116"/>
      <c r="V494" s="1116"/>
      <c r="W494" s="1116"/>
      <c r="X494" s="1116"/>
      <c r="Y494" s="1116"/>
      <c r="Z494" s="1116"/>
      <c r="AA494" s="1116"/>
      <c r="AB494" s="1116"/>
      <c r="AC494" s="1116"/>
      <c r="AD494" s="497">
        <f t="shared" si="383"/>
        <v>4320</v>
      </c>
      <c r="AE494" s="497">
        <f t="shared" si="385"/>
        <v>4320</v>
      </c>
      <c r="AF494" s="245">
        <v>2160</v>
      </c>
      <c r="AG494" s="245">
        <f t="shared" si="369"/>
        <v>50</v>
      </c>
      <c r="AH494" s="245"/>
      <c r="AI494" s="245">
        <f t="shared" si="379"/>
        <v>2160</v>
      </c>
      <c r="AJ494" s="245">
        <f t="shared" si="380"/>
        <v>2160</v>
      </c>
      <c r="AK494" s="245">
        <f t="shared" si="381"/>
        <v>2160</v>
      </c>
      <c r="AL494" s="245">
        <f t="shared" si="373"/>
        <v>4320</v>
      </c>
      <c r="AM494" s="245">
        <f t="shared" si="374"/>
        <v>2160</v>
      </c>
      <c r="AN494" s="1060" t="s">
        <v>1575</v>
      </c>
      <c r="AQ494" s="215" t="s">
        <v>918</v>
      </c>
      <c r="AR494" s="215" t="s">
        <v>1450</v>
      </c>
      <c r="AS494" s="216"/>
      <c r="AT494" s="207" t="s">
        <v>307</v>
      </c>
      <c r="AU494" s="582" t="s">
        <v>631</v>
      </c>
      <c r="AV494" s="1053" t="s">
        <v>1047</v>
      </c>
      <c r="AW494" s="390" t="s">
        <v>1695</v>
      </c>
      <c r="AY494" s="226"/>
      <c r="AZ494" s="226"/>
      <c r="BA494" s="285"/>
    </row>
    <row r="495" spans="1:53" ht="51">
      <c r="A495" s="237">
        <v>20</v>
      </c>
      <c r="B495" s="238" t="s">
        <v>1696</v>
      </c>
      <c r="C495" s="238"/>
      <c r="D495" s="238"/>
      <c r="E495" s="238"/>
      <c r="F495" s="238"/>
      <c r="G495" s="1060" t="s">
        <v>341</v>
      </c>
      <c r="H495" s="1115">
        <v>2019</v>
      </c>
      <c r="I495" s="1115"/>
      <c r="J495" s="1115">
        <v>2021</v>
      </c>
      <c r="K495" s="1115"/>
      <c r="L495" s="1115"/>
      <c r="M495" s="1121" t="s">
        <v>1697</v>
      </c>
      <c r="N495" s="1116">
        <v>13500</v>
      </c>
      <c r="O495" s="1116"/>
      <c r="P495" s="1116">
        <f>N495*0.6</f>
        <v>8100</v>
      </c>
      <c r="Q495" s="1116"/>
      <c r="R495" s="1116"/>
      <c r="S495" s="1116"/>
      <c r="T495" s="1116"/>
      <c r="U495" s="1116"/>
      <c r="V495" s="1116"/>
      <c r="W495" s="1116"/>
      <c r="X495" s="1116"/>
      <c r="Y495" s="1116"/>
      <c r="Z495" s="1116"/>
      <c r="AA495" s="1116"/>
      <c r="AB495" s="1116"/>
      <c r="AC495" s="1116"/>
      <c r="AD495" s="497">
        <f t="shared" si="383"/>
        <v>4860</v>
      </c>
      <c r="AE495" s="497">
        <f t="shared" si="385"/>
        <v>4860</v>
      </c>
      <c r="AF495" s="245">
        <v>2430</v>
      </c>
      <c r="AG495" s="245">
        <f t="shared" si="369"/>
        <v>50</v>
      </c>
      <c r="AH495" s="245"/>
      <c r="AI495" s="245">
        <f t="shared" si="379"/>
        <v>2430</v>
      </c>
      <c r="AJ495" s="245">
        <f t="shared" si="380"/>
        <v>2430</v>
      </c>
      <c r="AK495" s="245">
        <f t="shared" si="381"/>
        <v>2430</v>
      </c>
      <c r="AL495" s="245">
        <f t="shared" si="373"/>
        <v>4860</v>
      </c>
      <c r="AM495" s="245">
        <f t="shared" si="374"/>
        <v>2430</v>
      </c>
      <c r="AN495" s="1060" t="s">
        <v>1575</v>
      </c>
      <c r="AQ495" s="215" t="s">
        <v>1526</v>
      </c>
      <c r="AR495" s="215" t="s">
        <v>1450</v>
      </c>
      <c r="AS495" s="216"/>
      <c r="AT495" s="207" t="s">
        <v>307</v>
      </c>
      <c r="AU495" s="582" t="s">
        <v>631</v>
      </c>
      <c r="AV495" s="1053" t="s">
        <v>1680</v>
      </c>
      <c r="AW495" s="390" t="s">
        <v>1698</v>
      </c>
      <c r="AY495" s="226"/>
      <c r="AZ495" s="226"/>
      <c r="BA495" s="285"/>
    </row>
    <row r="496" spans="1:53" ht="51">
      <c r="A496" s="629">
        <v>21</v>
      </c>
      <c r="B496" s="630" t="s">
        <v>1699</v>
      </c>
      <c r="C496" s="630"/>
      <c r="D496" s="630"/>
      <c r="E496" s="630"/>
      <c r="F496" s="630"/>
      <c r="G496" s="403" t="s">
        <v>395</v>
      </c>
      <c r="H496" s="288">
        <v>2018</v>
      </c>
      <c r="I496" s="288"/>
      <c r="J496" s="288">
        <v>2020</v>
      </c>
      <c r="K496" s="288"/>
      <c r="L496" s="288"/>
      <c r="M496" s="781" t="s">
        <v>1700</v>
      </c>
      <c r="N496" s="496">
        <v>4700</v>
      </c>
      <c r="O496" s="496"/>
      <c r="P496" s="496">
        <v>2820</v>
      </c>
      <c r="Q496" s="496"/>
      <c r="R496" s="496"/>
      <c r="S496" s="496"/>
      <c r="T496" s="496"/>
      <c r="U496" s="496"/>
      <c r="V496" s="496"/>
      <c r="W496" s="496"/>
      <c r="X496" s="496"/>
      <c r="Y496" s="496"/>
      <c r="Z496" s="496"/>
      <c r="AA496" s="496"/>
      <c r="AB496" s="496"/>
      <c r="AC496" s="496"/>
      <c r="AD496" s="254">
        <f>P496</f>
        <v>2820</v>
      </c>
      <c r="AE496" s="497">
        <f t="shared" si="385"/>
        <v>2820</v>
      </c>
      <c r="AF496" s="245">
        <v>1410</v>
      </c>
      <c r="AG496" s="245">
        <f t="shared" si="369"/>
        <v>50</v>
      </c>
      <c r="AH496" s="245"/>
      <c r="AI496" s="245">
        <f t="shared" si="379"/>
        <v>1410</v>
      </c>
      <c r="AJ496" s="245">
        <f t="shared" si="380"/>
        <v>1410</v>
      </c>
      <c r="AK496" s="245">
        <f t="shared" si="381"/>
        <v>1410</v>
      </c>
      <c r="AL496" s="245">
        <f t="shared" si="373"/>
        <v>2820</v>
      </c>
      <c r="AM496" s="245">
        <f t="shared" si="374"/>
        <v>1410</v>
      </c>
      <c r="AN496" s="1060" t="s">
        <v>1701</v>
      </c>
      <c r="AQ496" s="215" t="s">
        <v>660</v>
      </c>
      <c r="AR496" s="215" t="s">
        <v>1169</v>
      </c>
      <c r="AS496" s="216"/>
      <c r="AU496" s="607" t="s">
        <v>1702</v>
      </c>
      <c r="AV496" s="1053" t="s">
        <v>1680</v>
      </c>
      <c r="AW496" s="787" t="s">
        <v>1703</v>
      </c>
      <c r="AY496" s="226"/>
      <c r="AZ496" s="226"/>
      <c r="BA496" s="285"/>
    </row>
    <row r="497" spans="1:53" ht="51">
      <c r="A497" s="237">
        <v>22</v>
      </c>
      <c r="B497" s="1105" t="s">
        <v>1704</v>
      </c>
      <c r="C497" s="1105"/>
      <c r="D497" s="1105"/>
      <c r="E497" s="1105"/>
      <c r="F497" s="1105"/>
      <c r="G497" s="1060" t="s">
        <v>341</v>
      </c>
      <c r="H497" s="1106">
        <v>2019</v>
      </c>
      <c r="I497" s="1106"/>
      <c r="J497" s="1106">
        <v>2020</v>
      </c>
      <c r="K497" s="1106"/>
      <c r="L497" s="1106"/>
      <c r="M497" s="946" t="s">
        <v>1705</v>
      </c>
      <c r="N497" s="1107">
        <v>6000</v>
      </c>
      <c r="O497" s="1107"/>
      <c r="P497" s="1107">
        <v>3600</v>
      </c>
      <c r="Q497" s="1107"/>
      <c r="R497" s="1107"/>
      <c r="S497" s="1107"/>
      <c r="T497" s="1107"/>
      <c r="U497" s="1107"/>
      <c r="V497" s="1107"/>
      <c r="W497" s="1107"/>
      <c r="X497" s="1107"/>
      <c r="Y497" s="1107"/>
      <c r="Z497" s="1107"/>
      <c r="AA497" s="1107"/>
      <c r="AB497" s="1107"/>
      <c r="AC497" s="1107"/>
      <c r="AD497" s="254">
        <f>P497*1</f>
        <v>3600</v>
      </c>
      <c r="AE497" s="254">
        <f>AD497</f>
        <v>3600</v>
      </c>
      <c r="AF497" s="245">
        <v>1800</v>
      </c>
      <c r="AG497" s="245">
        <f t="shared" si="369"/>
        <v>50</v>
      </c>
      <c r="AH497" s="245"/>
      <c r="AI497" s="245">
        <f t="shared" si="379"/>
        <v>1800</v>
      </c>
      <c r="AJ497" s="245">
        <f t="shared" si="380"/>
        <v>1800</v>
      </c>
      <c r="AK497" s="245">
        <f t="shared" si="381"/>
        <v>1800</v>
      </c>
      <c r="AL497" s="245">
        <f t="shared" si="373"/>
        <v>3600</v>
      </c>
      <c r="AM497" s="245">
        <f t="shared" si="374"/>
        <v>1800</v>
      </c>
      <c r="AN497" s="576" t="s">
        <v>1706</v>
      </c>
      <c r="AO497" s="207" t="s">
        <v>1707</v>
      </c>
      <c r="AQ497" s="215" t="s">
        <v>1034</v>
      </c>
      <c r="AR497" s="215" t="s">
        <v>1450</v>
      </c>
      <c r="AS497" s="216" t="s">
        <v>496</v>
      </c>
      <c r="AT497" s="207" t="s">
        <v>307</v>
      </c>
      <c r="AU497" s="582" t="s">
        <v>1708</v>
      </c>
      <c r="AV497" s="1053" t="s">
        <v>1578</v>
      </c>
      <c r="AW497" s="787" t="s">
        <v>1528</v>
      </c>
      <c r="AY497" s="226"/>
      <c r="AZ497" s="226"/>
      <c r="BA497" s="285"/>
    </row>
    <row r="498" spans="1:53" ht="51">
      <c r="A498" s="629">
        <v>23</v>
      </c>
      <c r="B498" s="1122" t="s">
        <v>1709</v>
      </c>
      <c r="C498" s="1122"/>
      <c r="D498" s="1122"/>
      <c r="E498" s="1122"/>
      <c r="F498" s="1122"/>
      <c r="G498" s="1060" t="s">
        <v>373</v>
      </c>
      <c r="H498" s="1106">
        <v>2019</v>
      </c>
      <c r="I498" s="1106"/>
      <c r="J498" s="1106">
        <v>2021</v>
      </c>
      <c r="K498" s="1106"/>
      <c r="L498" s="1106"/>
      <c r="M498" s="946" t="s">
        <v>1710</v>
      </c>
      <c r="N498" s="1111">
        <v>14981</v>
      </c>
      <c r="O498" s="1111"/>
      <c r="P498" s="1111">
        <v>14981</v>
      </c>
      <c r="Q498" s="1111"/>
      <c r="R498" s="1111"/>
      <c r="S498" s="1111"/>
      <c r="T498" s="1111"/>
      <c r="U498" s="1111"/>
      <c r="V498" s="1111"/>
      <c r="W498" s="1111"/>
      <c r="X498" s="1111"/>
      <c r="Y498" s="1111"/>
      <c r="Z498" s="1111"/>
      <c r="AA498" s="1111"/>
      <c r="AB498" s="1111"/>
      <c r="AC498" s="1111"/>
      <c r="AD498" s="497">
        <f t="shared" ref="AD498:AD508" si="386">P498*0.6</f>
        <v>8988.6</v>
      </c>
      <c r="AE498" s="254">
        <f>AD498</f>
        <v>8988.6</v>
      </c>
      <c r="AF498" s="245">
        <v>4500</v>
      </c>
      <c r="AG498" s="245">
        <f t="shared" si="369"/>
        <v>50.063413657299236</v>
      </c>
      <c r="AH498" s="245"/>
      <c r="AI498" s="245">
        <f t="shared" si="379"/>
        <v>4500</v>
      </c>
      <c r="AJ498" s="245">
        <f t="shared" si="380"/>
        <v>4500</v>
      </c>
      <c r="AK498" s="245">
        <f t="shared" si="381"/>
        <v>4500</v>
      </c>
      <c r="AL498" s="245">
        <f t="shared" si="373"/>
        <v>8988.6</v>
      </c>
      <c r="AM498" s="245">
        <f t="shared" si="374"/>
        <v>4488.6000000000004</v>
      </c>
      <c r="AN498" s="1109" t="s">
        <v>1600</v>
      </c>
      <c r="AQ498" s="215" t="s">
        <v>1601</v>
      </c>
      <c r="AR498" s="215" t="s">
        <v>1450</v>
      </c>
      <c r="AS498" s="216"/>
      <c r="AT498" s="207" t="s">
        <v>307</v>
      </c>
      <c r="AU498" s="582" t="s">
        <v>1537</v>
      </c>
      <c r="AV498" s="1053" t="s">
        <v>1633</v>
      </c>
      <c r="AW498" s="787" t="s">
        <v>1711</v>
      </c>
      <c r="AY498" s="226"/>
      <c r="AZ498" s="226"/>
      <c r="BA498" s="285"/>
    </row>
    <row r="499" spans="1:53" ht="51">
      <c r="A499" s="237">
        <v>24</v>
      </c>
      <c r="B499" s="238" t="s">
        <v>1712</v>
      </c>
      <c r="C499" s="238"/>
      <c r="D499" s="238"/>
      <c r="E499" s="238"/>
      <c r="F499" s="238"/>
      <c r="G499" s="1060" t="s">
        <v>401</v>
      </c>
      <c r="H499" s="1115">
        <v>2019</v>
      </c>
      <c r="I499" s="1115"/>
      <c r="J499" s="1115">
        <v>2021</v>
      </c>
      <c r="K499" s="1115"/>
      <c r="L499" s="1115"/>
      <c r="M499" s="1061" t="s">
        <v>1713</v>
      </c>
      <c r="N499" s="1111">
        <v>7000</v>
      </c>
      <c r="O499" s="1111"/>
      <c r="P499" s="1116">
        <f>N499*0.6</f>
        <v>4200</v>
      </c>
      <c r="Q499" s="1116"/>
      <c r="R499" s="1116"/>
      <c r="S499" s="1116"/>
      <c r="T499" s="1116"/>
      <c r="U499" s="1116"/>
      <c r="V499" s="1116"/>
      <c r="W499" s="1116"/>
      <c r="X499" s="1116"/>
      <c r="Y499" s="1116"/>
      <c r="Z499" s="1116"/>
      <c r="AA499" s="1116"/>
      <c r="AB499" s="1116"/>
      <c r="AC499" s="1116"/>
      <c r="AD499" s="497">
        <f t="shared" si="386"/>
        <v>2520</v>
      </c>
      <c r="AE499" s="254">
        <f t="shared" ref="AE499:AE521" si="387">AD499</f>
        <v>2520</v>
      </c>
      <c r="AF499" s="245">
        <v>1260</v>
      </c>
      <c r="AG499" s="245">
        <f t="shared" si="369"/>
        <v>50</v>
      </c>
      <c r="AH499" s="245"/>
      <c r="AI499" s="245">
        <f t="shared" si="379"/>
        <v>1260</v>
      </c>
      <c r="AJ499" s="245">
        <f t="shared" si="380"/>
        <v>1260</v>
      </c>
      <c r="AK499" s="245">
        <f t="shared" si="381"/>
        <v>1260</v>
      </c>
      <c r="AL499" s="245">
        <f t="shared" si="373"/>
        <v>2520</v>
      </c>
      <c r="AM499" s="245">
        <f t="shared" si="374"/>
        <v>1260</v>
      </c>
      <c r="AN499" s="1060" t="s">
        <v>1575</v>
      </c>
      <c r="AQ499" s="215" t="s">
        <v>1714</v>
      </c>
      <c r="AR499" s="215" t="s">
        <v>1450</v>
      </c>
      <c r="AS499" s="216"/>
      <c r="AT499" s="207" t="s">
        <v>307</v>
      </c>
      <c r="AU499" s="1117" t="s">
        <v>1715</v>
      </c>
      <c r="AV499" s="1053" t="s">
        <v>1633</v>
      </c>
      <c r="AW499" s="390" t="s">
        <v>1716</v>
      </c>
      <c r="AY499" s="226"/>
      <c r="AZ499" s="226"/>
      <c r="BA499" s="285"/>
    </row>
    <row r="500" spans="1:53" ht="51">
      <c r="A500" s="629">
        <v>25</v>
      </c>
      <c r="B500" s="336" t="s">
        <v>1717</v>
      </c>
      <c r="C500" s="336"/>
      <c r="D500" s="336"/>
      <c r="E500" s="336"/>
      <c r="F500" s="336"/>
      <c r="G500" s="403" t="s">
        <v>382</v>
      </c>
      <c r="H500" s="1119">
        <v>2019</v>
      </c>
      <c r="I500" s="1119"/>
      <c r="J500" s="1119">
        <v>2021</v>
      </c>
      <c r="K500" s="1119"/>
      <c r="L500" s="1119"/>
      <c r="M500" s="1061" t="s">
        <v>1718</v>
      </c>
      <c r="N500" s="289">
        <v>27000</v>
      </c>
      <c r="O500" s="289"/>
      <c r="P500" s="497">
        <f>N500*0.6</f>
        <v>16200</v>
      </c>
      <c r="Q500" s="497"/>
      <c r="R500" s="497"/>
      <c r="S500" s="497"/>
      <c r="T500" s="497"/>
      <c r="U500" s="497"/>
      <c r="V500" s="497"/>
      <c r="W500" s="497"/>
      <c r="X500" s="497"/>
      <c r="Y500" s="497"/>
      <c r="Z500" s="497"/>
      <c r="AA500" s="497"/>
      <c r="AB500" s="497"/>
      <c r="AC500" s="497"/>
      <c r="AD500" s="497">
        <f t="shared" si="386"/>
        <v>9720</v>
      </c>
      <c r="AE500" s="254">
        <f t="shared" si="387"/>
        <v>9720</v>
      </c>
      <c r="AF500" s="245">
        <v>4860</v>
      </c>
      <c r="AG500" s="245">
        <f t="shared" si="369"/>
        <v>50</v>
      </c>
      <c r="AH500" s="1062"/>
      <c r="AI500" s="245">
        <f t="shared" si="379"/>
        <v>4860</v>
      </c>
      <c r="AJ500" s="245">
        <f t="shared" si="380"/>
        <v>4860</v>
      </c>
      <c r="AK500" s="245">
        <f t="shared" si="381"/>
        <v>4860</v>
      </c>
      <c r="AL500" s="245">
        <f t="shared" si="373"/>
        <v>9720</v>
      </c>
      <c r="AM500" s="245">
        <f t="shared" si="374"/>
        <v>4860</v>
      </c>
      <c r="AN500" s="654" t="s">
        <v>1719</v>
      </c>
      <c r="AO500" s="654" t="s">
        <v>1719</v>
      </c>
      <c r="AQ500" s="336" t="s">
        <v>885</v>
      </c>
      <c r="AR500" s="215" t="s">
        <v>1450</v>
      </c>
      <c r="AS500" s="216"/>
      <c r="AT500" s="207" t="s">
        <v>307</v>
      </c>
      <c r="AU500" s="641" t="s">
        <v>1451</v>
      </c>
      <c r="AV500" s="494" t="s">
        <v>1680</v>
      </c>
      <c r="AW500" s="787" t="s">
        <v>1720</v>
      </c>
      <c r="AY500" s="226"/>
      <c r="AZ500" s="226"/>
      <c r="BA500" s="285"/>
    </row>
    <row r="501" spans="1:53" ht="51">
      <c r="A501" s="237">
        <v>26</v>
      </c>
      <c r="B501" s="238" t="s">
        <v>1721</v>
      </c>
      <c r="C501" s="238"/>
      <c r="D501" s="238"/>
      <c r="E501" s="238"/>
      <c r="F501" s="238"/>
      <c r="G501" s="1060" t="s">
        <v>1292</v>
      </c>
      <c r="H501" s="1106">
        <v>2019</v>
      </c>
      <c r="I501" s="1106"/>
      <c r="J501" s="1106">
        <v>2021</v>
      </c>
      <c r="K501" s="1106"/>
      <c r="L501" s="1106"/>
      <c r="M501" s="1061" t="s">
        <v>1852</v>
      </c>
      <c r="N501" s="1111">
        <v>5000</v>
      </c>
      <c r="O501" s="1111"/>
      <c r="P501" s="1116">
        <f>N501*0.6</f>
        <v>3000</v>
      </c>
      <c r="Q501" s="1116"/>
      <c r="R501" s="1116"/>
      <c r="S501" s="1116"/>
      <c r="T501" s="1116"/>
      <c r="U501" s="1116"/>
      <c r="V501" s="1116"/>
      <c r="W501" s="1116"/>
      <c r="X501" s="1116"/>
      <c r="Y501" s="1116"/>
      <c r="Z501" s="1116"/>
      <c r="AA501" s="1116"/>
      <c r="AB501" s="1116"/>
      <c r="AC501" s="1116"/>
      <c r="AD501" s="497">
        <f t="shared" si="386"/>
        <v>1800</v>
      </c>
      <c r="AE501" s="254">
        <f t="shared" si="387"/>
        <v>1800</v>
      </c>
      <c r="AF501" s="245">
        <v>900</v>
      </c>
      <c r="AG501" s="245">
        <f t="shared" si="369"/>
        <v>50</v>
      </c>
      <c r="AH501" s="245"/>
      <c r="AI501" s="245">
        <f t="shared" si="379"/>
        <v>900</v>
      </c>
      <c r="AJ501" s="245">
        <f t="shared" si="380"/>
        <v>900</v>
      </c>
      <c r="AK501" s="245">
        <f t="shared" si="381"/>
        <v>900</v>
      </c>
      <c r="AL501" s="245">
        <f t="shared" si="373"/>
        <v>1800</v>
      </c>
      <c r="AM501" s="245">
        <f t="shared" si="374"/>
        <v>900</v>
      </c>
      <c r="AN501" s="1109" t="s">
        <v>1600</v>
      </c>
      <c r="AQ501" s="215" t="s">
        <v>1722</v>
      </c>
      <c r="AR501" s="215" t="s">
        <v>1194</v>
      </c>
      <c r="AS501" s="216"/>
      <c r="AT501" s="207" t="s">
        <v>307</v>
      </c>
      <c r="AU501" s="1123" t="s">
        <v>999</v>
      </c>
      <c r="AV501" s="1053" t="s">
        <v>1633</v>
      </c>
      <c r="AW501" s="292" t="s">
        <v>1723</v>
      </c>
      <c r="AY501" s="226"/>
      <c r="AZ501" s="226"/>
      <c r="BA501" s="285"/>
    </row>
    <row r="502" spans="1:53" ht="51">
      <c r="A502" s="629">
        <v>27</v>
      </c>
      <c r="B502" s="1105" t="s">
        <v>1724</v>
      </c>
      <c r="C502" s="1105"/>
      <c r="D502" s="1105"/>
      <c r="E502" s="1105"/>
      <c r="F502" s="1105"/>
      <c r="G502" s="1060" t="s">
        <v>341</v>
      </c>
      <c r="H502" s="1115">
        <v>2019</v>
      </c>
      <c r="I502" s="1115"/>
      <c r="J502" s="1115">
        <v>2021</v>
      </c>
      <c r="K502" s="1115"/>
      <c r="L502" s="1115"/>
      <c r="M502" s="1121" t="s">
        <v>1725</v>
      </c>
      <c r="N502" s="1108">
        <v>4500</v>
      </c>
      <c r="O502" s="1108"/>
      <c r="P502" s="1116">
        <v>4500</v>
      </c>
      <c r="Q502" s="1116"/>
      <c r="R502" s="1116"/>
      <c r="S502" s="1116"/>
      <c r="T502" s="1116"/>
      <c r="U502" s="1116"/>
      <c r="V502" s="1116"/>
      <c r="W502" s="1116"/>
      <c r="X502" s="1116"/>
      <c r="Y502" s="1116"/>
      <c r="Z502" s="1116"/>
      <c r="AA502" s="1116"/>
      <c r="AB502" s="1116"/>
      <c r="AC502" s="1116"/>
      <c r="AD502" s="497">
        <f t="shared" si="386"/>
        <v>2700</v>
      </c>
      <c r="AE502" s="254">
        <f t="shared" si="387"/>
        <v>2700</v>
      </c>
      <c r="AF502" s="245">
        <v>1350</v>
      </c>
      <c r="AG502" s="245">
        <f t="shared" si="369"/>
        <v>50</v>
      </c>
      <c r="AH502" s="245"/>
      <c r="AI502" s="245">
        <f t="shared" si="379"/>
        <v>1350</v>
      </c>
      <c r="AJ502" s="245">
        <f t="shared" si="380"/>
        <v>1350</v>
      </c>
      <c r="AK502" s="245">
        <f t="shared" si="381"/>
        <v>1350</v>
      </c>
      <c r="AL502" s="245">
        <f t="shared" si="373"/>
        <v>2700</v>
      </c>
      <c r="AM502" s="245">
        <f t="shared" si="374"/>
        <v>1350</v>
      </c>
      <c r="AN502" s="576" t="s">
        <v>1726</v>
      </c>
      <c r="AQ502" s="215" t="s">
        <v>626</v>
      </c>
      <c r="AR502" s="215" t="s">
        <v>1194</v>
      </c>
      <c r="AS502" s="216"/>
      <c r="AT502" s="207" t="s">
        <v>307</v>
      </c>
      <c r="AU502" s="582" t="s">
        <v>631</v>
      </c>
      <c r="AV502" s="1053" t="s">
        <v>1633</v>
      </c>
      <c r="AW502" s="390" t="s">
        <v>1727</v>
      </c>
      <c r="AY502" s="226"/>
      <c r="AZ502" s="226"/>
      <c r="BA502" s="285"/>
    </row>
    <row r="503" spans="1:53" ht="25.5">
      <c r="A503" s="237">
        <v>28</v>
      </c>
      <c r="B503" s="336" t="s">
        <v>1728</v>
      </c>
      <c r="C503" s="336"/>
      <c r="D503" s="336"/>
      <c r="E503" s="336"/>
      <c r="F503" s="336"/>
      <c r="G503" s="403" t="s">
        <v>333</v>
      </c>
      <c r="H503" s="288">
        <v>2019</v>
      </c>
      <c r="I503" s="288"/>
      <c r="J503" s="288">
        <v>2021</v>
      </c>
      <c r="K503" s="288"/>
      <c r="L503" s="288"/>
      <c r="M503" s="344"/>
      <c r="N503" s="289">
        <v>55000</v>
      </c>
      <c r="O503" s="289"/>
      <c r="P503" s="289">
        <v>25000</v>
      </c>
      <c r="Q503" s="289"/>
      <c r="R503" s="289"/>
      <c r="S503" s="289"/>
      <c r="T503" s="289"/>
      <c r="U503" s="289"/>
      <c r="V503" s="289"/>
      <c r="W503" s="289"/>
      <c r="X503" s="289"/>
      <c r="Y503" s="289"/>
      <c r="Z503" s="289"/>
      <c r="AA503" s="289"/>
      <c r="AB503" s="289"/>
      <c r="AC503" s="289"/>
      <c r="AD503" s="497">
        <f t="shared" si="386"/>
        <v>15000</v>
      </c>
      <c r="AE503" s="254">
        <f t="shared" si="387"/>
        <v>15000</v>
      </c>
      <c r="AF503" s="245"/>
      <c r="AG503" s="286"/>
      <c r="AH503" s="286"/>
      <c r="AI503" s="286"/>
      <c r="AJ503" s="286"/>
      <c r="AK503" s="286"/>
      <c r="AL503" s="245">
        <f t="shared" si="373"/>
        <v>15000</v>
      </c>
      <c r="AM503" s="245">
        <f t="shared" si="374"/>
        <v>15000</v>
      </c>
      <c r="AN503" s="494" t="s">
        <v>1729</v>
      </c>
      <c r="AQ503" s="215" t="s">
        <v>1503</v>
      </c>
      <c r="AR503" s="215" t="s">
        <v>1450</v>
      </c>
      <c r="AS503" s="216"/>
      <c r="AT503" s="207" t="s">
        <v>307</v>
      </c>
      <c r="AU503" s="337" t="s">
        <v>1730</v>
      </c>
      <c r="AV503" s="1053" t="s">
        <v>1633</v>
      </c>
      <c r="AW503" s="292"/>
      <c r="AY503" s="226"/>
      <c r="AZ503" s="226"/>
      <c r="BA503" s="285"/>
    </row>
    <row r="504" spans="1:53" ht="51">
      <c r="A504" s="629">
        <v>29</v>
      </c>
      <c r="B504" s="1124" t="s">
        <v>1731</v>
      </c>
      <c r="C504" s="1105"/>
      <c r="D504" s="1105"/>
      <c r="E504" s="1105"/>
      <c r="F504" s="1105"/>
      <c r="G504" s="1060" t="s">
        <v>341</v>
      </c>
      <c r="H504" s="1115">
        <v>2019</v>
      </c>
      <c r="I504" s="1115"/>
      <c r="J504" s="1115">
        <v>2021</v>
      </c>
      <c r="K504" s="1115"/>
      <c r="L504" s="1115"/>
      <c r="M504" s="1061" t="s">
        <v>1732</v>
      </c>
      <c r="N504" s="1107">
        <v>9500</v>
      </c>
      <c r="O504" s="1107"/>
      <c r="P504" s="1116">
        <f>N504*0.6</f>
        <v>5700</v>
      </c>
      <c r="Q504" s="1116"/>
      <c r="R504" s="1116"/>
      <c r="S504" s="1116"/>
      <c r="T504" s="1116"/>
      <c r="U504" s="1116"/>
      <c r="V504" s="1116"/>
      <c r="W504" s="1116"/>
      <c r="X504" s="1116"/>
      <c r="Y504" s="1116"/>
      <c r="Z504" s="1116"/>
      <c r="AA504" s="1116"/>
      <c r="AB504" s="1116"/>
      <c r="AC504" s="1116"/>
      <c r="AD504" s="497">
        <f t="shared" si="386"/>
        <v>3420</v>
      </c>
      <c r="AE504" s="254">
        <f t="shared" si="387"/>
        <v>3420</v>
      </c>
      <c r="AF504" s="245">
        <v>1710</v>
      </c>
      <c r="AG504" s="245">
        <f t="shared" si="369"/>
        <v>50</v>
      </c>
      <c r="AH504" s="1062">
        <v>881</v>
      </c>
      <c r="AI504" s="245">
        <f t="shared" ref="AI504:AI521" si="388">AF504+AH504</f>
        <v>2591</v>
      </c>
      <c r="AJ504" s="245">
        <f t="shared" ref="AJ504:AJ521" si="389">AA504+AI504</f>
        <v>2591</v>
      </c>
      <c r="AK504" s="245">
        <f t="shared" ref="AK504:AK521" si="390">AC504+AI504</f>
        <v>2591</v>
      </c>
      <c r="AL504" s="245">
        <f t="shared" si="373"/>
        <v>3420</v>
      </c>
      <c r="AM504" s="245">
        <f t="shared" si="374"/>
        <v>829</v>
      </c>
      <c r="AN504" s="1063" t="s">
        <v>1733</v>
      </c>
      <c r="AO504" s="1063" t="s">
        <v>1733</v>
      </c>
      <c r="AQ504" s="215" t="s">
        <v>638</v>
      </c>
      <c r="AR504" s="215" t="s">
        <v>1450</v>
      </c>
      <c r="AS504" s="216"/>
      <c r="AT504" s="207" t="s">
        <v>307</v>
      </c>
      <c r="AU504" s="582" t="s">
        <v>631</v>
      </c>
      <c r="AV504" s="1053" t="s">
        <v>1680</v>
      </c>
      <c r="AW504" s="390" t="s">
        <v>1734</v>
      </c>
      <c r="AY504" s="226"/>
      <c r="AZ504" s="226"/>
      <c r="BA504" s="285"/>
    </row>
    <row r="505" spans="1:53" ht="51">
      <c r="A505" s="237">
        <v>30</v>
      </c>
      <c r="B505" s="238" t="s">
        <v>1735</v>
      </c>
      <c r="C505" s="238"/>
      <c r="D505" s="238"/>
      <c r="E505" s="238"/>
      <c r="F505" s="238"/>
      <c r="G505" s="1060" t="s">
        <v>341</v>
      </c>
      <c r="H505" s="1115">
        <v>2019</v>
      </c>
      <c r="I505" s="1115"/>
      <c r="J505" s="1115">
        <v>2021</v>
      </c>
      <c r="K505" s="1115"/>
      <c r="L505" s="1115"/>
      <c r="M505" s="1061" t="s">
        <v>1736</v>
      </c>
      <c r="N505" s="1116">
        <v>6500</v>
      </c>
      <c r="O505" s="1116"/>
      <c r="P505" s="1116">
        <f>N505*0.6</f>
        <v>3900</v>
      </c>
      <c r="Q505" s="1116"/>
      <c r="R505" s="1116"/>
      <c r="S505" s="1116"/>
      <c r="T505" s="1116"/>
      <c r="U505" s="1116"/>
      <c r="V505" s="1116"/>
      <c r="W505" s="1116"/>
      <c r="X505" s="1116"/>
      <c r="Y505" s="1116"/>
      <c r="Z505" s="1116"/>
      <c r="AA505" s="1116"/>
      <c r="AB505" s="1116"/>
      <c r="AC505" s="1116"/>
      <c r="AD505" s="497">
        <f t="shared" si="386"/>
        <v>2340</v>
      </c>
      <c r="AE505" s="254">
        <f t="shared" si="387"/>
        <v>2340</v>
      </c>
      <c r="AF505" s="245">
        <v>1170</v>
      </c>
      <c r="AG505" s="245">
        <f t="shared" si="369"/>
        <v>50</v>
      </c>
      <c r="AH505" s="245"/>
      <c r="AI505" s="245">
        <f t="shared" si="388"/>
        <v>1170</v>
      </c>
      <c r="AJ505" s="245">
        <f t="shared" si="389"/>
        <v>1170</v>
      </c>
      <c r="AK505" s="245">
        <f t="shared" si="390"/>
        <v>1170</v>
      </c>
      <c r="AL505" s="245">
        <f t="shared" si="373"/>
        <v>2340</v>
      </c>
      <c r="AM505" s="245">
        <f t="shared" si="374"/>
        <v>1170</v>
      </c>
      <c r="AN505" s="1109" t="s">
        <v>1600</v>
      </c>
      <c r="AQ505" s="215" t="s">
        <v>626</v>
      </c>
      <c r="AR505" s="215" t="s">
        <v>1450</v>
      </c>
      <c r="AS505" s="216"/>
      <c r="AT505" s="207" t="s">
        <v>307</v>
      </c>
      <c r="AU505" s="582" t="s">
        <v>631</v>
      </c>
      <c r="AV505" s="1053" t="s">
        <v>1633</v>
      </c>
      <c r="AW505" s="390" t="s">
        <v>1737</v>
      </c>
      <c r="AY505" s="226"/>
      <c r="AZ505" s="226"/>
      <c r="BA505" s="285"/>
    </row>
    <row r="506" spans="1:53" ht="51">
      <c r="A506" s="629">
        <v>31</v>
      </c>
      <c r="B506" s="238" t="s">
        <v>1738</v>
      </c>
      <c r="C506" s="238"/>
      <c r="D506" s="238"/>
      <c r="E506" s="238"/>
      <c r="F506" s="238"/>
      <c r="G506" s="1060" t="s">
        <v>341</v>
      </c>
      <c r="H506" s="1115">
        <v>2019</v>
      </c>
      <c r="I506" s="1115"/>
      <c r="J506" s="1115">
        <v>2021</v>
      </c>
      <c r="K506" s="1115"/>
      <c r="L506" s="1115"/>
      <c r="M506" s="1121" t="s">
        <v>1739</v>
      </c>
      <c r="N506" s="1111">
        <v>3500</v>
      </c>
      <c r="O506" s="1111"/>
      <c r="P506" s="1116">
        <f>N506*0.6</f>
        <v>2100</v>
      </c>
      <c r="Q506" s="1116"/>
      <c r="R506" s="1116"/>
      <c r="S506" s="1116"/>
      <c r="T506" s="1116"/>
      <c r="U506" s="1116"/>
      <c r="V506" s="1116"/>
      <c r="W506" s="1116"/>
      <c r="X506" s="1116"/>
      <c r="Y506" s="1116"/>
      <c r="Z506" s="1116"/>
      <c r="AA506" s="1116"/>
      <c r="AB506" s="1116"/>
      <c r="AC506" s="1116"/>
      <c r="AD506" s="497">
        <f t="shared" si="386"/>
        <v>1260</v>
      </c>
      <c r="AE506" s="254">
        <f t="shared" si="387"/>
        <v>1260</v>
      </c>
      <c r="AF506" s="245">
        <v>630</v>
      </c>
      <c r="AG506" s="245">
        <f t="shared" si="369"/>
        <v>50</v>
      </c>
      <c r="AH506" s="1062"/>
      <c r="AI506" s="245">
        <f t="shared" si="388"/>
        <v>630</v>
      </c>
      <c r="AJ506" s="245">
        <f t="shared" si="389"/>
        <v>630</v>
      </c>
      <c r="AK506" s="245">
        <f t="shared" si="390"/>
        <v>630</v>
      </c>
      <c r="AL506" s="245">
        <f t="shared" si="373"/>
        <v>1260</v>
      </c>
      <c r="AM506" s="245">
        <f t="shared" si="374"/>
        <v>630</v>
      </c>
      <c r="AN506" s="1063" t="s">
        <v>1740</v>
      </c>
      <c r="AO506" s="1063" t="s">
        <v>1740</v>
      </c>
      <c r="AQ506" s="215" t="s">
        <v>1741</v>
      </c>
      <c r="AR506" s="215" t="s">
        <v>1194</v>
      </c>
      <c r="AS506" s="216"/>
      <c r="AT506" s="207" t="s">
        <v>307</v>
      </c>
      <c r="AU506" s="582" t="s">
        <v>631</v>
      </c>
      <c r="AV506" s="1053" t="s">
        <v>1633</v>
      </c>
      <c r="AW506" s="390" t="s">
        <v>1742</v>
      </c>
      <c r="AY506" s="226"/>
      <c r="AZ506" s="226"/>
      <c r="BA506" s="285"/>
    </row>
    <row r="507" spans="1:53" ht="51">
      <c r="A507" s="237">
        <v>32</v>
      </c>
      <c r="B507" s="1105" t="s">
        <v>1743</v>
      </c>
      <c r="C507" s="1105"/>
      <c r="D507" s="1105"/>
      <c r="E507" s="1105"/>
      <c r="F507" s="1105"/>
      <c r="G507" s="1060" t="s">
        <v>401</v>
      </c>
      <c r="H507" s="1115">
        <v>2019</v>
      </c>
      <c r="I507" s="1115"/>
      <c r="J507" s="1115">
        <v>2021</v>
      </c>
      <c r="K507" s="1115"/>
      <c r="L507" s="1115"/>
      <c r="M507" s="1061" t="s">
        <v>1744</v>
      </c>
      <c r="N507" s="1107">
        <v>10000</v>
      </c>
      <c r="O507" s="1107"/>
      <c r="P507" s="1116">
        <f>N507*0.6</f>
        <v>6000</v>
      </c>
      <c r="Q507" s="1116"/>
      <c r="R507" s="1116"/>
      <c r="S507" s="1116"/>
      <c r="T507" s="1116"/>
      <c r="U507" s="1116"/>
      <c r="V507" s="1116"/>
      <c r="W507" s="1116"/>
      <c r="X507" s="1116"/>
      <c r="Y507" s="1116"/>
      <c r="Z507" s="1116"/>
      <c r="AA507" s="1116"/>
      <c r="AB507" s="1116"/>
      <c r="AC507" s="1116"/>
      <c r="AD507" s="497">
        <f t="shared" si="386"/>
        <v>3600</v>
      </c>
      <c r="AE507" s="254">
        <f t="shared" si="387"/>
        <v>3600</v>
      </c>
      <c r="AF507" s="245">
        <v>1800</v>
      </c>
      <c r="AG507" s="245">
        <f t="shared" si="369"/>
        <v>50</v>
      </c>
      <c r="AH507" s="245"/>
      <c r="AI507" s="245">
        <f t="shared" si="388"/>
        <v>1800</v>
      </c>
      <c r="AJ507" s="245">
        <f t="shared" si="389"/>
        <v>1800</v>
      </c>
      <c r="AK507" s="245">
        <f t="shared" si="390"/>
        <v>1800</v>
      </c>
      <c r="AL507" s="245">
        <f t="shared" si="373"/>
        <v>3600</v>
      </c>
      <c r="AM507" s="245">
        <f t="shared" si="374"/>
        <v>1800</v>
      </c>
      <c r="AN507" s="1060" t="s">
        <v>1575</v>
      </c>
      <c r="AQ507" s="215" t="s">
        <v>1745</v>
      </c>
      <c r="AR507" s="215" t="s">
        <v>1450</v>
      </c>
      <c r="AS507" s="216"/>
      <c r="AT507" s="207" t="s">
        <v>307</v>
      </c>
      <c r="AU507" s="582" t="s">
        <v>1679</v>
      </c>
      <c r="AV507" s="1053" t="s">
        <v>945</v>
      </c>
      <c r="AW507" s="390" t="s">
        <v>1746</v>
      </c>
      <c r="AY507" s="226"/>
      <c r="AZ507" s="226"/>
      <c r="BA507" s="285"/>
    </row>
    <row r="508" spans="1:53" ht="25.5">
      <c r="A508" s="629">
        <v>33</v>
      </c>
      <c r="B508" s="238" t="s">
        <v>1747</v>
      </c>
      <c r="C508" s="238"/>
      <c r="D508" s="238"/>
      <c r="E508" s="238"/>
      <c r="F508" s="238"/>
      <c r="G508" s="1060" t="s">
        <v>1477</v>
      </c>
      <c r="H508" s="1106">
        <v>2019</v>
      </c>
      <c r="I508" s="1106"/>
      <c r="J508" s="1106">
        <v>2021</v>
      </c>
      <c r="K508" s="1106"/>
      <c r="L508" s="1106"/>
      <c r="M508" s="1061" t="s">
        <v>1748</v>
      </c>
      <c r="N508" s="1111">
        <v>4000</v>
      </c>
      <c r="O508" s="1111"/>
      <c r="P508" s="1116">
        <f>N508*0.6</f>
        <v>2400</v>
      </c>
      <c r="Q508" s="1116"/>
      <c r="R508" s="1116"/>
      <c r="S508" s="1116"/>
      <c r="T508" s="1116"/>
      <c r="U508" s="1116"/>
      <c r="V508" s="1116"/>
      <c r="W508" s="1116"/>
      <c r="X508" s="1116"/>
      <c r="Y508" s="1116"/>
      <c r="Z508" s="1116"/>
      <c r="AA508" s="1116"/>
      <c r="AB508" s="1116"/>
      <c r="AC508" s="1116"/>
      <c r="AD508" s="497">
        <f t="shared" si="386"/>
        <v>1440</v>
      </c>
      <c r="AE508" s="254">
        <f t="shared" si="387"/>
        <v>1440</v>
      </c>
      <c r="AF508" s="245">
        <v>720</v>
      </c>
      <c r="AG508" s="245">
        <f t="shared" si="369"/>
        <v>50</v>
      </c>
      <c r="AH508" s="245"/>
      <c r="AI508" s="245">
        <f t="shared" si="388"/>
        <v>720</v>
      </c>
      <c r="AJ508" s="245">
        <f t="shared" si="389"/>
        <v>720</v>
      </c>
      <c r="AK508" s="245">
        <f t="shared" si="390"/>
        <v>720</v>
      </c>
      <c r="AL508" s="245">
        <f t="shared" si="373"/>
        <v>1440</v>
      </c>
      <c r="AM508" s="245">
        <f t="shared" si="374"/>
        <v>720</v>
      </c>
      <c r="AN508" s="1109" t="s">
        <v>1749</v>
      </c>
      <c r="AQ508" s="215" t="s">
        <v>664</v>
      </c>
      <c r="AR508" s="215" t="s">
        <v>1194</v>
      </c>
      <c r="AS508" s="216"/>
      <c r="AU508" s="582" t="s">
        <v>1750</v>
      </c>
      <c r="AV508" s="1053" t="s">
        <v>1633</v>
      </c>
      <c r="AW508" s="468"/>
      <c r="AY508" s="226"/>
      <c r="AZ508" s="226"/>
      <c r="BA508" s="285"/>
    </row>
    <row r="509" spans="1:53" ht="54">
      <c r="A509" s="629">
        <v>34</v>
      </c>
      <c r="B509" s="238" t="s">
        <v>1751</v>
      </c>
      <c r="C509" s="238"/>
      <c r="D509" s="238"/>
      <c r="E509" s="238"/>
      <c r="F509" s="238"/>
      <c r="G509" s="1060" t="s">
        <v>341</v>
      </c>
      <c r="H509" s="1106">
        <v>2019</v>
      </c>
      <c r="I509" s="1106"/>
      <c r="J509" s="1106">
        <v>2020</v>
      </c>
      <c r="K509" s="1106"/>
      <c r="L509" s="1106"/>
      <c r="M509" s="1125" t="s">
        <v>1752</v>
      </c>
      <c r="N509" s="1111">
        <v>3500</v>
      </c>
      <c r="O509" s="1111"/>
      <c r="P509" s="1116">
        <v>2100</v>
      </c>
      <c r="Q509" s="1116"/>
      <c r="R509" s="1116"/>
      <c r="S509" s="1116"/>
      <c r="T509" s="1116"/>
      <c r="U509" s="1116"/>
      <c r="V509" s="1116"/>
      <c r="W509" s="1116"/>
      <c r="X509" s="1116"/>
      <c r="Y509" s="1116"/>
      <c r="Z509" s="1116"/>
      <c r="AA509" s="1116"/>
      <c r="AB509" s="1116"/>
      <c r="AC509" s="1116"/>
      <c r="AD509" s="497">
        <f>P509*1</f>
        <v>2100</v>
      </c>
      <c r="AE509" s="254">
        <f t="shared" si="387"/>
        <v>2100</v>
      </c>
      <c r="AF509" s="245">
        <v>1050</v>
      </c>
      <c r="AG509" s="245">
        <f t="shared" si="369"/>
        <v>50</v>
      </c>
      <c r="AH509" s="245"/>
      <c r="AI509" s="245">
        <f t="shared" si="388"/>
        <v>1050</v>
      </c>
      <c r="AJ509" s="245">
        <f t="shared" si="389"/>
        <v>1050</v>
      </c>
      <c r="AK509" s="245">
        <f t="shared" si="390"/>
        <v>1050</v>
      </c>
      <c r="AL509" s="245">
        <f t="shared" si="373"/>
        <v>2100</v>
      </c>
      <c r="AM509" s="245">
        <f t="shared" si="374"/>
        <v>1050</v>
      </c>
      <c r="AN509" s="1109" t="s">
        <v>1753</v>
      </c>
      <c r="AQ509" s="215" t="s">
        <v>515</v>
      </c>
      <c r="AR509" s="215" t="s">
        <v>1194</v>
      </c>
      <c r="AS509" s="216"/>
      <c r="AT509" s="207" t="s">
        <v>307</v>
      </c>
      <c r="AU509" s="582" t="s">
        <v>581</v>
      </c>
      <c r="AV509" s="1053"/>
      <c r="AW509" s="468" t="s">
        <v>1754</v>
      </c>
      <c r="AY509" s="226"/>
      <c r="AZ509" s="226"/>
      <c r="BA509" s="285"/>
    </row>
    <row r="510" spans="1:53" ht="51">
      <c r="A510" s="629">
        <v>35</v>
      </c>
      <c r="B510" s="1105" t="s">
        <v>2522</v>
      </c>
      <c r="C510" s="1105"/>
      <c r="D510" s="1105"/>
      <c r="E510" s="1105"/>
      <c r="F510" s="1105"/>
      <c r="G510" s="1060" t="s">
        <v>341</v>
      </c>
      <c r="H510" s="1106">
        <v>2019</v>
      </c>
      <c r="I510" s="1106"/>
      <c r="J510" s="1106">
        <v>2021</v>
      </c>
      <c r="K510" s="1106"/>
      <c r="L510" s="1106"/>
      <c r="M510" s="1061" t="s">
        <v>1755</v>
      </c>
      <c r="N510" s="1107">
        <v>4000</v>
      </c>
      <c r="O510" s="1107"/>
      <c r="P510" s="1107">
        <v>2400</v>
      </c>
      <c r="Q510" s="1107"/>
      <c r="R510" s="1107"/>
      <c r="S510" s="1107"/>
      <c r="T510" s="1107"/>
      <c r="U510" s="1107"/>
      <c r="V510" s="1107"/>
      <c r="W510" s="1107"/>
      <c r="X510" s="1107"/>
      <c r="Y510" s="1107"/>
      <c r="Z510" s="1107"/>
      <c r="AA510" s="1107"/>
      <c r="AB510" s="1107"/>
      <c r="AC510" s="1107"/>
      <c r="AD510" s="497">
        <f>P510*0.6</f>
        <v>1440</v>
      </c>
      <c r="AE510" s="254">
        <f t="shared" si="387"/>
        <v>1440</v>
      </c>
      <c r="AF510" s="245">
        <v>720</v>
      </c>
      <c r="AG510" s="245">
        <f t="shared" si="369"/>
        <v>50</v>
      </c>
      <c r="AH510" s="245"/>
      <c r="AI510" s="245">
        <f t="shared" si="388"/>
        <v>720</v>
      </c>
      <c r="AJ510" s="245">
        <f t="shared" si="389"/>
        <v>720</v>
      </c>
      <c r="AK510" s="245">
        <f t="shared" si="390"/>
        <v>720</v>
      </c>
      <c r="AL510" s="245">
        <f t="shared" si="373"/>
        <v>1440</v>
      </c>
      <c r="AM510" s="245">
        <f t="shared" si="374"/>
        <v>720</v>
      </c>
      <c r="AN510" s="1060" t="s">
        <v>1575</v>
      </c>
      <c r="AQ510" s="215" t="s">
        <v>955</v>
      </c>
      <c r="AR510" s="215" t="s">
        <v>1194</v>
      </c>
      <c r="AS510" s="216"/>
      <c r="AT510" s="207" t="s">
        <v>307</v>
      </c>
      <c r="AU510" s="582" t="s">
        <v>956</v>
      </c>
      <c r="AV510" s="1053" t="s">
        <v>960</v>
      </c>
      <c r="AW510" s="787" t="s">
        <v>1756</v>
      </c>
      <c r="AY510" s="226"/>
      <c r="AZ510" s="226"/>
      <c r="BA510" s="285"/>
    </row>
    <row r="511" spans="1:53" ht="51">
      <c r="A511" s="237">
        <v>36</v>
      </c>
      <c r="B511" s="238" t="s">
        <v>1757</v>
      </c>
      <c r="C511" s="238"/>
      <c r="D511" s="238"/>
      <c r="E511" s="238"/>
      <c r="F511" s="238"/>
      <c r="G511" s="1060" t="s">
        <v>395</v>
      </c>
      <c r="H511" s="1115">
        <v>2019</v>
      </c>
      <c r="I511" s="1115"/>
      <c r="J511" s="1115">
        <v>2021</v>
      </c>
      <c r="K511" s="1115"/>
      <c r="L511" s="1115"/>
      <c r="M511" s="1061" t="s">
        <v>1758</v>
      </c>
      <c r="N511" s="1116">
        <v>4000</v>
      </c>
      <c r="O511" s="1116"/>
      <c r="P511" s="1116">
        <f>N511*0.6</f>
        <v>2400</v>
      </c>
      <c r="Q511" s="1116"/>
      <c r="R511" s="1116"/>
      <c r="S511" s="1116"/>
      <c r="T511" s="1116"/>
      <c r="U511" s="1116"/>
      <c r="V511" s="1116"/>
      <c r="W511" s="1116"/>
      <c r="X511" s="1116"/>
      <c r="Y511" s="1116"/>
      <c r="Z511" s="1116"/>
      <c r="AA511" s="1116"/>
      <c r="AB511" s="1116"/>
      <c r="AC511" s="1116"/>
      <c r="AD511" s="497">
        <f>P511*0.6</f>
        <v>1440</v>
      </c>
      <c r="AE511" s="254">
        <f t="shared" si="387"/>
        <v>1440</v>
      </c>
      <c r="AF511" s="245">
        <v>720</v>
      </c>
      <c r="AG511" s="245">
        <f t="shared" si="369"/>
        <v>50</v>
      </c>
      <c r="AH511" s="1062"/>
      <c r="AI511" s="245">
        <f t="shared" si="388"/>
        <v>720</v>
      </c>
      <c r="AJ511" s="245">
        <f t="shared" si="389"/>
        <v>720</v>
      </c>
      <c r="AK511" s="245">
        <f t="shared" si="390"/>
        <v>720</v>
      </c>
      <c r="AL511" s="245">
        <f t="shared" si="373"/>
        <v>1440</v>
      </c>
      <c r="AM511" s="245">
        <f t="shared" si="374"/>
        <v>720</v>
      </c>
      <c r="AN511" s="654" t="s">
        <v>1759</v>
      </c>
      <c r="AO511" s="654" t="s">
        <v>1759</v>
      </c>
      <c r="AQ511" s="215" t="s">
        <v>1760</v>
      </c>
      <c r="AR511" s="215" t="s">
        <v>1450</v>
      </c>
      <c r="AS511" s="216" t="s">
        <v>496</v>
      </c>
      <c r="AT511" s="207" t="s">
        <v>307</v>
      </c>
      <c r="AU511" s="1126" t="s">
        <v>793</v>
      </c>
      <c r="AV511" s="1053" t="s">
        <v>1633</v>
      </c>
      <c r="AW511" s="390" t="s">
        <v>1761</v>
      </c>
      <c r="AY511" s="226"/>
      <c r="AZ511" s="226"/>
      <c r="BA511" s="285"/>
    </row>
    <row r="512" spans="1:53" ht="51">
      <c r="A512" s="629">
        <v>37</v>
      </c>
      <c r="B512" s="238" t="s">
        <v>1762</v>
      </c>
      <c r="C512" s="238"/>
      <c r="D512" s="238"/>
      <c r="E512" s="238"/>
      <c r="F512" s="238"/>
      <c r="G512" s="1060" t="s">
        <v>395</v>
      </c>
      <c r="H512" s="1115">
        <v>2019</v>
      </c>
      <c r="I512" s="1115"/>
      <c r="J512" s="1115">
        <v>2021</v>
      </c>
      <c r="K512" s="1115"/>
      <c r="L512" s="1115"/>
      <c r="M512" s="1061" t="s">
        <v>1763</v>
      </c>
      <c r="N512" s="1116">
        <v>3500</v>
      </c>
      <c r="O512" s="1116"/>
      <c r="P512" s="1116">
        <f>N512*0.6</f>
        <v>2100</v>
      </c>
      <c r="Q512" s="1116"/>
      <c r="R512" s="1116"/>
      <c r="S512" s="1116"/>
      <c r="T512" s="1116"/>
      <c r="U512" s="1116"/>
      <c r="V512" s="1116"/>
      <c r="W512" s="1116"/>
      <c r="X512" s="1116"/>
      <c r="Y512" s="1116"/>
      <c r="Z512" s="1116"/>
      <c r="AA512" s="1116"/>
      <c r="AB512" s="1116"/>
      <c r="AC512" s="1116"/>
      <c r="AD512" s="497">
        <f>P512*0.6</f>
        <v>1260</v>
      </c>
      <c r="AE512" s="254">
        <f t="shared" si="387"/>
        <v>1260</v>
      </c>
      <c r="AF512" s="245">
        <v>630</v>
      </c>
      <c r="AG512" s="245">
        <f t="shared" si="369"/>
        <v>50</v>
      </c>
      <c r="AH512" s="245"/>
      <c r="AI512" s="245">
        <f t="shared" si="388"/>
        <v>630</v>
      </c>
      <c r="AJ512" s="245">
        <f t="shared" si="389"/>
        <v>630</v>
      </c>
      <c r="AK512" s="245">
        <f t="shared" si="390"/>
        <v>630</v>
      </c>
      <c r="AL512" s="245">
        <f t="shared" si="373"/>
        <v>1260</v>
      </c>
      <c r="AM512" s="245">
        <f t="shared" si="374"/>
        <v>630</v>
      </c>
      <c r="AN512" s="1109" t="s">
        <v>1600</v>
      </c>
      <c r="AQ512" s="215" t="s">
        <v>943</v>
      </c>
      <c r="AR512" s="215" t="s">
        <v>1450</v>
      </c>
      <c r="AS512" s="216"/>
      <c r="AT512" s="207" t="s">
        <v>307</v>
      </c>
      <c r="AU512" s="1126" t="s">
        <v>944</v>
      </c>
      <c r="AV512" s="1053" t="s">
        <v>1633</v>
      </c>
      <c r="AW512" s="390" t="s">
        <v>1764</v>
      </c>
      <c r="AY512" s="226"/>
      <c r="AZ512" s="226"/>
      <c r="BA512" s="285"/>
    </row>
    <row r="513" spans="1:53" ht="51">
      <c r="A513" s="237">
        <v>38</v>
      </c>
      <c r="B513" s="630" t="s">
        <v>1765</v>
      </c>
      <c r="C513" s="630"/>
      <c r="D513" s="630"/>
      <c r="E513" s="630"/>
      <c r="F513" s="630"/>
      <c r="G513" s="403" t="s">
        <v>333</v>
      </c>
      <c r="H513" s="288">
        <v>2017</v>
      </c>
      <c r="I513" s="288"/>
      <c r="J513" s="288">
        <v>2019</v>
      </c>
      <c r="K513" s="288"/>
      <c r="L513" s="288"/>
      <c r="M513" s="494" t="s">
        <v>1766</v>
      </c>
      <c r="N513" s="254">
        <v>10000</v>
      </c>
      <c r="O513" s="254"/>
      <c r="P513" s="254">
        <v>2500</v>
      </c>
      <c r="Q513" s="254"/>
      <c r="R513" s="254"/>
      <c r="S513" s="254"/>
      <c r="T513" s="254"/>
      <c r="U513" s="254"/>
      <c r="V513" s="254"/>
      <c r="W513" s="254"/>
      <c r="X513" s="254"/>
      <c r="Y513" s="254"/>
      <c r="Z513" s="254"/>
      <c r="AA513" s="254"/>
      <c r="AB513" s="254"/>
      <c r="AC513" s="254"/>
      <c r="AD513" s="254">
        <f>P513</f>
        <v>2500</v>
      </c>
      <c r="AE513" s="254">
        <f>AD513</f>
        <v>2500</v>
      </c>
      <c r="AF513" s="245">
        <v>2500</v>
      </c>
      <c r="AG513" s="245">
        <f t="shared" si="369"/>
        <v>100</v>
      </c>
      <c r="AH513" s="245"/>
      <c r="AI513" s="245">
        <f t="shared" si="388"/>
        <v>2500</v>
      </c>
      <c r="AJ513" s="245">
        <f t="shared" si="389"/>
        <v>2500</v>
      </c>
      <c r="AK513" s="245">
        <f t="shared" si="390"/>
        <v>2500</v>
      </c>
      <c r="AL513" s="245">
        <f t="shared" si="373"/>
        <v>2500</v>
      </c>
      <c r="AM513" s="245">
        <f t="shared" si="374"/>
        <v>0</v>
      </c>
      <c r="AN513" s="1109" t="s">
        <v>1767</v>
      </c>
      <c r="AQ513" s="215" t="s">
        <v>1052</v>
      </c>
      <c r="AR513" s="215" t="s">
        <v>1169</v>
      </c>
      <c r="AS513" s="216"/>
      <c r="AU513" s="337" t="s">
        <v>1768</v>
      </c>
      <c r="AV513" s="1053" t="s">
        <v>1578</v>
      </c>
      <c r="AW513" s="787" t="s">
        <v>1769</v>
      </c>
      <c r="AY513" s="226"/>
      <c r="AZ513" s="226"/>
      <c r="BA513" s="285"/>
    </row>
    <row r="514" spans="1:53" s="224" customFormat="1" ht="51">
      <c r="A514" s="614">
        <v>39</v>
      </c>
      <c r="B514" s="1127" t="s">
        <v>1770</v>
      </c>
      <c r="C514" s="1127"/>
      <c r="D514" s="1127"/>
      <c r="E514" s="1127"/>
      <c r="F514" s="1127"/>
      <c r="G514" s="520" t="s">
        <v>373</v>
      </c>
      <c r="H514" s="461">
        <v>2019</v>
      </c>
      <c r="I514" s="461"/>
      <c r="J514" s="1128">
        <v>2021</v>
      </c>
      <c r="K514" s="461"/>
      <c r="L514" s="461"/>
      <c r="M514" s="1129" t="s">
        <v>1771</v>
      </c>
      <c r="N514" s="1130">
        <v>2000</v>
      </c>
      <c r="O514" s="1130"/>
      <c r="P514" s="1131">
        <v>2000</v>
      </c>
      <c r="Q514" s="1131"/>
      <c r="R514" s="1131"/>
      <c r="S514" s="1131"/>
      <c r="T514" s="1131"/>
      <c r="U514" s="1131"/>
      <c r="V514" s="1131"/>
      <c r="W514" s="1131"/>
      <c r="X514" s="1131"/>
      <c r="Y514" s="1131"/>
      <c r="Z514" s="1131"/>
      <c r="AA514" s="1131"/>
      <c r="AB514" s="1131"/>
      <c r="AC514" s="1131"/>
      <c r="AD514" s="497">
        <f>P514*1</f>
        <v>2000</v>
      </c>
      <c r="AE514" s="524">
        <f t="shared" si="387"/>
        <v>2000</v>
      </c>
      <c r="AF514" s="245">
        <v>1000</v>
      </c>
      <c r="AG514" s="245">
        <f t="shared" si="369"/>
        <v>50</v>
      </c>
      <c r="AH514" s="245"/>
      <c r="AI514" s="245">
        <f t="shared" si="388"/>
        <v>1000</v>
      </c>
      <c r="AJ514" s="245">
        <f t="shared" si="389"/>
        <v>1000</v>
      </c>
      <c r="AK514" s="245">
        <f t="shared" si="390"/>
        <v>1000</v>
      </c>
      <c r="AL514" s="245">
        <f t="shared" si="373"/>
        <v>2000</v>
      </c>
      <c r="AM514" s="245">
        <f t="shared" si="374"/>
        <v>1000</v>
      </c>
      <c r="AN514" s="1132" t="s">
        <v>1772</v>
      </c>
      <c r="AQ514" s="225" t="s">
        <v>485</v>
      </c>
      <c r="AR514" s="215" t="s">
        <v>1450</v>
      </c>
      <c r="AS514" s="226"/>
      <c r="AT514" s="207" t="s">
        <v>307</v>
      </c>
      <c r="AU514" s="352" t="s">
        <v>512</v>
      </c>
      <c r="AV514" s="1053" t="s">
        <v>945</v>
      </c>
      <c r="AW514" s="461" t="s">
        <v>1773</v>
      </c>
      <c r="AY514" s="226"/>
      <c r="AZ514" s="226"/>
      <c r="BA514" s="285"/>
    </row>
    <row r="515" spans="1:53" ht="51">
      <c r="A515" s="237">
        <v>40</v>
      </c>
      <c r="B515" s="1133" t="s">
        <v>1774</v>
      </c>
      <c r="C515" s="1133"/>
      <c r="D515" s="1133"/>
      <c r="E515" s="1133"/>
      <c r="F515" s="1133"/>
      <c r="G515" s="403" t="s">
        <v>401</v>
      </c>
      <c r="H515" s="1119">
        <v>2019</v>
      </c>
      <c r="I515" s="1119"/>
      <c r="J515" s="1119">
        <v>2021</v>
      </c>
      <c r="K515" s="1119"/>
      <c r="L515" s="1119"/>
      <c r="M515" s="494" t="s">
        <v>1775</v>
      </c>
      <c r="N515" s="1114">
        <v>1500</v>
      </c>
      <c r="O515" s="1114"/>
      <c r="P515" s="497">
        <f>N515*0.6</f>
        <v>900</v>
      </c>
      <c r="Q515" s="497"/>
      <c r="R515" s="497"/>
      <c r="S515" s="497"/>
      <c r="T515" s="497"/>
      <c r="U515" s="497"/>
      <c r="V515" s="497"/>
      <c r="W515" s="497"/>
      <c r="X515" s="497"/>
      <c r="Y515" s="497"/>
      <c r="Z515" s="497"/>
      <c r="AA515" s="497"/>
      <c r="AB515" s="497"/>
      <c r="AC515" s="497"/>
      <c r="AD515" s="497">
        <f>P515*1</f>
        <v>900</v>
      </c>
      <c r="AE515" s="254">
        <f t="shared" si="387"/>
        <v>900</v>
      </c>
      <c r="AF515" s="245">
        <v>450</v>
      </c>
      <c r="AG515" s="245">
        <f t="shared" si="369"/>
        <v>50</v>
      </c>
      <c r="AH515" s="1062"/>
      <c r="AI515" s="245">
        <f t="shared" si="388"/>
        <v>450</v>
      </c>
      <c r="AJ515" s="245">
        <f t="shared" si="389"/>
        <v>450</v>
      </c>
      <c r="AK515" s="245">
        <f t="shared" si="390"/>
        <v>450</v>
      </c>
      <c r="AL515" s="245">
        <f t="shared" si="373"/>
        <v>900</v>
      </c>
      <c r="AM515" s="245">
        <f t="shared" si="374"/>
        <v>450</v>
      </c>
      <c r="AN515" s="1063" t="s">
        <v>1776</v>
      </c>
      <c r="AO515" s="1063" t="s">
        <v>1776</v>
      </c>
      <c r="AQ515" s="215" t="s">
        <v>563</v>
      </c>
      <c r="AR515" s="215" t="s">
        <v>1194</v>
      </c>
      <c r="AS515" s="216" t="s">
        <v>496</v>
      </c>
      <c r="AT515" s="207" t="s">
        <v>307</v>
      </c>
      <c r="AU515" s="607" t="s">
        <v>1679</v>
      </c>
      <c r="AV515" s="1053" t="s">
        <v>1633</v>
      </c>
      <c r="AW515" s="1054" t="s">
        <v>1777</v>
      </c>
      <c r="AY515" s="226"/>
      <c r="AZ515" s="226"/>
      <c r="BA515" s="285"/>
    </row>
    <row r="516" spans="1:53" ht="25.5">
      <c r="A516" s="629">
        <v>41</v>
      </c>
      <c r="B516" s="1133" t="s">
        <v>2416</v>
      </c>
      <c r="C516" s="1133"/>
      <c r="D516" s="1133"/>
      <c r="E516" s="1133"/>
      <c r="F516" s="1133"/>
      <c r="G516" s="403" t="s">
        <v>1292</v>
      </c>
      <c r="H516" s="1119">
        <v>2019</v>
      </c>
      <c r="I516" s="1119"/>
      <c r="J516" s="1119">
        <v>2020</v>
      </c>
      <c r="K516" s="1119"/>
      <c r="L516" s="1119"/>
      <c r="M516" s="494" t="s">
        <v>1779</v>
      </c>
      <c r="N516" s="1114">
        <v>3500</v>
      </c>
      <c r="O516" s="1114"/>
      <c r="P516" s="497">
        <f t="shared" ref="P516" si="391">N516*0.6</f>
        <v>2100</v>
      </c>
      <c r="Q516" s="497"/>
      <c r="R516" s="497"/>
      <c r="S516" s="497"/>
      <c r="T516" s="497"/>
      <c r="U516" s="497"/>
      <c r="V516" s="497"/>
      <c r="W516" s="497"/>
      <c r="X516" s="497"/>
      <c r="Y516" s="497"/>
      <c r="Z516" s="497"/>
      <c r="AA516" s="497"/>
      <c r="AB516" s="497"/>
      <c r="AC516" s="497"/>
      <c r="AD516" s="254">
        <f>P516*1</f>
        <v>2100</v>
      </c>
      <c r="AE516" s="254">
        <f t="shared" si="387"/>
        <v>2100</v>
      </c>
      <c r="AF516" s="245">
        <v>1050</v>
      </c>
      <c r="AG516" s="245">
        <f t="shared" si="369"/>
        <v>50</v>
      </c>
      <c r="AH516" s="245"/>
      <c r="AI516" s="245">
        <f t="shared" si="388"/>
        <v>1050</v>
      </c>
      <c r="AJ516" s="245">
        <f t="shared" si="389"/>
        <v>1050</v>
      </c>
      <c r="AK516" s="245">
        <f t="shared" si="390"/>
        <v>1050</v>
      </c>
      <c r="AL516" s="245">
        <f t="shared" si="373"/>
        <v>2100</v>
      </c>
      <c r="AM516" s="245">
        <f t="shared" si="374"/>
        <v>1050</v>
      </c>
      <c r="AN516" s="472"/>
      <c r="AQ516" s="215" t="s">
        <v>1780</v>
      </c>
      <c r="AR516" s="215" t="s">
        <v>1169</v>
      </c>
      <c r="AS516" s="216" t="s">
        <v>496</v>
      </c>
      <c r="AT516" s="207" t="s">
        <v>307</v>
      </c>
      <c r="AU516" s="641" t="s">
        <v>1781</v>
      </c>
      <c r="AV516" s="1053" t="s">
        <v>1633</v>
      </c>
      <c r="AW516" s="292"/>
      <c r="AY516" s="226"/>
      <c r="AZ516" s="226"/>
      <c r="BA516" s="285"/>
    </row>
    <row r="517" spans="1:53" ht="78.75">
      <c r="A517" s="237">
        <v>42</v>
      </c>
      <c r="B517" s="1110" t="s">
        <v>1782</v>
      </c>
      <c r="C517" s="1110"/>
      <c r="D517" s="1110"/>
      <c r="E517" s="1110"/>
      <c r="F517" s="1110"/>
      <c r="G517" s="403" t="s">
        <v>333</v>
      </c>
      <c r="H517" s="288">
        <v>2019</v>
      </c>
      <c r="I517" s="288"/>
      <c r="J517" s="288">
        <v>2021</v>
      </c>
      <c r="K517" s="288"/>
      <c r="L517" s="288"/>
      <c r="M517" s="494" t="s">
        <v>1783</v>
      </c>
      <c r="N517" s="1114">
        <v>14800</v>
      </c>
      <c r="O517" s="1114"/>
      <c r="P517" s="1114">
        <v>14800</v>
      </c>
      <c r="Q517" s="1114"/>
      <c r="R517" s="1114"/>
      <c r="S517" s="1114"/>
      <c r="T517" s="1114"/>
      <c r="U517" s="1114"/>
      <c r="V517" s="1114"/>
      <c r="W517" s="1114"/>
      <c r="X517" s="1114"/>
      <c r="Y517" s="1114"/>
      <c r="Z517" s="1114"/>
      <c r="AA517" s="1114"/>
      <c r="AB517" s="1114"/>
      <c r="AC517" s="1114"/>
      <c r="AD517" s="497">
        <f>P517*0.6</f>
        <v>8880</v>
      </c>
      <c r="AE517" s="254">
        <f t="shared" si="387"/>
        <v>8880</v>
      </c>
      <c r="AF517" s="245">
        <v>4440</v>
      </c>
      <c r="AG517" s="245">
        <f t="shared" si="369"/>
        <v>50</v>
      </c>
      <c r="AH517" s="245"/>
      <c r="AI517" s="245">
        <f t="shared" si="388"/>
        <v>4440</v>
      </c>
      <c r="AJ517" s="245">
        <f t="shared" si="389"/>
        <v>4440</v>
      </c>
      <c r="AK517" s="245">
        <f t="shared" si="390"/>
        <v>4440</v>
      </c>
      <c r="AL517" s="245">
        <f t="shared" si="373"/>
        <v>8880</v>
      </c>
      <c r="AM517" s="245">
        <f t="shared" si="374"/>
        <v>4440</v>
      </c>
      <c r="AN517" s="462" t="s">
        <v>1784</v>
      </c>
      <c r="AQ517" s="215" t="s">
        <v>664</v>
      </c>
      <c r="AR517" s="215" t="s">
        <v>1169</v>
      </c>
      <c r="AS517" s="216"/>
      <c r="AU517" s="247" t="s">
        <v>1370</v>
      </c>
      <c r="AV517" s="1053" t="s">
        <v>960</v>
      </c>
      <c r="AW517" s="1054" t="s">
        <v>1785</v>
      </c>
      <c r="AY517" s="226"/>
      <c r="AZ517" s="226"/>
      <c r="BA517" s="285"/>
    </row>
    <row r="518" spans="1:53" ht="25.5">
      <c r="A518" s="629">
        <v>43</v>
      </c>
      <c r="B518" s="630" t="s">
        <v>1786</v>
      </c>
      <c r="C518" s="630"/>
      <c r="D518" s="630"/>
      <c r="E518" s="630"/>
      <c r="F518" s="630"/>
      <c r="G518" s="403" t="s">
        <v>333</v>
      </c>
      <c r="H518" s="1119">
        <v>2019</v>
      </c>
      <c r="I518" s="1119"/>
      <c r="J518" s="1119">
        <v>2021</v>
      </c>
      <c r="K518" s="1119"/>
      <c r="L518" s="1119"/>
      <c r="M518" s="494" t="s">
        <v>1787</v>
      </c>
      <c r="N518" s="467">
        <v>21500</v>
      </c>
      <c r="O518" s="467"/>
      <c r="P518" s="496">
        <v>10000</v>
      </c>
      <c r="Q518" s="496"/>
      <c r="R518" s="496"/>
      <c r="S518" s="496"/>
      <c r="T518" s="496"/>
      <c r="U518" s="496"/>
      <c r="V518" s="496"/>
      <c r="W518" s="496"/>
      <c r="X518" s="496"/>
      <c r="Y518" s="496"/>
      <c r="Z518" s="496"/>
      <c r="AA518" s="496"/>
      <c r="AB518" s="496"/>
      <c r="AC518" s="496"/>
      <c r="AD518" s="497">
        <f>P518*0.6</f>
        <v>6000</v>
      </c>
      <c r="AE518" s="254">
        <f t="shared" si="387"/>
        <v>6000</v>
      </c>
      <c r="AF518" s="245">
        <v>3000</v>
      </c>
      <c r="AG518" s="245">
        <f t="shared" si="369"/>
        <v>50</v>
      </c>
      <c r="AH518" s="245"/>
      <c r="AI518" s="245">
        <f t="shared" si="388"/>
        <v>3000</v>
      </c>
      <c r="AJ518" s="245">
        <f t="shared" si="389"/>
        <v>3000</v>
      </c>
      <c r="AK518" s="245">
        <f t="shared" si="390"/>
        <v>3000</v>
      </c>
      <c r="AL518" s="245">
        <f t="shared" si="373"/>
        <v>6000</v>
      </c>
      <c r="AM518" s="245">
        <f t="shared" si="374"/>
        <v>3000</v>
      </c>
      <c r="AN518" s="462" t="s">
        <v>1788</v>
      </c>
      <c r="AQ518" s="215" t="s">
        <v>1503</v>
      </c>
      <c r="AR518" s="215" t="s">
        <v>1169</v>
      </c>
      <c r="AS518" s="216"/>
      <c r="AT518" s="207" t="s">
        <v>307</v>
      </c>
      <c r="AU518" s="607" t="s">
        <v>1730</v>
      </c>
      <c r="AV518" s="1053" t="s">
        <v>1633</v>
      </c>
      <c r="AW518" s="292"/>
      <c r="AY518" s="226"/>
      <c r="AZ518" s="226"/>
      <c r="BA518" s="285"/>
    </row>
    <row r="519" spans="1:53" ht="51">
      <c r="A519" s="237">
        <v>44</v>
      </c>
      <c r="B519" s="630" t="s">
        <v>1789</v>
      </c>
      <c r="C519" s="630"/>
      <c r="D519" s="630"/>
      <c r="E519" s="630"/>
      <c r="F519" s="630"/>
      <c r="G519" s="403" t="s">
        <v>333</v>
      </c>
      <c r="H519" s="1119">
        <v>2019</v>
      </c>
      <c r="I519" s="1119"/>
      <c r="J519" s="1119">
        <v>2021</v>
      </c>
      <c r="K519" s="1119"/>
      <c r="L519" s="1119"/>
      <c r="M519" s="494" t="s">
        <v>1790</v>
      </c>
      <c r="N519" s="1114">
        <v>3957</v>
      </c>
      <c r="O519" s="1114"/>
      <c r="P519" s="1114">
        <v>3957</v>
      </c>
      <c r="Q519" s="1114"/>
      <c r="R519" s="1114"/>
      <c r="S519" s="1114"/>
      <c r="T519" s="1114"/>
      <c r="U519" s="1114"/>
      <c r="V519" s="1114"/>
      <c r="W519" s="1114"/>
      <c r="X519" s="1114"/>
      <c r="Y519" s="1114"/>
      <c r="Z519" s="1114"/>
      <c r="AA519" s="1114"/>
      <c r="AB519" s="1114"/>
      <c r="AC519" s="1114"/>
      <c r="AD519" s="497">
        <f>P519*0.6</f>
        <v>2374.1999999999998</v>
      </c>
      <c r="AE519" s="254">
        <f t="shared" si="387"/>
        <v>2374.1999999999998</v>
      </c>
      <c r="AF519" s="245">
        <v>1187.0999999999999</v>
      </c>
      <c r="AG519" s="245">
        <f t="shared" si="369"/>
        <v>50</v>
      </c>
      <c r="AH519" s="245"/>
      <c r="AI519" s="245">
        <f t="shared" si="388"/>
        <v>1187.0999999999999</v>
      </c>
      <c r="AJ519" s="245">
        <f t="shared" si="389"/>
        <v>1187.0999999999999</v>
      </c>
      <c r="AK519" s="245">
        <f t="shared" si="390"/>
        <v>1187.0999999999999</v>
      </c>
      <c r="AL519" s="245">
        <f t="shared" si="373"/>
        <v>2374.1999999999998</v>
      </c>
      <c r="AM519" s="245">
        <f t="shared" si="374"/>
        <v>1187.0999999999999</v>
      </c>
      <c r="AN519" s="472"/>
      <c r="AQ519" s="215" t="s">
        <v>1052</v>
      </c>
      <c r="AR519" s="215" t="s">
        <v>1169</v>
      </c>
      <c r="AS519" s="216"/>
      <c r="AU519" s="607" t="s">
        <v>1791</v>
      </c>
      <c r="AV519" s="1053" t="s">
        <v>1633</v>
      </c>
      <c r="AW519" s="1054" t="s">
        <v>1792</v>
      </c>
      <c r="AY519" s="226"/>
      <c r="AZ519" s="226"/>
      <c r="BA519" s="285"/>
    </row>
    <row r="520" spans="1:53" ht="51">
      <c r="A520" s="629">
        <v>45</v>
      </c>
      <c r="B520" s="1134" t="s">
        <v>1793</v>
      </c>
      <c r="C520" s="1134"/>
      <c r="D520" s="1134"/>
      <c r="E520" s="1134"/>
      <c r="F520" s="1134"/>
      <c r="G520" s="403" t="s">
        <v>333</v>
      </c>
      <c r="H520" s="1135">
        <v>2019</v>
      </c>
      <c r="I520" s="1135"/>
      <c r="J520" s="1135">
        <v>2021</v>
      </c>
      <c r="K520" s="1135"/>
      <c r="L520" s="1135"/>
      <c r="M520" s="1136" t="s">
        <v>1794</v>
      </c>
      <c r="N520" s="1137">
        <v>1700</v>
      </c>
      <c r="O520" s="1137"/>
      <c r="P520" s="1137">
        <v>1700</v>
      </c>
      <c r="Q520" s="1137"/>
      <c r="R520" s="1137"/>
      <c r="S520" s="1137"/>
      <c r="T520" s="1137"/>
      <c r="U520" s="1137"/>
      <c r="V520" s="1137"/>
      <c r="W520" s="1137"/>
      <c r="X520" s="1137"/>
      <c r="Y520" s="1137"/>
      <c r="Z520" s="1137"/>
      <c r="AA520" s="1137"/>
      <c r="AB520" s="1137"/>
      <c r="AC520" s="1137"/>
      <c r="AD520" s="497">
        <f>P520*1</f>
        <v>1700</v>
      </c>
      <c r="AE520" s="254">
        <f t="shared" si="387"/>
        <v>1700</v>
      </c>
      <c r="AF520" s="245">
        <v>850</v>
      </c>
      <c r="AG520" s="245">
        <f t="shared" si="369"/>
        <v>50</v>
      </c>
      <c r="AH520" s="245"/>
      <c r="AI520" s="245">
        <f t="shared" si="388"/>
        <v>850</v>
      </c>
      <c r="AJ520" s="245">
        <f t="shared" si="389"/>
        <v>850</v>
      </c>
      <c r="AK520" s="245">
        <f t="shared" si="390"/>
        <v>850</v>
      </c>
      <c r="AL520" s="245">
        <f t="shared" si="373"/>
        <v>1700</v>
      </c>
      <c r="AM520" s="245">
        <f t="shared" si="374"/>
        <v>850</v>
      </c>
      <c r="AN520" s="462" t="s">
        <v>1795</v>
      </c>
      <c r="AQ520" s="215" t="s">
        <v>1465</v>
      </c>
      <c r="AR520" s="215" t="s">
        <v>1169</v>
      </c>
      <c r="AS520" s="216"/>
      <c r="AU520" s="607" t="s">
        <v>1796</v>
      </c>
      <c r="AV520" s="1053" t="s">
        <v>1633</v>
      </c>
      <c r="AW520" s="1054" t="s">
        <v>1797</v>
      </c>
      <c r="AY520" s="226"/>
      <c r="AZ520" s="226"/>
      <c r="BA520" s="285"/>
    </row>
    <row r="521" spans="1:53" ht="51">
      <c r="A521" s="237">
        <v>46</v>
      </c>
      <c r="B521" s="1138" t="s">
        <v>1798</v>
      </c>
      <c r="C521" s="1138"/>
      <c r="D521" s="1138"/>
      <c r="E521" s="1138"/>
      <c r="F521" s="1138"/>
      <c r="G521" s="1139" t="s">
        <v>373</v>
      </c>
      <c r="H521" s="397">
        <v>2019</v>
      </c>
      <c r="I521" s="397"/>
      <c r="J521" s="397">
        <v>2021</v>
      </c>
      <c r="K521" s="1140"/>
      <c r="L521" s="1140"/>
      <c r="M521" s="1141" t="s">
        <v>1799</v>
      </c>
      <c r="N521" s="1142">
        <v>5000</v>
      </c>
      <c r="O521" s="1142"/>
      <c r="P521" s="1142">
        <v>3000</v>
      </c>
      <c r="Q521" s="1142"/>
      <c r="R521" s="1142"/>
      <c r="S521" s="1142"/>
      <c r="T521" s="1142"/>
      <c r="U521" s="1142"/>
      <c r="V521" s="1142"/>
      <c r="W521" s="1142"/>
      <c r="X521" s="1142"/>
      <c r="Y521" s="1142"/>
      <c r="Z521" s="1142"/>
      <c r="AA521" s="1142"/>
      <c r="AB521" s="1142"/>
      <c r="AC521" s="1142"/>
      <c r="AD521" s="497">
        <f>P521*0.6</f>
        <v>1800</v>
      </c>
      <c r="AE521" s="254">
        <f t="shared" si="387"/>
        <v>1800</v>
      </c>
      <c r="AF521" s="245">
        <v>900</v>
      </c>
      <c r="AG521" s="245">
        <f t="shared" si="369"/>
        <v>50</v>
      </c>
      <c r="AH521" s="245"/>
      <c r="AI521" s="245">
        <f t="shared" si="388"/>
        <v>900</v>
      </c>
      <c r="AJ521" s="245">
        <f t="shared" si="389"/>
        <v>900</v>
      </c>
      <c r="AK521" s="245">
        <f t="shared" si="390"/>
        <v>900</v>
      </c>
      <c r="AL521" s="245">
        <f t="shared" si="373"/>
        <v>1800</v>
      </c>
      <c r="AM521" s="245">
        <f t="shared" si="374"/>
        <v>900</v>
      </c>
      <c r="AN521" s="472"/>
      <c r="AQ521" s="215" t="s">
        <v>1800</v>
      </c>
      <c r="AR521" s="215" t="s">
        <v>1169</v>
      </c>
      <c r="AS521" s="216" t="s">
        <v>496</v>
      </c>
      <c r="AT521" s="207" t="s">
        <v>307</v>
      </c>
      <c r="AU521" s="1143" t="s">
        <v>1801</v>
      </c>
      <c r="AV521" s="1053"/>
      <c r="AW521" s="521" t="s">
        <v>1802</v>
      </c>
      <c r="AY521" s="226"/>
      <c r="AZ521" s="226"/>
      <c r="BA521" s="285"/>
    </row>
    <row r="522" spans="1:53" s="1041" customFormat="1" ht="51.75" customHeight="1">
      <c r="A522" s="326" t="s">
        <v>49</v>
      </c>
      <c r="B522" s="1037" t="s">
        <v>940</v>
      </c>
      <c r="C522" s="1037"/>
      <c r="D522" s="1037"/>
      <c r="E522" s="1037"/>
      <c r="F522" s="1037"/>
      <c r="G522" s="1038"/>
      <c r="H522" s="1039"/>
      <c r="I522" s="1039"/>
      <c r="J522" s="1039"/>
      <c r="K522" s="1039"/>
      <c r="L522" s="1039"/>
      <c r="M522" s="1039"/>
      <c r="N522" s="1040">
        <f t="shared" ref="N522:AE522" si="392">SUBTOTAL(109,N523:N571)</f>
        <v>397944</v>
      </c>
      <c r="O522" s="1040">
        <f t="shared" si="392"/>
        <v>0</v>
      </c>
      <c r="P522" s="1040">
        <f t="shared" si="392"/>
        <v>240204</v>
      </c>
      <c r="Q522" s="1040">
        <f t="shared" si="392"/>
        <v>0</v>
      </c>
      <c r="R522" s="1040">
        <f t="shared" si="392"/>
        <v>0</v>
      </c>
      <c r="S522" s="1040">
        <f t="shared" si="392"/>
        <v>0</v>
      </c>
      <c r="T522" s="1040">
        <f t="shared" si="392"/>
        <v>115242</v>
      </c>
      <c r="U522" s="1040">
        <f t="shared" si="392"/>
        <v>0</v>
      </c>
      <c r="V522" s="1040">
        <f t="shared" si="392"/>
        <v>0</v>
      </c>
      <c r="W522" s="1040">
        <f t="shared" si="392"/>
        <v>0</v>
      </c>
      <c r="X522" s="1040">
        <f t="shared" si="392"/>
        <v>0</v>
      </c>
      <c r="Y522" s="1040">
        <f t="shared" si="392"/>
        <v>0</v>
      </c>
      <c r="Z522" s="1040">
        <f t="shared" si="392"/>
        <v>0</v>
      </c>
      <c r="AA522" s="1040">
        <f t="shared" si="392"/>
        <v>0</v>
      </c>
      <c r="AB522" s="1040">
        <f t="shared" si="392"/>
        <v>0</v>
      </c>
      <c r="AC522" s="1040">
        <f t="shared" si="392"/>
        <v>0</v>
      </c>
      <c r="AD522" s="1040">
        <f t="shared" si="392"/>
        <v>115242</v>
      </c>
      <c r="AE522" s="1040">
        <f t="shared" si="392"/>
        <v>115242</v>
      </c>
      <c r="AF522" s="1040"/>
      <c r="AG522" s="286"/>
      <c r="AH522" s="286"/>
      <c r="AI522" s="286"/>
      <c r="AJ522" s="286"/>
      <c r="AK522" s="286"/>
      <c r="AL522" s="286"/>
      <c r="AM522" s="286"/>
      <c r="AN522" s="472"/>
      <c r="AQ522" s="1042"/>
      <c r="AR522" s="1042"/>
      <c r="AS522" s="1043"/>
      <c r="AT522" s="207"/>
      <c r="AU522" s="472"/>
      <c r="AV522" s="382"/>
      <c r="AW522" s="1044"/>
      <c r="AY522" s="382"/>
      <c r="AZ522" s="382"/>
      <c r="BA522" s="637"/>
    </row>
    <row r="523" spans="1:53" ht="39.75" customHeight="1">
      <c r="A523" s="1144" t="s">
        <v>36</v>
      </c>
      <c r="B523" s="1046" t="s">
        <v>892</v>
      </c>
      <c r="C523" s="1145"/>
      <c r="D523" s="1145"/>
      <c r="E523" s="1145"/>
      <c r="F523" s="1145"/>
      <c r="G523" s="1146"/>
      <c r="H523" s="446"/>
      <c r="I523" s="446"/>
      <c r="J523" s="446"/>
      <c r="K523" s="446"/>
      <c r="L523" s="446"/>
      <c r="M523" s="1147"/>
      <c r="N523" s="1148">
        <f>SUBTOTAL(109,N524:N530)</f>
        <v>40750</v>
      </c>
      <c r="O523" s="1148"/>
      <c r="P523" s="1148">
        <f>SUBTOTAL(109,P524:P530)</f>
        <v>24450</v>
      </c>
      <c r="Q523" s="1148"/>
      <c r="R523" s="1148"/>
      <c r="S523" s="1148"/>
      <c r="T523" s="1148"/>
      <c r="U523" s="1148"/>
      <c r="V523" s="1148"/>
      <c r="W523" s="1148"/>
      <c r="X523" s="1148"/>
      <c r="Y523" s="1148"/>
      <c r="Z523" s="1148"/>
      <c r="AA523" s="1148">
        <f>SUBTOTAL(109,AA524:AA530)</f>
        <v>0</v>
      </c>
      <c r="AB523" s="1148"/>
      <c r="AC523" s="1148">
        <f>SUBTOTAL(109,AC524:AC530)</f>
        <v>0</v>
      </c>
      <c r="AD523" s="1148">
        <f>SUBTOTAL(109,AD524:AD530)</f>
        <v>11325</v>
      </c>
      <c r="AE523" s="1148">
        <f>SUBTOTAL(109,AE524:AE530)</f>
        <v>11325</v>
      </c>
      <c r="AF523" s="1148">
        <f>SUBTOTAL(109,AF524:AF530)</f>
        <v>0</v>
      </c>
      <c r="AG523" s="295"/>
      <c r="AH523" s="295"/>
      <c r="AI523" s="295"/>
      <c r="AJ523" s="295"/>
      <c r="AK523" s="295"/>
      <c r="AL523" s="295"/>
      <c r="AM523" s="295"/>
      <c r="AN523" s="295"/>
      <c r="AQ523" s="215"/>
      <c r="AR523" s="215"/>
      <c r="AS523" s="216"/>
      <c r="AU523" s="449"/>
      <c r="AV523" s="1053"/>
      <c r="AW523" s="1149"/>
      <c r="AY523" s="226"/>
      <c r="AZ523" s="226"/>
      <c r="BA523" s="285"/>
    </row>
    <row r="524" spans="1:53" ht="51">
      <c r="A524" s="248">
        <v>1</v>
      </c>
      <c r="B524" s="402" t="s">
        <v>1803</v>
      </c>
      <c r="C524" s="402"/>
      <c r="D524" s="402"/>
      <c r="E524" s="402"/>
      <c r="F524" s="402"/>
      <c r="G524" s="403" t="s">
        <v>378</v>
      </c>
      <c r="H524" s="404">
        <v>2019</v>
      </c>
      <c r="I524" s="404"/>
      <c r="J524" s="404">
        <v>2021</v>
      </c>
      <c r="K524" s="404"/>
      <c r="L524" s="404"/>
      <c r="M524" s="1150" t="s">
        <v>1804</v>
      </c>
      <c r="N524" s="1086">
        <v>5000</v>
      </c>
      <c r="O524" s="1086"/>
      <c r="P524" s="1086">
        <v>3000</v>
      </c>
      <c r="Q524" s="1086"/>
      <c r="R524" s="1086"/>
      <c r="S524" s="1086"/>
      <c r="T524" s="1151">
        <f>P524*0.5</f>
        <v>1500</v>
      </c>
      <c r="U524" s="1086"/>
      <c r="V524" s="1086"/>
      <c r="W524" s="1086"/>
      <c r="X524" s="1086"/>
      <c r="Y524" s="1086"/>
      <c r="Z524" s="1086"/>
      <c r="AA524" s="1086"/>
      <c r="AB524" s="1086"/>
      <c r="AC524" s="1086"/>
      <c r="AD524" s="254">
        <f>T524</f>
        <v>1500</v>
      </c>
      <c r="AE524" s="254">
        <f t="shared" ref="AE524:AE575" si="393">AD524</f>
        <v>1500</v>
      </c>
      <c r="AF524" s="1059"/>
      <c r="AG524" s="286"/>
      <c r="AH524" s="286"/>
      <c r="AI524" s="286"/>
      <c r="AJ524" s="286"/>
      <c r="AK524" s="286"/>
      <c r="AL524" s="286">
        <f>AD524</f>
        <v>1500</v>
      </c>
      <c r="AM524" s="286">
        <f>AE524-AI524</f>
        <v>1500</v>
      </c>
      <c r="AN524" s="403" t="s">
        <v>1805</v>
      </c>
      <c r="AQ524" s="215" t="s">
        <v>1025</v>
      </c>
      <c r="AR524" s="215" t="s">
        <v>1450</v>
      </c>
      <c r="AS524" s="216"/>
      <c r="AT524" s="207" t="s">
        <v>307</v>
      </c>
      <c r="AU524" s="631" t="s">
        <v>999</v>
      </c>
      <c r="AV524" s="1053" t="s">
        <v>1578</v>
      </c>
      <c r="AW524" s="390" t="s">
        <v>1806</v>
      </c>
      <c r="AY524" s="285">
        <f>AZ524+BA524</f>
        <v>800</v>
      </c>
      <c r="AZ524" s="226"/>
      <c r="BA524" s="285">
        <v>800</v>
      </c>
    </row>
    <row r="525" spans="1:53" ht="51">
      <c r="A525" s="248">
        <v>2</v>
      </c>
      <c r="B525" s="402" t="s">
        <v>2526</v>
      </c>
      <c r="C525" s="402"/>
      <c r="D525" s="402"/>
      <c r="E525" s="402"/>
      <c r="F525" s="402"/>
      <c r="G525" s="403" t="s">
        <v>395</v>
      </c>
      <c r="H525" s="404">
        <v>2019</v>
      </c>
      <c r="I525" s="404"/>
      <c r="J525" s="404">
        <v>2021</v>
      </c>
      <c r="K525" s="404"/>
      <c r="L525" s="404"/>
      <c r="M525" s="1152" t="s">
        <v>1807</v>
      </c>
      <c r="N525" s="1086">
        <v>13000</v>
      </c>
      <c r="O525" s="1086"/>
      <c r="P525" s="1086">
        <v>7800</v>
      </c>
      <c r="Q525" s="1086"/>
      <c r="R525" s="1086"/>
      <c r="S525" s="1086"/>
      <c r="T525" s="1151">
        <f>P525*0.5</f>
        <v>3900</v>
      </c>
      <c r="U525" s="1086"/>
      <c r="V525" s="1086"/>
      <c r="W525" s="1086"/>
      <c r="X525" s="1086"/>
      <c r="Y525" s="1086"/>
      <c r="Z525" s="1086"/>
      <c r="AA525" s="1086"/>
      <c r="AB525" s="1086"/>
      <c r="AC525" s="1086"/>
      <c r="AD525" s="254">
        <f>T525</f>
        <v>3900</v>
      </c>
      <c r="AE525" s="254">
        <f t="shared" si="393"/>
        <v>3900</v>
      </c>
      <c r="AF525" s="1059"/>
      <c r="AG525" s="286"/>
      <c r="AH525" s="286"/>
      <c r="AI525" s="286"/>
      <c r="AJ525" s="286"/>
      <c r="AK525" s="286"/>
      <c r="AL525" s="286">
        <f>AD525</f>
        <v>3900</v>
      </c>
      <c r="AM525" s="286">
        <f>AE525-AI525</f>
        <v>3900</v>
      </c>
      <c r="AN525" s="403" t="s">
        <v>1805</v>
      </c>
      <c r="AQ525" s="215" t="s">
        <v>1808</v>
      </c>
      <c r="AR525" s="215" t="s">
        <v>1450</v>
      </c>
      <c r="AS525" s="216"/>
      <c r="AT525" s="207" t="s">
        <v>307</v>
      </c>
      <c r="AU525" s="631" t="s">
        <v>793</v>
      </c>
      <c r="AV525" s="1053" t="s">
        <v>1578</v>
      </c>
      <c r="AW525" s="390" t="s">
        <v>1809</v>
      </c>
      <c r="AY525" s="226"/>
      <c r="AZ525" s="226"/>
      <c r="BA525" s="285"/>
    </row>
    <row r="526" spans="1:53" ht="53.25" customHeight="1">
      <c r="A526" s="248">
        <v>3</v>
      </c>
      <c r="B526" s="402" t="s">
        <v>1810</v>
      </c>
      <c r="C526" s="402"/>
      <c r="D526" s="402"/>
      <c r="E526" s="402"/>
      <c r="F526" s="402"/>
      <c r="G526" s="403" t="s">
        <v>341</v>
      </c>
      <c r="H526" s="404">
        <v>2019</v>
      </c>
      <c r="I526" s="404"/>
      <c r="J526" s="404">
        <v>2021</v>
      </c>
      <c r="K526" s="404"/>
      <c r="L526" s="404"/>
      <c r="M526" s="781" t="s">
        <v>1811</v>
      </c>
      <c r="N526" s="442">
        <v>7000</v>
      </c>
      <c r="O526" s="442"/>
      <c r="P526" s="442">
        <v>4200</v>
      </c>
      <c r="Q526" s="442"/>
      <c r="R526" s="442"/>
      <c r="S526" s="442"/>
      <c r="T526" s="1151">
        <f>P526*0.5</f>
        <v>2100</v>
      </c>
      <c r="U526" s="442"/>
      <c r="V526" s="442"/>
      <c r="W526" s="442"/>
      <c r="X526" s="442"/>
      <c r="Y526" s="442"/>
      <c r="Z526" s="442"/>
      <c r="AA526" s="442"/>
      <c r="AB526" s="442"/>
      <c r="AC526" s="442"/>
      <c r="AD526" s="254">
        <f>T526</f>
        <v>2100</v>
      </c>
      <c r="AE526" s="254">
        <f t="shared" si="393"/>
        <v>2100</v>
      </c>
      <c r="AF526" s="1059"/>
      <c r="AG526" s="286"/>
      <c r="AH526" s="286"/>
      <c r="AI526" s="286"/>
      <c r="AJ526" s="286"/>
      <c r="AK526" s="286"/>
      <c r="AL526" s="286">
        <f>AD526</f>
        <v>2100</v>
      </c>
      <c r="AM526" s="286">
        <f>AE526-AI526</f>
        <v>2100</v>
      </c>
      <c r="AN526" s="403" t="s">
        <v>1805</v>
      </c>
      <c r="AQ526" s="215" t="s">
        <v>630</v>
      </c>
      <c r="AR526" s="215" t="s">
        <v>1194</v>
      </c>
      <c r="AS526" s="216" t="s">
        <v>572</v>
      </c>
      <c r="AT526" s="207" t="s">
        <v>307</v>
      </c>
      <c r="AU526" s="631" t="s">
        <v>631</v>
      </c>
      <c r="AV526" s="1053" t="s">
        <v>1578</v>
      </c>
      <c r="AW526" s="787" t="s">
        <v>1812</v>
      </c>
      <c r="AY526" s="285">
        <f>AZ526+BA526</f>
        <v>800</v>
      </c>
      <c r="AZ526" s="226"/>
      <c r="BA526" s="285">
        <v>800</v>
      </c>
    </row>
    <row r="527" spans="1:53" ht="39.75" customHeight="1">
      <c r="A527" s="248">
        <v>4</v>
      </c>
      <c r="B527" s="402" t="s">
        <v>1813</v>
      </c>
      <c r="C527" s="402"/>
      <c r="D527" s="402"/>
      <c r="E527" s="402"/>
      <c r="F527" s="402"/>
      <c r="G527" s="403" t="s">
        <v>341</v>
      </c>
      <c r="H527" s="404">
        <v>2019</v>
      </c>
      <c r="I527" s="404"/>
      <c r="J527" s="404">
        <v>2021</v>
      </c>
      <c r="K527" s="404"/>
      <c r="L527" s="404"/>
      <c r="M527" s="781" t="s">
        <v>1814</v>
      </c>
      <c r="N527" s="442">
        <v>4500</v>
      </c>
      <c r="O527" s="442"/>
      <c r="P527" s="442">
        <v>2700</v>
      </c>
      <c r="Q527" s="442"/>
      <c r="R527" s="442"/>
      <c r="S527" s="442"/>
      <c r="T527" s="1151">
        <f>P527*0.5</f>
        <v>1350</v>
      </c>
      <c r="U527" s="442"/>
      <c r="V527" s="442"/>
      <c r="W527" s="442"/>
      <c r="X527" s="442"/>
      <c r="Y527" s="442"/>
      <c r="Z527" s="442"/>
      <c r="AA527" s="442"/>
      <c r="AB527" s="442"/>
      <c r="AC527" s="442"/>
      <c r="AD527" s="254">
        <f>T527</f>
        <v>1350</v>
      </c>
      <c r="AE527" s="254">
        <f t="shared" si="393"/>
        <v>1350</v>
      </c>
      <c r="AF527" s="1059"/>
      <c r="AG527" s="286"/>
      <c r="AH527" s="286"/>
      <c r="AI527" s="286"/>
      <c r="AJ527" s="286"/>
      <c r="AK527" s="286"/>
      <c r="AL527" s="286">
        <f>AD527</f>
        <v>1350</v>
      </c>
      <c r="AM527" s="286">
        <f>AE527-AI527</f>
        <v>1350</v>
      </c>
      <c r="AN527" s="403" t="s">
        <v>1805</v>
      </c>
      <c r="AQ527" s="215" t="s">
        <v>1620</v>
      </c>
      <c r="AR527" s="215" t="s">
        <v>1450</v>
      </c>
      <c r="AS527" s="216"/>
      <c r="AT527" s="207" t="s">
        <v>307</v>
      </c>
      <c r="AU527" s="631" t="s">
        <v>631</v>
      </c>
      <c r="AV527" s="1053" t="s">
        <v>1578</v>
      </c>
      <c r="AW527" s="787" t="s">
        <v>1815</v>
      </c>
      <c r="AY527" s="285">
        <f>AZ527+BA527</f>
        <v>800</v>
      </c>
      <c r="AZ527" s="226"/>
      <c r="BA527" s="285">
        <v>800</v>
      </c>
    </row>
    <row r="528" spans="1:53" ht="76.5">
      <c r="A528" s="248">
        <v>5</v>
      </c>
      <c r="B528" s="452" t="s">
        <v>1816</v>
      </c>
      <c r="C528" s="452"/>
      <c r="D528" s="452"/>
      <c r="E528" s="452"/>
      <c r="F528" s="452"/>
      <c r="G528" s="403" t="s">
        <v>378</v>
      </c>
      <c r="H528" s="404">
        <v>2019</v>
      </c>
      <c r="I528" s="404"/>
      <c r="J528" s="404">
        <v>2021</v>
      </c>
      <c r="K528" s="404"/>
      <c r="L528" s="404"/>
      <c r="M528" s="1121" t="s">
        <v>1817</v>
      </c>
      <c r="N528" s="1064">
        <v>4250</v>
      </c>
      <c r="O528" s="1064"/>
      <c r="P528" s="1064">
        <f>N528*0.6</f>
        <v>2550</v>
      </c>
      <c r="Q528" s="1064"/>
      <c r="R528" s="1064"/>
      <c r="S528" s="1064"/>
      <c r="T528" s="1151">
        <f>P528*0.5</f>
        <v>1275</v>
      </c>
      <c r="U528" s="1064"/>
      <c r="V528" s="1064"/>
      <c r="W528" s="1064"/>
      <c r="X528" s="1064"/>
      <c r="Y528" s="1064"/>
      <c r="Z528" s="1064"/>
      <c r="AA528" s="1064"/>
      <c r="AB528" s="1064"/>
      <c r="AC528" s="1064"/>
      <c r="AD528" s="254">
        <f>T528</f>
        <v>1275</v>
      </c>
      <c r="AE528" s="254">
        <f t="shared" si="393"/>
        <v>1275</v>
      </c>
      <c r="AF528" s="1059"/>
      <c r="AG528" s="286"/>
      <c r="AH528" s="286"/>
      <c r="AI528" s="286"/>
      <c r="AJ528" s="286"/>
      <c r="AK528" s="286"/>
      <c r="AL528" s="286">
        <f>AD528</f>
        <v>1275</v>
      </c>
      <c r="AM528" s="286">
        <f>AE528-AI528</f>
        <v>1275</v>
      </c>
      <c r="AN528" s="288" t="s">
        <v>1818</v>
      </c>
      <c r="AQ528" s="215" t="s">
        <v>834</v>
      </c>
      <c r="AR528" s="215" t="str">
        <f>$AR$527</f>
        <v>GT</v>
      </c>
      <c r="AS528" s="216"/>
      <c r="AT528" s="207" t="s">
        <v>307</v>
      </c>
      <c r="AU528" s="1153" t="s">
        <v>999</v>
      </c>
      <c r="AV528" s="401" t="s">
        <v>1819</v>
      </c>
      <c r="AW528" s="390" t="s">
        <v>1820</v>
      </c>
      <c r="AY528" s="285">
        <f t="shared" ref="AY528:AY530" si="394">AZ528+BA528</f>
        <v>800</v>
      </c>
      <c r="AZ528" s="226"/>
      <c r="BA528" s="285">
        <v>800</v>
      </c>
    </row>
    <row r="529" spans="1:53" ht="76.5">
      <c r="A529" s="248">
        <v>6</v>
      </c>
      <c r="B529" s="402" t="s">
        <v>1821</v>
      </c>
      <c r="C529" s="1154"/>
      <c r="D529" s="1154"/>
      <c r="E529" s="1154"/>
      <c r="F529" s="1154"/>
      <c r="G529" s="1051" t="s">
        <v>435</v>
      </c>
      <c r="H529" s="404">
        <v>2019</v>
      </c>
      <c r="I529" s="404"/>
      <c r="J529" s="404">
        <v>2021</v>
      </c>
      <c r="K529" s="404"/>
      <c r="L529" s="404"/>
      <c r="M529" s="1065"/>
      <c r="N529" s="406">
        <v>3000</v>
      </c>
      <c r="O529" s="406"/>
      <c r="P529" s="1064">
        <f>N529*0.6</f>
        <v>1800</v>
      </c>
      <c r="Q529" s="1064"/>
      <c r="R529" s="1064"/>
      <c r="S529" s="1064"/>
      <c r="T529" s="1064"/>
      <c r="U529" s="1064"/>
      <c r="V529" s="1064"/>
      <c r="W529" s="1064"/>
      <c r="X529" s="1064"/>
      <c r="Y529" s="1064"/>
      <c r="Z529" s="1064"/>
      <c r="AA529" s="1064"/>
      <c r="AB529" s="1064"/>
      <c r="AC529" s="1064"/>
      <c r="AD529" s="254">
        <f>P529*0</f>
        <v>0</v>
      </c>
      <c r="AE529" s="254">
        <f t="shared" si="393"/>
        <v>0</v>
      </c>
      <c r="AF529" s="1059"/>
      <c r="AG529" s="286"/>
      <c r="AH529" s="286"/>
      <c r="AI529" s="286"/>
      <c r="AJ529" s="286"/>
      <c r="AK529" s="286"/>
      <c r="AL529" s="286"/>
      <c r="AM529" s="286"/>
      <c r="AN529" s="398" t="s">
        <v>1822</v>
      </c>
      <c r="AQ529" s="215" t="s">
        <v>613</v>
      </c>
      <c r="AR529" s="215" t="s">
        <v>1194</v>
      </c>
      <c r="AS529" s="216"/>
      <c r="AT529" s="207" t="s">
        <v>307</v>
      </c>
      <c r="AU529" s="399" t="s">
        <v>614</v>
      </c>
      <c r="AV529" s="401" t="s">
        <v>1819</v>
      </c>
      <c r="AW529" s="1155"/>
      <c r="AY529" s="285">
        <f t="shared" si="394"/>
        <v>0</v>
      </c>
      <c r="AZ529" s="226"/>
      <c r="BA529" s="285"/>
    </row>
    <row r="530" spans="1:53" ht="63.75">
      <c r="A530" s="248">
        <v>7</v>
      </c>
      <c r="B530" s="1156" t="s">
        <v>1823</v>
      </c>
      <c r="C530" s="1156"/>
      <c r="D530" s="1156"/>
      <c r="E530" s="1156"/>
      <c r="F530" s="1156"/>
      <c r="G530" s="1060" t="s">
        <v>333</v>
      </c>
      <c r="H530" s="1157">
        <v>2019</v>
      </c>
      <c r="I530" s="1157"/>
      <c r="J530" s="1157">
        <v>2021</v>
      </c>
      <c r="K530" s="1157"/>
      <c r="L530" s="1157"/>
      <c r="M530" s="1158" t="s">
        <v>1824</v>
      </c>
      <c r="N530" s="1159">
        <v>4000</v>
      </c>
      <c r="O530" s="1159"/>
      <c r="P530" s="1151">
        <v>2400</v>
      </c>
      <c r="Q530" s="1151"/>
      <c r="R530" s="1151"/>
      <c r="S530" s="1151"/>
      <c r="T530" s="1151">
        <f>P530*0.5</f>
        <v>1200</v>
      </c>
      <c r="U530" s="1151"/>
      <c r="V530" s="1151"/>
      <c r="W530" s="1151"/>
      <c r="X530" s="1151"/>
      <c r="Y530" s="1151"/>
      <c r="Z530" s="1151"/>
      <c r="AA530" s="1151"/>
      <c r="AB530" s="1151"/>
      <c r="AC530" s="1151"/>
      <c r="AD530" s="254">
        <f>T530</f>
        <v>1200</v>
      </c>
      <c r="AE530" s="254">
        <f t="shared" si="393"/>
        <v>1200</v>
      </c>
      <c r="AF530" s="1059"/>
      <c r="AG530" s="286"/>
      <c r="AH530" s="286"/>
      <c r="AI530" s="286"/>
      <c r="AJ530" s="286"/>
      <c r="AK530" s="286"/>
      <c r="AL530" s="286">
        <f>AD530</f>
        <v>1200</v>
      </c>
      <c r="AM530" s="286">
        <f>AE530-AI530</f>
        <v>1200</v>
      </c>
      <c r="AN530" s="1060" t="s">
        <v>1825</v>
      </c>
      <c r="AQ530" s="215" t="s">
        <v>576</v>
      </c>
      <c r="AR530" s="215" t="s">
        <v>1450</v>
      </c>
      <c r="AS530" s="216"/>
      <c r="AT530" s="207" t="s">
        <v>307</v>
      </c>
      <c r="AU530" s="1117" t="s">
        <v>577</v>
      </c>
      <c r="AV530" s="1160" t="s">
        <v>1826</v>
      </c>
      <c r="AW530" s="1155"/>
      <c r="AY530" s="285">
        <f t="shared" si="394"/>
        <v>1000</v>
      </c>
      <c r="AZ530" s="226"/>
      <c r="BA530" s="285">
        <v>1000</v>
      </c>
    </row>
    <row r="531" spans="1:53" ht="13.5">
      <c r="A531" s="1144" t="s">
        <v>43</v>
      </c>
      <c r="B531" s="1145" t="s">
        <v>898</v>
      </c>
      <c r="C531" s="1145"/>
      <c r="D531" s="1145"/>
      <c r="E531" s="1145"/>
      <c r="F531" s="1145"/>
      <c r="G531" s="1146"/>
      <c r="H531" s="446"/>
      <c r="I531" s="446"/>
      <c r="J531" s="446"/>
      <c r="K531" s="446"/>
      <c r="L531" s="446"/>
      <c r="M531" s="1147"/>
      <c r="N531" s="1148">
        <f t="shared" ref="N531:AE531" si="395">SUBTOTAL(109,N532:N571)</f>
        <v>357194</v>
      </c>
      <c r="O531" s="1148">
        <f t="shared" si="395"/>
        <v>0</v>
      </c>
      <c r="P531" s="1148">
        <f t="shared" si="395"/>
        <v>215754</v>
      </c>
      <c r="Q531" s="1148">
        <f t="shared" si="395"/>
        <v>0</v>
      </c>
      <c r="R531" s="1148">
        <f t="shared" si="395"/>
        <v>0</v>
      </c>
      <c r="S531" s="1148">
        <f t="shared" si="395"/>
        <v>0</v>
      </c>
      <c r="T531" s="1148">
        <f t="shared" si="395"/>
        <v>103917</v>
      </c>
      <c r="U531" s="1148">
        <f t="shared" si="395"/>
        <v>0</v>
      </c>
      <c r="V531" s="1148">
        <f t="shared" si="395"/>
        <v>0</v>
      </c>
      <c r="W531" s="1148">
        <f t="shared" si="395"/>
        <v>0</v>
      </c>
      <c r="X531" s="1148">
        <f t="shared" si="395"/>
        <v>0</v>
      </c>
      <c r="Y531" s="1148">
        <f t="shared" si="395"/>
        <v>0</v>
      </c>
      <c r="Z531" s="1148">
        <f t="shared" si="395"/>
        <v>0</v>
      </c>
      <c r="AA531" s="1148">
        <f t="shared" si="395"/>
        <v>0</v>
      </c>
      <c r="AB531" s="1148">
        <f t="shared" si="395"/>
        <v>0</v>
      </c>
      <c r="AC531" s="1148">
        <f t="shared" si="395"/>
        <v>0</v>
      </c>
      <c r="AD531" s="1148">
        <f t="shared" si="395"/>
        <v>103917</v>
      </c>
      <c r="AE531" s="1148">
        <f t="shared" si="395"/>
        <v>103917</v>
      </c>
      <c r="AF531" s="1148">
        <f>SUBTOTAL(109,AF532:AF567)</f>
        <v>0</v>
      </c>
      <c r="AG531" s="295"/>
      <c r="AH531" s="295"/>
      <c r="AI531" s="295"/>
      <c r="AJ531" s="295"/>
      <c r="AK531" s="295"/>
      <c r="AL531" s="295"/>
      <c r="AM531" s="295"/>
      <c r="AN531" s="295"/>
      <c r="AQ531" s="215"/>
      <c r="AR531" s="215"/>
      <c r="AS531" s="216"/>
      <c r="AU531" s="449"/>
      <c r="AV531" s="1053"/>
      <c r="AW531" s="1149"/>
      <c r="AY531" s="226"/>
      <c r="AZ531" s="226"/>
      <c r="BA531" s="285"/>
    </row>
    <row r="532" spans="1:53" ht="51">
      <c r="A532" s="248">
        <v>1</v>
      </c>
      <c r="B532" s="630" t="s">
        <v>1827</v>
      </c>
      <c r="C532" s="630"/>
      <c r="D532" s="630"/>
      <c r="E532" s="630"/>
      <c r="F532" s="630"/>
      <c r="G532" s="403" t="s">
        <v>395</v>
      </c>
      <c r="H532" s="288">
        <v>2019</v>
      </c>
      <c r="I532" s="288"/>
      <c r="J532" s="288">
        <v>2021</v>
      </c>
      <c r="K532" s="288"/>
      <c r="L532" s="288"/>
      <c r="M532" s="781" t="s">
        <v>1828</v>
      </c>
      <c r="N532" s="289">
        <v>10000</v>
      </c>
      <c r="O532" s="289"/>
      <c r="P532" s="289">
        <v>6000</v>
      </c>
      <c r="Q532" s="289"/>
      <c r="R532" s="289"/>
      <c r="S532" s="289"/>
      <c r="T532" s="1151">
        <f t="shared" ref="T532:T540" si="396">P532*0.5</f>
        <v>3000</v>
      </c>
      <c r="U532" s="289"/>
      <c r="V532" s="289"/>
      <c r="W532" s="289"/>
      <c r="X532" s="289"/>
      <c r="Y532" s="289"/>
      <c r="Z532" s="289"/>
      <c r="AA532" s="289"/>
      <c r="AB532" s="289"/>
      <c r="AC532" s="289"/>
      <c r="AD532" s="254">
        <f t="shared" ref="AD532:AD540" si="397">T532</f>
        <v>3000</v>
      </c>
      <c r="AE532" s="254">
        <f t="shared" si="393"/>
        <v>3000</v>
      </c>
      <c r="AF532" s="1059"/>
      <c r="AG532" s="286"/>
      <c r="AH532" s="286"/>
      <c r="AI532" s="286"/>
      <c r="AJ532" s="286"/>
      <c r="AK532" s="286"/>
      <c r="AL532" s="286">
        <f t="shared" ref="AL532:AL540" si="398">AD532</f>
        <v>3000</v>
      </c>
      <c r="AM532" s="286">
        <f t="shared" ref="AM532:AM540" si="399">AE532-AI532</f>
        <v>3000</v>
      </c>
      <c r="AN532" s="403" t="s">
        <v>1805</v>
      </c>
      <c r="AQ532" s="215" t="s">
        <v>503</v>
      </c>
      <c r="AR532" s="215" t="s">
        <v>1450</v>
      </c>
      <c r="AS532" s="216"/>
      <c r="AT532" s="207" t="s">
        <v>307</v>
      </c>
      <c r="AU532" s="337" t="s">
        <v>793</v>
      </c>
      <c r="AV532" s="1053" t="s">
        <v>1578</v>
      </c>
      <c r="AW532" s="787" t="s">
        <v>1829</v>
      </c>
      <c r="AY532" s="285">
        <f t="shared" ref="AY532" si="400">AZ532+BA532</f>
        <v>2000</v>
      </c>
      <c r="AZ532" s="226"/>
      <c r="BA532" s="285">
        <v>2000</v>
      </c>
    </row>
    <row r="533" spans="1:53" ht="51">
      <c r="A533" s="248">
        <v>2</v>
      </c>
      <c r="B533" s="630" t="s">
        <v>1830</v>
      </c>
      <c r="C533" s="630"/>
      <c r="D533" s="630"/>
      <c r="E533" s="630"/>
      <c r="F533" s="630"/>
      <c r="G533" s="403" t="s">
        <v>395</v>
      </c>
      <c r="H533" s="288">
        <v>2019</v>
      </c>
      <c r="I533" s="288"/>
      <c r="J533" s="288">
        <v>2021</v>
      </c>
      <c r="K533" s="288"/>
      <c r="L533" s="288"/>
      <c r="M533" s="781" t="s">
        <v>2511</v>
      </c>
      <c r="N533" s="289">
        <v>14940</v>
      </c>
      <c r="O533" s="289"/>
      <c r="P533" s="289">
        <v>6642</v>
      </c>
      <c r="Q533" s="289"/>
      <c r="R533" s="289"/>
      <c r="S533" s="289"/>
      <c r="T533" s="1151">
        <f t="shared" si="396"/>
        <v>3321</v>
      </c>
      <c r="U533" s="289"/>
      <c r="V533" s="289"/>
      <c r="W533" s="289"/>
      <c r="X533" s="289"/>
      <c r="Y533" s="289"/>
      <c r="Z533" s="289"/>
      <c r="AA533" s="289"/>
      <c r="AB533" s="289"/>
      <c r="AC533" s="289"/>
      <c r="AD533" s="254">
        <f t="shared" si="397"/>
        <v>3321</v>
      </c>
      <c r="AE533" s="254">
        <f t="shared" si="393"/>
        <v>3321</v>
      </c>
      <c r="AF533" s="1059"/>
      <c r="AG533" s="286"/>
      <c r="AH533" s="286"/>
      <c r="AI533" s="286"/>
      <c r="AJ533" s="286"/>
      <c r="AK533" s="286"/>
      <c r="AL533" s="286">
        <f t="shared" si="398"/>
        <v>3321</v>
      </c>
      <c r="AM533" s="286">
        <f t="shared" si="399"/>
        <v>3321</v>
      </c>
      <c r="AN533" s="403" t="s">
        <v>1805</v>
      </c>
      <c r="AQ533" s="215" t="s">
        <v>943</v>
      </c>
      <c r="AR533" s="215" t="s">
        <v>1450</v>
      </c>
      <c r="AS533" s="216"/>
      <c r="AT533" s="207" t="s">
        <v>307</v>
      </c>
      <c r="AU533" s="337" t="s">
        <v>793</v>
      </c>
      <c r="AV533" s="1053" t="s">
        <v>1578</v>
      </c>
      <c r="AW533" s="787" t="s">
        <v>1831</v>
      </c>
      <c r="AY533" s="285">
        <f t="shared" ref="AY533" si="401">AZ533+BA533</f>
        <v>1200</v>
      </c>
      <c r="AZ533" s="226"/>
      <c r="BA533" s="285">
        <v>1200</v>
      </c>
    </row>
    <row r="534" spans="1:53" ht="51">
      <c r="A534" s="248">
        <v>3</v>
      </c>
      <c r="B534" s="1161" t="s">
        <v>2527</v>
      </c>
      <c r="C534" s="630"/>
      <c r="D534" s="630"/>
      <c r="E534" s="630"/>
      <c r="F534" s="630"/>
      <c r="G534" s="403" t="s">
        <v>378</v>
      </c>
      <c r="H534" s="288">
        <v>2019</v>
      </c>
      <c r="I534" s="288"/>
      <c r="J534" s="288">
        <v>2021</v>
      </c>
      <c r="K534" s="288"/>
      <c r="L534" s="288"/>
      <c r="M534" s="781" t="s">
        <v>1832</v>
      </c>
      <c r="N534" s="289">
        <v>8000</v>
      </c>
      <c r="O534" s="289"/>
      <c r="P534" s="289">
        <v>4800</v>
      </c>
      <c r="Q534" s="289"/>
      <c r="R534" s="289"/>
      <c r="S534" s="289"/>
      <c r="T534" s="1151">
        <f t="shared" si="396"/>
        <v>2400</v>
      </c>
      <c r="U534" s="289"/>
      <c r="V534" s="289"/>
      <c r="W534" s="289"/>
      <c r="X534" s="289"/>
      <c r="Y534" s="289"/>
      <c r="Z534" s="289"/>
      <c r="AA534" s="289"/>
      <c r="AB534" s="289"/>
      <c r="AC534" s="289"/>
      <c r="AD534" s="254">
        <f t="shared" si="397"/>
        <v>2400</v>
      </c>
      <c r="AE534" s="254">
        <f t="shared" si="393"/>
        <v>2400</v>
      </c>
      <c r="AF534" s="1059"/>
      <c r="AG534" s="286"/>
      <c r="AH534" s="286"/>
      <c r="AI534" s="286"/>
      <c r="AJ534" s="286"/>
      <c r="AK534" s="286"/>
      <c r="AL534" s="286">
        <f t="shared" si="398"/>
        <v>2400</v>
      </c>
      <c r="AM534" s="286">
        <f t="shared" si="399"/>
        <v>2400</v>
      </c>
      <c r="AN534" s="403" t="s">
        <v>1805</v>
      </c>
      <c r="AQ534" s="215" t="s">
        <v>1833</v>
      </c>
      <c r="AR534" s="215" t="s">
        <v>1194</v>
      </c>
      <c r="AS534" s="216"/>
      <c r="AT534" s="207" t="s">
        <v>307</v>
      </c>
      <c r="AU534" s="337" t="s">
        <v>999</v>
      </c>
      <c r="AV534" s="1053" t="s">
        <v>1578</v>
      </c>
      <c r="AW534" s="787" t="s">
        <v>1834</v>
      </c>
      <c r="AY534" s="285">
        <f t="shared" ref="AY534:AY535" si="402">AZ534+BA534</f>
        <v>1000</v>
      </c>
      <c r="AZ534" s="226"/>
      <c r="BA534" s="285">
        <v>1000</v>
      </c>
    </row>
    <row r="535" spans="1:53" ht="51">
      <c r="A535" s="248">
        <v>4</v>
      </c>
      <c r="B535" s="630" t="s">
        <v>2535</v>
      </c>
      <c r="C535" s="630"/>
      <c r="D535" s="630"/>
      <c r="E535" s="630"/>
      <c r="F535" s="630"/>
      <c r="G535" s="403" t="s">
        <v>378</v>
      </c>
      <c r="H535" s="288">
        <v>2019</v>
      </c>
      <c r="I535" s="288"/>
      <c r="J535" s="288">
        <v>2021</v>
      </c>
      <c r="K535" s="288"/>
      <c r="L535" s="288"/>
      <c r="M535" s="1162" t="s">
        <v>1835</v>
      </c>
      <c r="N535" s="289">
        <v>9500</v>
      </c>
      <c r="O535" s="289"/>
      <c r="P535" s="289">
        <v>5700</v>
      </c>
      <c r="Q535" s="289"/>
      <c r="R535" s="289"/>
      <c r="S535" s="289"/>
      <c r="T535" s="1151">
        <f t="shared" si="396"/>
        <v>2850</v>
      </c>
      <c r="U535" s="289"/>
      <c r="V535" s="289"/>
      <c r="W535" s="289"/>
      <c r="X535" s="289"/>
      <c r="Y535" s="289"/>
      <c r="Z535" s="289"/>
      <c r="AA535" s="289"/>
      <c r="AB535" s="289"/>
      <c r="AC535" s="289"/>
      <c r="AD535" s="254">
        <f t="shared" si="397"/>
        <v>2850</v>
      </c>
      <c r="AE535" s="254">
        <f t="shared" si="393"/>
        <v>2850</v>
      </c>
      <c r="AF535" s="1059"/>
      <c r="AG535" s="286"/>
      <c r="AH535" s="286"/>
      <c r="AI535" s="286"/>
      <c r="AJ535" s="286"/>
      <c r="AK535" s="286"/>
      <c r="AL535" s="286">
        <f t="shared" si="398"/>
        <v>2850</v>
      </c>
      <c r="AM535" s="286">
        <f t="shared" si="399"/>
        <v>2850</v>
      </c>
      <c r="AN535" s="403" t="s">
        <v>1805</v>
      </c>
      <c r="AQ535" s="215" t="s">
        <v>686</v>
      </c>
      <c r="AR535" s="215" t="s">
        <v>1450</v>
      </c>
      <c r="AS535" s="216" t="s">
        <v>496</v>
      </c>
      <c r="AT535" s="207" t="s">
        <v>307</v>
      </c>
      <c r="AU535" s="337" t="s">
        <v>1836</v>
      </c>
      <c r="AV535" s="1053" t="s">
        <v>1633</v>
      </c>
      <c r="AW535" s="787" t="s">
        <v>1837</v>
      </c>
      <c r="AY535" s="285">
        <f t="shared" si="402"/>
        <v>2500</v>
      </c>
      <c r="AZ535" s="226"/>
      <c r="BA535" s="285">
        <v>2500</v>
      </c>
    </row>
    <row r="536" spans="1:53" ht="51">
      <c r="A536" s="248">
        <v>6</v>
      </c>
      <c r="B536" s="1163" t="s">
        <v>1840</v>
      </c>
      <c r="C536" s="1163"/>
      <c r="D536" s="1163"/>
      <c r="E536" s="1163"/>
      <c r="F536" s="1163"/>
      <c r="G536" s="1139" t="s">
        <v>373</v>
      </c>
      <c r="H536" s="1164">
        <v>2019</v>
      </c>
      <c r="I536" s="1164"/>
      <c r="J536" s="1164">
        <v>2021</v>
      </c>
      <c r="K536" s="1164"/>
      <c r="L536" s="1164"/>
      <c r="M536" s="500" t="s">
        <v>1841</v>
      </c>
      <c r="N536" s="1165">
        <v>7000</v>
      </c>
      <c r="O536" s="1165"/>
      <c r="P536" s="1166">
        <v>4200</v>
      </c>
      <c r="Q536" s="1166"/>
      <c r="R536" s="1166"/>
      <c r="S536" s="1166"/>
      <c r="T536" s="1151">
        <f t="shared" si="396"/>
        <v>2100</v>
      </c>
      <c r="U536" s="1166"/>
      <c r="V536" s="1166"/>
      <c r="W536" s="1166"/>
      <c r="X536" s="1166"/>
      <c r="Y536" s="1166"/>
      <c r="Z536" s="1166"/>
      <c r="AA536" s="1166"/>
      <c r="AB536" s="1166"/>
      <c r="AC536" s="1166"/>
      <c r="AD536" s="254">
        <f t="shared" si="397"/>
        <v>2100</v>
      </c>
      <c r="AE536" s="254">
        <f t="shared" si="393"/>
        <v>2100</v>
      </c>
      <c r="AF536" s="1167"/>
      <c r="AG536" s="498"/>
      <c r="AH536" s="498"/>
      <c r="AI536" s="498"/>
      <c r="AJ536" s="498"/>
      <c r="AK536" s="498"/>
      <c r="AL536" s="286">
        <f t="shared" si="398"/>
        <v>2100</v>
      </c>
      <c r="AM536" s="286">
        <f t="shared" si="399"/>
        <v>2100</v>
      </c>
      <c r="AN536" s="631" t="s">
        <v>1842</v>
      </c>
      <c r="AQ536" s="215" t="s">
        <v>949</v>
      </c>
      <c r="AR536" s="215" t="s">
        <v>1450</v>
      </c>
      <c r="AS536" s="216" t="s">
        <v>496</v>
      </c>
      <c r="AT536" s="207" t="s">
        <v>307</v>
      </c>
      <c r="AU536" s="1168" t="s">
        <v>950</v>
      </c>
      <c r="AV536" s="1053" t="s">
        <v>960</v>
      </c>
      <c r="AW536" s="292" t="s">
        <v>1843</v>
      </c>
      <c r="AY536" s="285">
        <f t="shared" ref="AY536" si="403">AZ536+BA536</f>
        <v>2100</v>
      </c>
      <c r="AZ536" s="226"/>
      <c r="BA536" s="285">
        <v>2100</v>
      </c>
    </row>
    <row r="537" spans="1:53" ht="51">
      <c r="A537" s="248">
        <v>7</v>
      </c>
      <c r="B537" s="1163" t="s">
        <v>1844</v>
      </c>
      <c r="C537" s="1163"/>
      <c r="D537" s="1163"/>
      <c r="E537" s="1163"/>
      <c r="F537" s="1163"/>
      <c r="G537" s="1139" t="s">
        <v>373</v>
      </c>
      <c r="H537" s="1164">
        <v>2019</v>
      </c>
      <c r="I537" s="1164"/>
      <c r="J537" s="1164">
        <v>2021</v>
      </c>
      <c r="K537" s="1164"/>
      <c r="L537" s="1164"/>
      <c r="M537" s="1162" t="s">
        <v>1845</v>
      </c>
      <c r="N537" s="1165">
        <v>5000</v>
      </c>
      <c r="O537" s="1165"/>
      <c r="P537" s="1166">
        <v>3000</v>
      </c>
      <c r="Q537" s="1166"/>
      <c r="R537" s="1166"/>
      <c r="S537" s="1166"/>
      <c r="T537" s="1151">
        <f t="shared" si="396"/>
        <v>1500</v>
      </c>
      <c r="U537" s="1166"/>
      <c r="V537" s="1166"/>
      <c r="W537" s="1166"/>
      <c r="X537" s="1166"/>
      <c r="Y537" s="1166"/>
      <c r="Z537" s="1166"/>
      <c r="AA537" s="1166"/>
      <c r="AB537" s="1166"/>
      <c r="AC537" s="1166"/>
      <c r="AD537" s="254">
        <f t="shared" si="397"/>
        <v>1500</v>
      </c>
      <c r="AE537" s="254">
        <f t="shared" si="393"/>
        <v>1500</v>
      </c>
      <c r="AF537" s="1167"/>
      <c r="AG537" s="498"/>
      <c r="AH537" s="498"/>
      <c r="AI537" s="498"/>
      <c r="AJ537" s="498"/>
      <c r="AK537" s="498"/>
      <c r="AL537" s="286">
        <f t="shared" si="398"/>
        <v>1500</v>
      </c>
      <c r="AM537" s="286">
        <f t="shared" si="399"/>
        <v>1500</v>
      </c>
      <c r="AN537" s="1169" t="s">
        <v>1846</v>
      </c>
      <c r="AQ537" s="215" t="s">
        <v>718</v>
      </c>
      <c r="AR537" s="215" t="s">
        <v>1450</v>
      </c>
      <c r="AS537" s="216"/>
      <c r="AT537" s="207" t="s">
        <v>307</v>
      </c>
      <c r="AU537" s="1168" t="s">
        <v>719</v>
      </c>
      <c r="AV537" s="1053" t="s">
        <v>960</v>
      </c>
      <c r="AW537" s="292" t="s">
        <v>1847</v>
      </c>
      <c r="AY537" s="285">
        <f t="shared" ref="AY537:AY541" si="404">AZ537+BA537</f>
        <v>1500</v>
      </c>
      <c r="AZ537" s="226"/>
      <c r="BA537" s="285">
        <v>1500</v>
      </c>
    </row>
    <row r="538" spans="1:53" ht="51">
      <c r="A538" s="248">
        <v>8</v>
      </c>
      <c r="B538" s="1163" t="s">
        <v>2531</v>
      </c>
      <c r="C538" s="1163"/>
      <c r="D538" s="1163"/>
      <c r="E538" s="1163"/>
      <c r="F538" s="1163"/>
      <c r="G538" s="1139" t="s">
        <v>373</v>
      </c>
      <c r="H538" s="1164">
        <v>2019</v>
      </c>
      <c r="I538" s="1164"/>
      <c r="J538" s="1164">
        <v>2021</v>
      </c>
      <c r="K538" s="1164"/>
      <c r="L538" s="1164"/>
      <c r="M538" s="1162" t="s">
        <v>1848</v>
      </c>
      <c r="N538" s="1165">
        <v>6000</v>
      </c>
      <c r="O538" s="1165"/>
      <c r="P538" s="1166">
        <v>3600</v>
      </c>
      <c r="Q538" s="1166"/>
      <c r="R538" s="1166"/>
      <c r="S538" s="1166"/>
      <c r="T538" s="1151">
        <f t="shared" si="396"/>
        <v>1800</v>
      </c>
      <c r="U538" s="1166"/>
      <c r="V538" s="1166"/>
      <c r="W538" s="1166"/>
      <c r="X538" s="1166"/>
      <c r="Y538" s="1166"/>
      <c r="Z538" s="1166"/>
      <c r="AA538" s="1166"/>
      <c r="AB538" s="1166"/>
      <c r="AC538" s="1166"/>
      <c r="AD538" s="254">
        <f t="shared" si="397"/>
        <v>1800</v>
      </c>
      <c r="AE538" s="254">
        <f t="shared" si="393"/>
        <v>1800</v>
      </c>
      <c r="AF538" s="1167"/>
      <c r="AG538" s="498"/>
      <c r="AH538" s="498"/>
      <c r="AI538" s="498"/>
      <c r="AJ538" s="498"/>
      <c r="AK538" s="498"/>
      <c r="AL538" s="286">
        <f t="shared" si="398"/>
        <v>1800</v>
      </c>
      <c r="AM538" s="286">
        <f t="shared" si="399"/>
        <v>1800</v>
      </c>
      <c r="AN538" s="1169" t="s">
        <v>1849</v>
      </c>
      <c r="AQ538" s="215" t="s">
        <v>604</v>
      </c>
      <c r="AR538" s="215" t="s">
        <v>1450</v>
      </c>
      <c r="AS538" s="216" t="s">
        <v>496</v>
      </c>
      <c r="AT538" s="207" t="s">
        <v>307</v>
      </c>
      <c r="AU538" s="1168" t="s">
        <v>605</v>
      </c>
      <c r="AV538" s="1053" t="s">
        <v>945</v>
      </c>
      <c r="AW538" s="292" t="s">
        <v>1850</v>
      </c>
      <c r="AY538" s="285">
        <f t="shared" si="404"/>
        <v>338</v>
      </c>
      <c r="AZ538" s="226"/>
      <c r="BA538" s="285">
        <v>338</v>
      </c>
    </row>
    <row r="539" spans="1:53" ht="51">
      <c r="A539" s="248">
        <v>9</v>
      </c>
      <c r="B539" s="1163" t="s">
        <v>1851</v>
      </c>
      <c r="C539" s="1163"/>
      <c r="D539" s="1163"/>
      <c r="E539" s="1163"/>
      <c r="F539" s="1163"/>
      <c r="G539" s="1139" t="s">
        <v>378</v>
      </c>
      <c r="H539" s="1164">
        <v>2019</v>
      </c>
      <c r="I539" s="1164"/>
      <c r="J539" s="1164">
        <v>2021</v>
      </c>
      <c r="K539" s="1164"/>
      <c r="L539" s="1164"/>
      <c r="M539" s="1162" t="s">
        <v>1852</v>
      </c>
      <c r="N539" s="1165">
        <v>7000</v>
      </c>
      <c r="O539" s="1165"/>
      <c r="P539" s="1166">
        <v>4200</v>
      </c>
      <c r="Q539" s="1166"/>
      <c r="R539" s="1166"/>
      <c r="S539" s="1166"/>
      <c r="T539" s="1151">
        <f t="shared" si="396"/>
        <v>2100</v>
      </c>
      <c r="U539" s="1166"/>
      <c r="V539" s="1166"/>
      <c r="W539" s="1166"/>
      <c r="X539" s="1166"/>
      <c r="Y539" s="1166"/>
      <c r="Z539" s="1166"/>
      <c r="AA539" s="1166"/>
      <c r="AB539" s="1166"/>
      <c r="AC539" s="1166"/>
      <c r="AD539" s="254">
        <f t="shared" si="397"/>
        <v>2100</v>
      </c>
      <c r="AE539" s="254">
        <f t="shared" si="393"/>
        <v>2100</v>
      </c>
      <c r="AF539" s="1167"/>
      <c r="AG539" s="498"/>
      <c r="AH539" s="498"/>
      <c r="AI539" s="498"/>
      <c r="AJ539" s="498"/>
      <c r="AK539" s="498"/>
      <c r="AL539" s="286">
        <f t="shared" si="398"/>
        <v>2100</v>
      </c>
      <c r="AM539" s="286">
        <f t="shared" si="399"/>
        <v>2100</v>
      </c>
      <c r="AN539" s="1169" t="s">
        <v>1853</v>
      </c>
      <c r="AQ539" s="215" t="s">
        <v>1722</v>
      </c>
      <c r="AR539" s="215" t="s">
        <v>1450</v>
      </c>
      <c r="AS539" s="216"/>
      <c r="AT539" s="207" t="s">
        <v>307</v>
      </c>
      <c r="AU539" s="1168" t="s">
        <v>1854</v>
      </c>
      <c r="AV539" s="1053" t="s">
        <v>960</v>
      </c>
      <c r="AW539" s="292" t="s">
        <v>1855</v>
      </c>
      <c r="AY539" s="285">
        <f t="shared" si="404"/>
        <v>2100</v>
      </c>
      <c r="AZ539" s="226"/>
      <c r="BA539" s="285">
        <v>2100</v>
      </c>
    </row>
    <row r="540" spans="1:53" ht="51">
      <c r="A540" s="248">
        <v>10</v>
      </c>
      <c r="B540" s="1163" t="s">
        <v>1856</v>
      </c>
      <c r="C540" s="1163"/>
      <c r="D540" s="1163"/>
      <c r="E540" s="1163"/>
      <c r="F540" s="1163"/>
      <c r="G540" s="1139" t="s">
        <v>1292</v>
      </c>
      <c r="H540" s="1164">
        <v>2019</v>
      </c>
      <c r="I540" s="1164"/>
      <c r="J540" s="1164">
        <v>2021</v>
      </c>
      <c r="K540" s="1164"/>
      <c r="L540" s="1164"/>
      <c r="M540" s="1162" t="s">
        <v>1857</v>
      </c>
      <c r="N540" s="1165">
        <v>9000</v>
      </c>
      <c r="O540" s="1165"/>
      <c r="P540" s="1166">
        <v>5400</v>
      </c>
      <c r="Q540" s="1166"/>
      <c r="R540" s="1166"/>
      <c r="S540" s="1166"/>
      <c r="T540" s="1151">
        <f t="shared" si="396"/>
        <v>2700</v>
      </c>
      <c r="U540" s="1166"/>
      <c r="V540" s="1166"/>
      <c r="W540" s="1166"/>
      <c r="X540" s="1166"/>
      <c r="Y540" s="1166"/>
      <c r="Z540" s="1166"/>
      <c r="AA540" s="1166"/>
      <c r="AB540" s="1166"/>
      <c r="AC540" s="1166"/>
      <c r="AD540" s="254">
        <f t="shared" si="397"/>
        <v>2700</v>
      </c>
      <c r="AE540" s="254">
        <f t="shared" si="393"/>
        <v>2700</v>
      </c>
      <c r="AF540" s="1167"/>
      <c r="AG540" s="498"/>
      <c r="AH540" s="498"/>
      <c r="AI540" s="498"/>
      <c r="AJ540" s="498"/>
      <c r="AK540" s="498"/>
      <c r="AL540" s="286">
        <f t="shared" si="398"/>
        <v>2700</v>
      </c>
      <c r="AM540" s="286">
        <f t="shared" si="399"/>
        <v>2700</v>
      </c>
      <c r="AN540" s="1169" t="s">
        <v>1858</v>
      </c>
      <c r="AQ540" s="215" t="s">
        <v>1025</v>
      </c>
      <c r="AR540" s="215" t="s">
        <v>1450</v>
      </c>
      <c r="AS540" s="216"/>
      <c r="AT540" s="207" t="s">
        <v>307</v>
      </c>
      <c r="AU540" s="1168" t="s">
        <v>1859</v>
      </c>
      <c r="AV540" s="1053" t="s">
        <v>960</v>
      </c>
      <c r="AW540" s="292" t="s">
        <v>1860</v>
      </c>
      <c r="AY540" s="285">
        <f t="shared" si="404"/>
        <v>3000</v>
      </c>
      <c r="AZ540" s="226"/>
      <c r="BA540" s="285">
        <v>3000</v>
      </c>
    </row>
    <row r="541" spans="1:53" ht="25.5">
      <c r="A541" s="237">
        <v>11</v>
      </c>
      <c r="B541" s="1170" t="s">
        <v>1861</v>
      </c>
      <c r="C541" s="1170"/>
      <c r="D541" s="1170"/>
      <c r="E541" s="1170"/>
      <c r="F541" s="1170"/>
      <c r="G541" s="1171" t="s">
        <v>333</v>
      </c>
      <c r="H541" s="1172">
        <v>2019</v>
      </c>
      <c r="I541" s="1172"/>
      <c r="J541" s="1172">
        <v>2021</v>
      </c>
      <c r="K541" s="1172"/>
      <c r="L541" s="1172"/>
      <c r="M541" s="1173"/>
      <c r="N541" s="1174">
        <v>7200</v>
      </c>
      <c r="O541" s="1174"/>
      <c r="P541" s="1175">
        <f t="shared" ref="P541" si="405">N541*0.6</f>
        <v>4320</v>
      </c>
      <c r="Q541" s="1175"/>
      <c r="R541" s="1175"/>
      <c r="S541" s="1175"/>
      <c r="T541" s="1175"/>
      <c r="U541" s="1175"/>
      <c r="V541" s="1175"/>
      <c r="W541" s="1175"/>
      <c r="X541" s="1175"/>
      <c r="Y541" s="1175"/>
      <c r="Z541" s="1175"/>
      <c r="AA541" s="1175"/>
      <c r="AB541" s="1175"/>
      <c r="AC541" s="1175"/>
      <c r="AD541" s="254">
        <f>P541*0</f>
        <v>0</v>
      </c>
      <c r="AE541" s="254">
        <f t="shared" si="393"/>
        <v>0</v>
      </c>
      <c r="AF541" s="1167"/>
      <c r="AG541" s="498"/>
      <c r="AH541" s="498"/>
      <c r="AI541" s="498"/>
      <c r="AJ541" s="498"/>
      <c r="AK541" s="498"/>
      <c r="AL541" s="498"/>
      <c r="AM541" s="498"/>
      <c r="AN541" s="1176" t="s">
        <v>1862</v>
      </c>
      <c r="AQ541" s="215" t="s">
        <v>1052</v>
      </c>
      <c r="AR541" s="215" t="s">
        <v>1450</v>
      </c>
      <c r="AS541" s="216"/>
      <c r="AU541" s="1177" t="s">
        <v>1750</v>
      </c>
      <c r="AV541" s="1053" t="s">
        <v>1633</v>
      </c>
      <c r="AW541" s="292"/>
      <c r="AY541" s="285">
        <f t="shared" si="404"/>
        <v>0</v>
      </c>
      <c r="AZ541" s="226"/>
      <c r="BA541" s="285"/>
    </row>
    <row r="542" spans="1:53" ht="25.5">
      <c r="A542" s="248">
        <v>12</v>
      </c>
      <c r="B542" s="1105" t="s">
        <v>1863</v>
      </c>
      <c r="C542" s="1105"/>
      <c r="D542" s="1105"/>
      <c r="E542" s="1105"/>
      <c r="F542" s="1105"/>
      <c r="G542" s="1060" t="s">
        <v>341</v>
      </c>
      <c r="H542" s="1106">
        <v>2019</v>
      </c>
      <c r="I542" s="1106"/>
      <c r="J542" s="1106">
        <v>2021</v>
      </c>
      <c r="K542" s="1106"/>
      <c r="L542" s="1106"/>
      <c r="M542" s="1178" t="s">
        <v>1864</v>
      </c>
      <c r="N542" s="1107">
        <v>20000</v>
      </c>
      <c r="O542" s="1107"/>
      <c r="P542" s="1116">
        <v>12000</v>
      </c>
      <c r="Q542" s="1116"/>
      <c r="R542" s="1116"/>
      <c r="S542" s="1116"/>
      <c r="T542" s="1151">
        <f t="shared" ref="T542:T552" si="406">P542*0.5</f>
        <v>6000</v>
      </c>
      <c r="U542" s="1116"/>
      <c r="V542" s="1116"/>
      <c r="W542" s="1116"/>
      <c r="X542" s="1116"/>
      <c r="Y542" s="1116"/>
      <c r="Z542" s="1116"/>
      <c r="AA542" s="1116"/>
      <c r="AB542" s="1116"/>
      <c r="AC542" s="1116"/>
      <c r="AD542" s="254">
        <f t="shared" ref="AD542:AD554" si="407">T542</f>
        <v>6000</v>
      </c>
      <c r="AE542" s="254">
        <f t="shared" si="393"/>
        <v>6000</v>
      </c>
      <c r="AF542" s="1114"/>
      <c r="AG542" s="286"/>
      <c r="AH542" s="498"/>
      <c r="AI542" s="498"/>
      <c r="AJ542" s="498"/>
      <c r="AK542" s="498"/>
      <c r="AL542" s="286">
        <f t="shared" ref="AL542:AL552" si="408">AD542</f>
        <v>6000</v>
      </c>
      <c r="AM542" s="286">
        <f t="shared" ref="AM542:AM550" si="409">AE542-AI542</f>
        <v>6000</v>
      </c>
      <c r="AN542" s="1176" t="s">
        <v>1865</v>
      </c>
      <c r="AQ542" s="215" t="s">
        <v>1034</v>
      </c>
      <c r="AR542" s="215" t="s">
        <v>1450</v>
      </c>
      <c r="AS542" s="216"/>
      <c r="AT542" s="207" t="s">
        <v>307</v>
      </c>
      <c r="AU542" s="582" t="s">
        <v>631</v>
      </c>
      <c r="AV542" s="1053" t="s">
        <v>1680</v>
      </c>
      <c r="AW542" s="775"/>
      <c r="AY542" s="285">
        <f>AZ542+BA542</f>
        <v>0</v>
      </c>
      <c r="AZ542" s="226"/>
      <c r="BA542" s="285"/>
    </row>
    <row r="543" spans="1:53" ht="51">
      <c r="A543" s="237">
        <v>13</v>
      </c>
      <c r="B543" s="1105" t="s">
        <v>1866</v>
      </c>
      <c r="C543" s="1105"/>
      <c r="D543" s="1105"/>
      <c r="E543" s="1105"/>
      <c r="F543" s="1105"/>
      <c r="G543" s="1060" t="s">
        <v>435</v>
      </c>
      <c r="H543" s="1106">
        <v>2019</v>
      </c>
      <c r="I543" s="1106"/>
      <c r="J543" s="1106">
        <v>2021</v>
      </c>
      <c r="K543" s="1106"/>
      <c r="L543" s="1106"/>
      <c r="M543" s="1162" t="s">
        <v>1867</v>
      </c>
      <c r="N543" s="1107">
        <v>5000</v>
      </c>
      <c r="O543" s="1107"/>
      <c r="P543" s="1116">
        <v>3000</v>
      </c>
      <c r="Q543" s="1116"/>
      <c r="R543" s="1116"/>
      <c r="S543" s="1116"/>
      <c r="T543" s="1116">
        <f t="shared" si="406"/>
        <v>1500</v>
      </c>
      <c r="U543" s="1116"/>
      <c r="V543" s="1116"/>
      <c r="W543" s="1116"/>
      <c r="X543" s="1116"/>
      <c r="Y543" s="1116"/>
      <c r="Z543" s="1116"/>
      <c r="AA543" s="1116"/>
      <c r="AB543" s="1116"/>
      <c r="AC543" s="1116"/>
      <c r="AD543" s="254">
        <f t="shared" si="407"/>
        <v>1500</v>
      </c>
      <c r="AE543" s="254">
        <f t="shared" si="393"/>
        <v>1500</v>
      </c>
      <c r="AF543" s="1114"/>
      <c r="AG543" s="286"/>
      <c r="AH543" s="498"/>
      <c r="AI543" s="498"/>
      <c r="AJ543" s="498"/>
      <c r="AK543" s="498"/>
      <c r="AL543" s="498">
        <f t="shared" si="408"/>
        <v>1500</v>
      </c>
      <c r="AM543" s="498">
        <f t="shared" si="409"/>
        <v>1500</v>
      </c>
      <c r="AN543" s="1176" t="s">
        <v>1868</v>
      </c>
      <c r="AQ543" s="215" t="s">
        <v>613</v>
      </c>
      <c r="AR543" s="215" t="s">
        <v>1450</v>
      </c>
      <c r="AS543" s="216"/>
      <c r="AT543" s="207" t="s">
        <v>307</v>
      </c>
      <c r="AU543" s="399" t="s">
        <v>614</v>
      </c>
      <c r="AV543" s="1179" t="s">
        <v>960</v>
      </c>
      <c r="AW543" s="787" t="s">
        <v>1869</v>
      </c>
      <c r="AY543" s="285">
        <f t="shared" ref="AY543:AY545" si="410">AZ543+BA543</f>
        <v>1600</v>
      </c>
      <c r="AZ543" s="226"/>
      <c r="BA543" s="285">
        <v>1600</v>
      </c>
    </row>
    <row r="544" spans="1:53" ht="51">
      <c r="A544" s="248">
        <v>14</v>
      </c>
      <c r="B544" s="1105" t="s">
        <v>1870</v>
      </c>
      <c r="C544" s="1105"/>
      <c r="D544" s="1105"/>
      <c r="E544" s="1105"/>
      <c r="F544" s="1105"/>
      <c r="G544" s="1060" t="s">
        <v>435</v>
      </c>
      <c r="H544" s="1106">
        <v>2019</v>
      </c>
      <c r="I544" s="1106"/>
      <c r="J544" s="1106">
        <v>2021</v>
      </c>
      <c r="K544" s="1106"/>
      <c r="L544" s="1106"/>
      <c r="M544" s="1162" t="s">
        <v>1871</v>
      </c>
      <c r="N544" s="1107">
        <v>8000</v>
      </c>
      <c r="O544" s="1107"/>
      <c r="P544" s="1116">
        <v>4800</v>
      </c>
      <c r="Q544" s="1116"/>
      <c r="R544" s="1116"/>
      <c r="S544" s="1116"/>
      <c r="T544" s="1116">
        <f t="shared" si="406"/>
        <v>2400</v>
      </c>
      <c r="U544" s="1116"/>
      <c r="V544" s="1116"/>
      <c r="W544" s="1116"/>
      <c r="X544" s="1116"/>
      <c r="Y544" s="1116"/>
      <c r="Z544" s="1116"/>
      <c r="AA544" s="1116"/>
      <c r="AB544" s="1116"/>
      <c r="AC544" s="1116"/>
      <c r="AD544" s="254">
        <f t="shared" si="407"/>
        <v>2400</v>
      </c>
      <c r="AE544" s="254">
        <f t="shared" si="393"/>
        <v>2400</v>
      </c>
      <c r="AF544" s="1114"/>
      <c r="AG544" s="286"/>
      <c r="AH544" s="498"/>
      <c r="AI544" s="498"/>
      <c r="AJ544" s="498"/>
      <c r="AK544" s="498"/>
      <c r="AL544" s="498">
        <f t="shared" si="408"/>
        <v>2400</v>
      </c>
      <c r="AM544" s="498">
        <f t="shared" si="409"/>
        <v>2400</v>
      </c>
      <c r="AN544" s="1176" t="s">
        <v>1872</v>
      </c>
      <c r="AQ544" s="215" t="s">
        <v>1555</v>
      </c>
      <c r="AR544" s="215" t="s">
        <v>1450</v>
      </c>
      <c r="AS544" s="216"/>
      <c r="AT544" s="207" t="s">
        <v>307</v>
      </c>
      <c r="AU544" s="399" t="s">
        <v>1307</v>
      </c>
      <c r="AV544" s="1053" t="s">
        <v>945</v>
      </c>
      <c r="AW544" s="787" t="s">
        <v>1873</v>
      </c>
      <c r="AY544" s="285">
        <f t="shared" si="410"/>
        <v>1000</v>
      </c>
      <c r="AZ544" s="226"/>
      <c r="BA544" s="285">
        <v>1000</v>
      </c>
    </row>
    <row r="545" spans="1:53" ht="51">
      <c r="A545" s="237">
        <v>15</v>
      </c>
      <c r="B545" s="1105" t="s">
        <v>1874</v>
      </c>
      <c r="C545" s="1105"/>
      <c r="D545" s="1105"/>
      <c r="E545" s="1105"/>
      <c r="F545" s="1105"/>
      <c r="G545" s="1060" t="s">
        <v>435</v>
      </c>
      <c r="H545" s="1106">
        <v>2019</v>
      </c>
      <c r="I545" s="1106"/>
      <c r="J545" s="1106">
        <v>2021</v>
      </c>
      <c r="K545" s="1106"/>
      <c r="L545" s="1106"/>
      <c r="M545" s="1162" t="s">
        <v>1875</v>
      </c>
      <c r="N545" s="1107">
        <v>7954</v>
      </c>
      <c r="O545" s="1107"/>
      <c r="P545" s="1116">
        <v>4772</v>
      </c>
      <c r="Q545" s="1116"/>
      <c r="R545" s="1116"/>
      <c r="S545" s="1116"/>
      <c r="T545" s="1116">
        <f t="shared" si="406"/>
        <v>2386</v>
      </c>
      <c r="U545" s="1116"/>
      <c r="V545" s="1116"/>
      <c r="W545" s="1116"/>
      <c r="X545" s="1116"/>
      <c r="Y545" s="1116"/>
      <c r="Z545" s="1116"/>
      <c r="AA545" s="1116"/>
      <c r="AB545" s="1116"/>
      <c r="AC545" s="1116"/>
      <c r="AD545" s="254">
        <f t="shared" si="407"/>
        <v>2386</v>
      </c>
      <c r="AE545" s="254">
        <f t="shared" si="393"/>
        <v>2386</v>
      </c>
      <c r="AF545" s="1114"/>
      <c r="AG545" s="286"/>
      <c r="AH545" s="498"/>
      <c r="AI545" s="498"/>
      <c r="AJ545" s="498"/>
      <c r="AK545" s="498"/>
      <c r="AL545" s="498">
        <f t="shared" si="408"/>
        <v>2386</v>
      </c>
      <c r="AM545" s="498">
        <f t="shared" si="409"/>
        <v>2386</v>
      </c>
      <c r="AN545" s="1176" t="s">
        <v>1872</v>
      </c>
      <c r="AQ545" s="215" t="s">
        <v>495</v>
      </c>
      <c r="AR545" s="215" t="s">
        <v>1169</v>
      </c>
      <c r="AS545" s="216" t="s">
        <v>496</v>
      </c>
      <c r="AT545" s="207" t="s">
        <v>307</v>
      </c>
      <c r="AU545" s="399" t="s">
        <v>1307</v>
      </c>
      <c r="AV545" s="1053" t="s">
        <v>945</v>
      </c>
      <c r="AW545" s="787" t="s">
        <v>1876</v>
      </c>
      <c r="AY545" s="285">
        <f t="shared" si="410"/>
        <v>2400</v>
      </c>
      <c r="AZ545" s="226"/>
      <c r="BA545" s="285">
        <v>2400</v>
      </c>
    </row>
    <row r="546" spans="1:53" ht="51">
      <c r="A546" s="248">
        <v>16</v>
      </c>
      <c r="B546" s="1105" t="s">
        <v>1877</v>
      </c>
      <c r="C546" s="1105"/>
      <c r="D546" s="1105"/>
      <c r="E546" s="1105"/>
      <c r="F546" s="1105"/>
      <c r="G546" s="1060" t="s">
        <v>435</v>
      </c>
      <c r="H546" s="1106">
        <v>2019</v>
      </c>
      <c r="I546" s="1106"/>
      <c r="J546" s="1106">
        <v>2021</v>
      </c>
      <c r="K546" s="1106"/>
      <c r="L546" s="1106"/>
      <c r="M546" s="1061" t="s">
        <v>1878</v>
      </c>
      <c r="N546" s="1107">
        <v>3000</v>
      </c>
      <c r="O546" s="1107"/>
      <c r="P546" s="1116">
        <v>1800</v>
      </c>
      <c r="Q546" s="1116"/>
      <c r="R546" s="1116"/>
      <c r="S546" s="1116"/>
      <c r="T546" s="1116">
        <f t="shared" si="406"/>
        <v>900</v>
      </c>
      <c r="U546" s="1116"/>
      <c r="V546" s="1116"/>
      <c r="W546" s="1116"/>
      <c r="X546" s="1116"/>
      <c r="Y546" s="1116"/>
      <c r="Z546" s="1116"/>
      <c r="AA546" s="1116"/>
      <c r="AB546" s="1116"/>
      <c r="AC546" s="1116"/>
      <c r="AD546" s="254">
        <f t="shared" si="407"/>
        <v>900</v>
      </c>
      <c r="AE546" s="254">
        <f t="shared" si="393"/>
        <v>900</v>
      </c>
      <c r="AF546" s="1114"/>
      <c r="AG546" s="286"/>
      <c r="AH546" s="498"/>
      <c r="AI546" s="498"/>
      <c r="AJ546" s="498"/>
      <c r="AK546" s="498"/>
      <c r="AL546" s="498">
        <f t="shared" si="408"/>
        <v>900</v>
      </c>
      <c r="AM546" s="498">
        <f t="shared" si="409"/>
        <v>900</v>
      </c>
      <c r="AN546" s="1176" t="s">
        <v>1879</v>
      </c>
      <c r="AQ546" s="215" t="s">
        <v>993</v>
      </c>
      <c r="AR546" s="215" t="s">
        <v>1450</v>
      </c>
      <c r="AS546" s="216" t="s">
        <v>496</v>
      </c>
      <c r="AT546" s="207" t="s">
        <v>307</v>
      </c>
      <c r="AU546" s="399" t="s">
        <v>994</v>
      </c>
      <c r="AV546" s="1053" t="s">
        <v>945</v>
      </c>
      <c r="AW546" s="787" t="s">
        <v>1880</v>
      </c>
      <c r="AY546" s="285">
        <f>AZ546+BA546</f>
        <v>900</v>
      </c>
      <c r="AZ546" s="226"/>
      <c r="BA546" s="285">
        <v>900</v>
      </c>
    </row>
    <row r="547" spans="1:53" ht="51">
      <c r="A547" s="237">
        <v>17</v>
      </c>
      <c r="B547" s="1105" t="s">
        <v>1881</v>
      </c>
      <c r="C547" s="1105"/>
      <c r="D547" s="1105"/>
      <c r="E547" s="1105"/>
      <c r="F547" s="1105"/>
      <c r="G547" s="1060" t="s">
        <v>435</v>
      </c>
      <c r="H547" s="1106">
        <v>2019</v>
      </c>
      <c r="I547" s="1106"/>
      <c r="J547" s="1106">
        <v>2021</v>
      </c>
      <c r="K547" s="1106"/>
      <c r="L547" s="1106"/>
      <c r="M547" s="1061" t="s">
        <v>1882</v>
      </c>
      <c r="N547" s="1107">
        <v>12000</v>
      </c>
      <c r="O547" s="1107"/>
      <c r="P547" s="1116">
        <v>7200</v>
      </c>
      <c r="Q547" s="1116"/>
      <c r="R547" s="1116"/>
      <c r="S547" s="1116"/>
      <c r="T547" s="1116">
        <f t="shared" si="406"/>
        <v>3600</v>
      </c>
      <c r="U547" s="1116"/>
      <c r="V547" s="1116"/>
      <c r="W547" s="1116"/>
      <c r="X547" s="1116"/>
      <c r="Y547" s="1116"/>
      <c r="Z547" s="1116"/>
      <c r="AA547" s="1116"/>
      <c r="AB547" s="1116"/>
      <c r="AC547" s="1116"/>
      <c r="AD547" s="254">
        <f t="shared" si="407"/>
        <v>3600</v>
      </c>
      <c r="AE547" s="254">
        <f t="shared" si="393"/>
        <v>3600</v>
      </c>
      <c r="AF547" s="1114"/>
      <c r="AG547" s="286"/>
      <c r="AH547" s="498"/>
      <c r="AI547" s="498"/>
      <c r="AJ547" s="498"/>
      <c r="AK547" s="498"/>
      <c r="AL547" s="498">
        <f t="shared" si="408"/>
        <v>3600</v>
      </c>
      <c r="AM547" s="498">
        <f t="shared" si="409"/>
        <v>3600</v>
      </c>
      <c r="AN547" s="1176" t="s">
        <v>1883</v>
      </c>
      <c r="AQ547" s="215" t="s">
        <v>691</v>
      </c>
      <c r="AR547" s="215" t="s">
        <v>1450</v>
      </c>
      <c r="AS547" s="216" t="s">
        <v>496</v>
      </c>
      <c r="AT547" s="207" t="s">
        <v>307</v>
      </c>
      <c r="AU547" s="399" t="s">
        <v>692</v>
      </c>
      <c r="AV547" s="1179" t="s">
        <v>960</v>
      </c>
      <c r="AW547" s="787" t="s">
        <v>1884</v>
      </c>
      <c r="AY547" s="285">
        <f t="shared" ref="AY547:AY549" si="411">AZ547+BA547</f>
        <v>3600</v>
      </c>
      <c r="AZ547" s="226"/>
      <c r="BA547" s="285">
        <v>3600</v>
      </c>
    </row>
    <row r="548" spans="1:53" ht="38.25">
      <c r="A548" s="248">
        <v>18</v>
      </c>
      <c r="B548" s="1105" t="s">
        <v>1885</v>
      </c>
      <c r="C548" s="1105"/>
      <c r="D548" s="1105"/>
      <c r="E548" s="1105"/>
      <c r="F548" s="1105"/>
      <c r="G548" s="1060" t="s">
        <v>435</v>
      </c>
      <c r="H548" s="1106">
        <v>2019</v>
      </c>
      <c r="I548" s="1106"/>
      <c r="J548" s="1106">
        <v>2021</v>
      </c>
      <c r="K548" s="1106"/>
      <c r="L548" s="1106"/>
      <c r="M548" s="1061" t="s">
        <v>1886</v>
      </c>
      <c r="N548" s="1107">
        <v>7500</v>
      </c>
      <c r="O548" s="1107"/>
      <c r="P548" s="1116">
        <v>4500</v>
      </c>
      <c r="Q548" s="1116"/>
      <c r="R548" s="1116"/>
      <c r="S548" s="1116"/>
      <c r="T548" s="1116">
        <f t="shared" si="406"/>
        <v>2250</v>
      </c>
      <c r="U548" s="1116"/>
      <c r="V548" s="1116"/>
      <c r="W548" s="1116"/>
      <c r="X548" s="1116"/>
      <c r="Y548" s="1116"/>
      <c r="Z548" s="1116"/>
      <c r="AA548" s="1116"/>
      <c r="AB548" s="1116"/>
      <c r="AC548" s="1116"/>
      <c r="AD548" s="254">
        <f t="shared" si="407"/>
        <v>2250</v>
      </c>
      <c r="AE548" s="254">
        <f t="shared" si="393"/>
        <v>2250</v>
      </c>
      <c r="AF548" s="1114"/>
      <c r="AG548" s="286"/>
      <c r="AH548" s="498"/>
      <c r="AI548" s="498"/>
      <c r="AJ548" s="498"/>
      <c r="AK548" s="498"/>
      <c r="AL548" s="498">
        <f t="shared" si="408"/>
        <v>2250</v>
      </c>
      <c r="AM548" s="498">
        <f t="shared" si="409"/>
        <v>2250</v>
      </c>
      <c r="AN548" s="1176" t="s">
        <v>1865</v>
      </c>
      <c r="AQ548" s="215" t="s">
        <v>754</v>
      </c>
      <c r="AR548" s="215" t="s">
        <v>1450</v>
      </c>
      <c r="AS548" s="216" t="s">
        <v>572</v>
      </c>
      <c r="AT548" s="207" t="s">
        <v>307</v>
      </c>
      <c r="AU548" s="399" t="s">
        <v>1307</v>
      </c>
      <c r="AV548" s="1180" t="s">
        <v>1887</v>
      </c>
      <c r="AW548" s="775"/>
      <c r="AY548" s="285">
        <f t="shared" si="411"/>
        <v>2250</v>
      </c>
      <c r="AZ548" s="226"/>
      <c r="BA548" s="285">
        <v>2250</v>
      </c>
    </row>
    <row r="549" spans="1:53" ht="51">
      <c r="A549" s="237">
        <v>19</v>
      </c>
      <c r="B549" s="1105" t="s">
        <v>1888</v>
      </c>
      <c r="C549" s="1105"/>
      <c r="D549" s="1105"/>
      <c r="E549" s="1105"/>
      <c r="F549" s="1105"/>
      <c r="G549" s="1060" t="s">
        <v>382</v>
      </c>
      <c r="H549" s="1106">
        <v>2019</v>
      </c>
      <c r="I549" s="1106"/>
      <c r="J549" s="1106">
        <v>2021</v>
      </c>
      <c r="K549" s="1106"/>
      <c r="L549" s="1106"/>
      <c r="M549" s="1061" t="s">
        <v>1889</v>
      </c>
      <c r="N549" s="1107">
        <v>11200</v>
      </c>
      <c r="O549" s="1107"/>
      <c r="P549" s="1116">
        <v>6720</v>
      </c>
      <c r="Q549" s="1116"/>
      <c r="R549" s="1116"/>
      <c r="S549" s="1116"/>
      <c r="T549" s="1116">
        <f t="shared" si="406"/>
        <v>3360</v>
      </c>
      <c r="U549" s="1116"/>
      <c r="V549" s="1116"/>
      <c r="W549" s="1116"/>
      <c r="X549" s="1116"/>
      <c r="Y549" s="1116"/>
      <c r="Z549" s="1116"/>
      <c r="AA549" s="1116"/>
      <c r="AB549" s="1116"/>
      <c r="AC549" s="1116"/>
      <c r="AD549" s="254">
        <f t="shared" si="407"/>
        <v>3360</v>
      </c>
      <c r="AE549" s="254">
        <f t="shared" si="393"/>
        <v>3360</v>
      </c>
      <c r="AF549" s="1114"/>
      <c r="AG549" s="286"/>
      <c r="AH549" s="498"/>
      <c r="AI549" s="498"/>
      <c r="AJ549" s="498"/>
      <c r="AK549" s="498"/>
      <c r="AL549" s="498">
        <f t="shared" si="408"/>
        <v>3360</v>
      </c>
      <c r="AM549" s="498">
        <f t="shared" si="409"/>
        <v>3360</v>
      </c>
      <c r="AN549" s="1176" t="s">
        <v>1890</v>
      </c>
      <c r="AQ549" s="215" t="s">
        <v>767</v>
      </c>
      <c r="AR549" s="215" t="s">
        <v>1450</v>
      </c>
      <c r="AS549" s="216"/>
      <c r="AT549" s="207" t="s">
        <v>307</v>
      </c>
      <c r="AU549" s="399" t="s">
        <v>768</v>
      </c>
      <c r="AV549" s="1132" t="s">
        <v>1891</v>
      </c>
      <c r="AW549" s="787" t="s">
        <v>1892</v>
      </c>
      <c r="AY549" s="285">
        <f t="shared" si="411"/>
        <v>2740</v>
      </c>
      <c r="AZ549" s="226"/>
      <c r="BA549" s="285">
        <v>2740</v>
      </c>
    </row>
    <row r="550" spans="1:53" ht="51">
      <c r="A550" s="248">
        <v>20</v>
      </c>
      <c r="B550" s="1105" t="s">
        <v>1893</v>
      </c>
      <c r="C550" s="1105"/>
      <c r="D550" s="1105"/>
      <c r="E550" s="1105"/>
      <c r="F550" s="1105"/>
      <c r="G550" s="1060" t="s">
        <v>382</v>
      </c>
      <c r="H550" s="1106">
        <v>2019</v>
      </c>
      <c r="I550" s="1106"/>
      <c r="J550" s="1106">
        <v>2021</v>
      </c>
      <c r="K550" s="1106"/>
      <c r="L550" s="1106"/>
      <c r="M550" s="1061" t="s">
        <v>1894</v>
      </c>
      <c r="N550" s="1107">
        <v>3000</v>
      </c>
      <c r="O550" s="1107"/>
      <c r="P550" s="1116">
        <v>1800</v>
      </c>
      <c r="Q550" s="1116"/>
      <c r="R550" s="1116"/>
      <c r="S550" s="1116"/>
      <c r="T550" s="1116">
        <f t="shared" si="406"/>
        <v>900</v>
      </c>
      <c r="U550" s="1116"/>
      <c r="V550" s="1116"/>
      <c r="W550" s="1116"/>
      <c r="X550" s="1116"/>
      <c r="Y550" s="1116"/>
      <c r="Z550" s="1116"/>
      <c r="AA550" s="1116"/>
      <c r="AB550" s="1116"/>
      <c r="AC550" s="1116"/>
      <c r="AD550" s="254">
        <f t="shared" si="407"/>
        <v>900</v>
      </c>
      <c r="AE550" s="254">
        <f t="shared" si="393"/>
        <v>900</v>
      </c>
      <c r="AF550" s="1114"/>
      <c r="AG550" s="286"/>
      <c r="AH550" s="498"/>
      <c r="AI550" s="498"/>
      <c r="AJ550" s="498"/>
      <c r="AK550" s="498"/>
      <c r="AL550" s="498">
        <f t="shared" si="408"/>
        <v>900</v>
      </c>
      <c r="AM550" s="498">
        <f t="shared" si="409"/>
        <v>900</v>
      </c>
      <c r="AN550" s="1176" t="s">
        <v>1879</v>
      </c>
      <c r="AQ550" s="215" t="s">
        <v>585</v>
      </c>
      <c r="AR550" s="215" t="s">
        <v>1450</v>
      </c>
      <c r="AS550" s="216" t="s">
        <v>572</v>
      </c>
      <c r="AT550" s="207" t="s">
        <v>307</v>
      </c>
      <c r="AU550" s="401" t="s">
        <v>586</v>
      </c>
      <c r="AV550" s="292" t="s">
        <v>1064</v>
      </c>
      <c r="AW550" s="787" t="s">
        <v>1895</v>
      </c>
      <c r="AY550" s="285">
        <f>AZ550+BA550</f>
        <v>1000</v>
      </c>
      <c r="AZ550" s="226"/>
      <c r="BA550" s="285">
        <v>1000</v>
      </c>
    </row>
    <row r="551" spans="1:53" ht="51">
      <c r="A551" s="237">
        <v>21</v>
      </c>
      <c r="B551" s="1105" t="s">
        <v>1896</v>
      </c>
      <c r="C551" s="1105"/>
      <c r="D551" s="1105"/>
      <c r="E551" s="1105"/>
      <c r="F551" s="1105"/>
      <c r="G551" s="1060" t="s">
        <v>382</v>
      </c>
      <c r="H551" s="1106">
        <v>2019</v>
      </c>
      <c r="I551" s="1106"/>
      <c r="J551" s="1106">
        <v>2021</v>
      </c>
      <c r="K551" s="1106"/>
      <c r="L551" s="1106"/>
      <c r="M551" s="1061" t="s">
        <v>1897</v>
      </c>
      <c r="N551" s="1107">
        <v>10000</v>
      </c>
      <c r="O551" s="1107"/>
      <c r="P551" s="1116">
        <v>6000</v>
      </c>
      <c r="Q551" s="1116"/>
      <c r="R551" s="1116"/>
      <c r="S551" s="1116"/>
      <c r="T551" s="1116">
        <f t="shared" si="406"/>
        <v>3000</v>
      </c>
      <c r="U551" s="1116"/>
      <c r="V551" s="1116"/>
      <c r="W551" s="1116"/>
      <c r="X551" s="1116"/>
      <c r="Y551" s="1116"/>
      <c r="Z551" s="1116"/>
      <c r="AA551" s="1116"/>
      <c r="AB551" s="1116"/>
      <c r="AC551" s="1116"/>
      <c r="AD551" s="254">
        <f t="shared" si="407"/>
        <v>3000</v>
      </c>
      <c r="AE551" s="254">
        <f t="shared" si="393"/>
        <v>3000</v>
      </c>
      <c r="AF551" s="1114"/>
      <c r="AG551" s="286"/>
      <c r="AH551" s="498"/>
      <c r="AI551" s="498"/>
      <c r="AJ551" s="498"/>
      <c r="AK551" s="498"/>
      <c r="AL551" s="498">
        <f t="shared" si="408"/>
        <v>3000</v>
      </c>
      <c r="AM551" s="498">
        <f t="shared" ref="AM551:AM552" si="412">AE551-AI551</f>
        <v>3000</v>
      </c>
      <c r="AN551" s="1176" t="s">
        <v>1898</v>
      </c>
      <c r="AQ551" s="215" t="s">
        <v>590</v>
      </c>
      <c r="AR551" s="215" t="s">
        <v>1450</v>
      </c>
      <c r="AS551" s="216"/>
      <c r="AU551" s="401" t="s">
        <v>1899</v>
      </c>
      <c r="AV551" s="1132" t="s">
        <v>1891</v>
      </c>
      <c r="AW551" s="787" t="s">
        <v>1900</v>
      </c>
      <c r="AY551" s="285">
        <f>AZ551+BA551</f>
        <v>2700</v>
      </c>
      <c r="AZ551" s="226"/>
      <c r="BA551" s="285">
        <v>2700</v>
      </c>
    </row>
    <row r="552" spans="1:53" ht="51">
      <c r="A552" s="248">
        <v>22</v>
      </c>
      <c r="B552" s="1105" t="s">
        <v>2532</v>
      </c>
      <c r="C552" s="1105"/>
      <c r="D552" s="1105"/>
      <c r="E552" s="1105"/>
      <c r="F552" s="1105"/>
      <c r="G552" s="1060" t="s">
        <v>382</v>
      </c>
      <c r="H552" s="1106">
        <v>2019</v>
      </c>
      <c r="I552" s="1106"/>
      <c r="J552" s="1106">
        <v>2021</v>
      </c>
      <c r="K552" s="1106"/>
      <c r="L552" s="1106"/>
      <c r="M552" s="1061" t="s">
        <v>1901</v>
      </c>
      <c r="N552" s="1107">
        <v>6000</v>
      </c>
      <c r="O552" s="1107"/>
      <c r="P552" s="1116">
        <v>3600</v>
      </c>
      <c r="Q552" s="1116"/>
      <c r="R552" s="1116"/>
      <c r="S552" s="1116"/>
      <c r="T552" s="1116">
        <f t="shared" si="406"/>
        <v>1800</v>
      </c>
      <c r="U552" s="1116"/>
      <c r="V552" s="1116"/>
      <c r="W552" s="1116"/>
      <c r="X552" s="1116"/>
      <c r="Y552" s="1116"/>
      <c r="Z552" s="1116"/>
      <c r="AA552" s="1116"/>
      <c r="AB552" s="1116"/>
      <c r="AC552" s="1116"/>
      <c r="AD552" s="254">
        <f t="shared" si="407"/>
        <v>1800</v>
      </c>
      <c r="AE552" s="254">
        <f t="shared" si="393"/>
        <v>1800</v>
      </c>
      <c r="AF552" s="1114"/>
      <c r="AG552" s="286"/>
      <c r="AH552" s="498"/>
      <c r="AI552" s="498"/>
      <c r="AJ552" s="498"/>
      <c r="AK552" s="498"/>
      <c r="AL552" s="498">
        <f t="shared" si="408"/>
        <v>1800</v>
      </c>
      <c r="AM552" s="498">
        <f t="shared" si="412"/>
        <v>1800</v>
      </c>
      <c r="AN552" s="1176" t="s">
        <v>1865</v>
      </c>
      <c r="AQ552" s="215" t="s">
        <v>727</v>
      </c>
      <c r="AR552" s="215" t="s">
        <v>1450</v>
      </c>
      <c r="AS552" s="216" t="s">
        <v>572</v>
      </c>
      <c r="AT552" s="207" t="s">
        <v>307</v>
      </c>
      <c r="AU552" s="401" t="s">
        <v>728</v>
      </c>
      <c r="AV552" s="1179" t="s">
        <v>1902</v>
      </c>
      <c r="AW552" s="787" t="s">
        <v>1903</v>
      </c>
      <c r="AY552" s="285">
        <f>AZ552+BA552</f>
        <v>2400</v>
      </c>
      <c r="AZ552" s="226"/>
      <c r="BA552" s="285">
        <v>2400</v>
      </c>
    </row>
    <row r="553" spans="1:53" ht="51">
      <c r="A553" s="237">
        <v>23</v>
      </c>
      <c r="B553" s="1105" t="s">
        <v>1904</v>
      </c>
      <c r="C553" s="1105"/>
      <c r="D553" s="1105"/>
      <c r="E553" s="1105"/>
      <c r="F553" s="1105"/>
      <c r="G553" s="1060" t="s">
        <v>341</v>
      </c>
      <c r="H553" s="1106">
        <v>2019</v>
      </c>
      <c r="I553" s="1106"/>
      <c r="J553" s="1106">
        <v>2021</v>
      </c>
      <c r="K553" s="1106"/>
      <c r="L553" s="1106"/>
      <c r="M553" s="1061" t="s">
        <v>1905</v>
      </c>
      <c r="N553" s="1107">
        <v>4000</v>
      </c>
      <c r="O553" s="1107"/>
      <c r="P553" s="1116">
        <v>2400</v>
      </c>
      <c r="Q553" s="1116"/>
      <c r="R553" s="1116"/>
      <c r="S553" s="1116"/>
      <c r="T553" s="1116">
        <f>P553*0.5</f>
        <v>1200</v>
      </c>
      <c r="U553" s="1116"/>
      <c r="V553" s="1116"/>
      <c r="W553" s="1116"/>
      <c r="X553" s="1116"/>
      <c r="Y553" s="1116"/>
      <c r="Z553" s="1116"/>
      <c r="AA553" s="1116"/>
      <c r="AB553" s="1116"/>
      <c r="AC553" s="1116"/>
      <c r="AD553" s="254">
        <f t="shared" si="407"/>
        <v>1200</v>
      </c>
      <c r="AE553" s="254">
        <f t="shared" si="393"/>
        <v>1200</v>
      </c>
      <c r="AF553" s="1114"/>
      <c r="AG553" s="286"/>
      <c r="AH553" s="498"/>
      <c r="AI553" s="498"/>
      <c r="AJ553" s="498"/>
      <c r="AK553" s="498"/>
      <c r="AL553" s="498">
        <f>AD553</f>
        <v>1200</v>
      </c>
      <c r="AM553" s="498">
        <f>AE553-AI553</f>
        <v>1200</v>
      </c>
      <c r="AN553" s="1176" t="s">
        <v>1865</v>
      </c>
      <c r="AQ553" s="215" t="s">
        <v>955</v>
      </c>
      <c r="AR553" s="215" t="s">
        <v>1450</v>
      </c>
      <c r="AS553" s="216"/>
      <c r="AT553" s="207" t="s">
        <v>307</v>
      </c>
      <c r="AU553" s="582" t="s">
        <v>956</v>
      </c>
      <c r="AV553" s="1179" t="s">
        <v>1902</v>
      </c>
      <c r="AW553" s="787" t="s">
        <v>1906</v>
      </c>
      <c r="AY553" s="285">
        <f>AZ553+BA553</f>
        <v>500</v>
      </c>
      <c r="AZ553" s="226"/>
      <c r="BA553" s="285">
        <v>500</v>
      </c>
    </row>
    <row r="554" spans="1:53" ht="51">
      <c r="A554" s="248">
        <v>24</v>
      </c>
      <c r="B554" s="1105" t="s">
        <v>1907</v>
      </c>
      <c r="C554" s="1105"/>
      <c r="D554" s="1105"/>
      <c r="E554" s="1105"/>
      <c r="F554" s="1105"/>
      <c r="G554" s="1060" t="s">
        <v>341</v>
      </c>
      <c r="H554" s="1106">
        <v>2019</v>
      </c>
      <c r="I554" s="1106"/>
      <c r="J554" s="1106">
        <v>2021</v>
      </c>
      <c r="K554" s="1106"/>
      <c r="L554" s="1106"/>
      <c r="M554" s="1121" t="s">
        <v>1908</v>
      </c>
      <c r="N554" s="1181">
        <v>7500</v>
      </c>
      <c r="O554" s="1181"/>
      <c r="P554" s="1181">
        <v>4500</v>
      </c>
      <c r="Q554" s="1116"/>
      <c r="R554" s="1116"/>
      <c r="S554" s="1116"/>
      <c r="T554" s="1116">
        <f>P554*0.5</f>
        <v>2250</v>
      </c>
      <c r="U554" s="1116"/>
      <c r="V554" s="1116"/>
      <c r="W554" s="1116"/>
      <c r="X554" s="1116"/>
      <c r="Y554" s="1116"/>
      <c r="Z554" s="1116"/>
      <c r="AA554" s="1116"/>
      <c r="AB554" s="1116"/>
      <c r="AC554" s="1116"/>
      <c r="AD554" s="254">
        <f t="shared" si="407"/>
        <v>2250</v>
      </c>
      <c r="AE554" s="254">
        <f t="shared" si="393"/>
        <v>2250</v>
      </c>
      <c r="AF554" s="1114"/>
      <c r="AG554" s="286"/>
      <c r="AH554" s="498"/>
      <c r="AI554" s="498"/>
      <c r="AJ554" s="498"/>
      <c r="AK554" s="498"/>
      <c r="AL554" s="498">
        <f>AD554</f>
        <v>2250</v>
      </c>
      <c r="AM554" s="498">
        <f>AE554-AI554</f>
        <v>2250</v>
      </c>
      <c r="AN554" s="1176" t="s">
        <v>1865</v>
      </c>
      <c r="AQ554" s="215" t="s">
        <v>630</v>
      </c>
      <c r="AR554" s="215" t="s">
        <v>1450</v>
      </c>
      <c r="AS554" s="216" t="s">
        <v>572</v>
      </c>
      <c r="AT554" s="207" t="s">
        <v>307</v>
      </c>
      <c r="AU554" s="607" t="s">
        <v>631</v>
      </c>
      <c r="AV554" s="1182" t="s">
        <v>1891</v>
      </c>
      <c r="AW554" s="787" t="s">
        <v>1909</v>
      </c>
      <c r="AY554" s="285">
        <f>AZ554+BA554</f>
        <v>1000</v>
      </c>
      <c r="AZ554" s="226"/>
      <c r="BA554" s="285">
        <v>1000</v>
      </c>
    </row>
    <row r="555" spans="1:53" ht="51">
      <c r="A555" s="237">
        <v>25</v>
      </c>
      <c r="B555" s="1183" t="s">
        <v>1910</v>
      </c>
      <c r="C555" s="1105"/>
      <c r="D555" s="1105"/>
      <c r="E555" s="1105"/>
      <c r="F555" s="1105"/>
      <c r="G555" s="1060" t="s">
        <v>341</v>
      </c>
      <c r="H555" s="1106">
        <v>2020</v>
      </c>
      <c r="I555" s="1106"/>
      <c r="J555" s="1106">
        <v>2022</v>
      </c>
      <c r="K555" s="1106"/>
      <c r="L555" s="1106"/>
      <c r="M555" s="1112"/>
      <c r="N555" s="1181">
        <v>6000</v>
      </c>
      <c r="O555" s="1181"/>
      <c r="P555" s="1181">
        <v>3600</v>
      </c>
      <c r="Q555" s="1116"/>
      <c r="R555" s="1116"/>
      <c r="S555" s="1116"/>
      <c r="T555" s="1116"/>
      <c r="U555" s="1116"/>
      <c r="V555" s="1116"/>
      <c r="W555" s="1116"/>
      <c r="X555" s="1116"/>
      <c r="Y555" s="1116"/>
      <c r="Z555" s="1116"/>
      <c r="AA555" s="1116"/>
      <c r="AB555" s="1116"/>
      <c r="AC555" s="1116"/>
      <c r="AD555" s="254">
        <f>P555*0</f>
        <v>0</v>
      </c>
      <c r="AE555" s="254">
        <f t="shared" si="393"/>
        <v>0</v>
      </c>
      <c r="AF555" s="1114"/>
      <c r="AG555" s="286"/>
      <c r="AH555" s="498"/>
      <c r="AI555" s="498"/>
      <c r="AJ555" s="498"/>
      <c r="AK555" s="498"/>
      <c r="AL555" s="498"/>
      <c r="AM555" s="498"/>
      <c r="AN555" s="1176"/>
      <c r="AO555" s="1183" t="s">
        <v>1911</v>
      </c>
      <c r="AQ555" s="215"/>
      <c r="AR555" s="215" t="s">
        <v>1450</v>
      </c>
      <c r="AS555" s="216"/>
      <c r="AU555" s="607" t="s">
        <v>1912</v>
      </c>
      <c r="AV555" s="1184" t="s">
        <v>1913</v>
      </c>
      <c r="AW555" s="787" t="s">
        <v>1914</v>
      </c>
      <c r="AY555" s="285">
        <f t="shared" ref="AY555:AY566" si="413">AZ555+BA555</f>
        <v>0</v>
      </c>
      <c r="AZ555" s="226"/>
      <c r="BA555" s="285"/>
    </row>
    <row r="556" spans="1:53" ht="51">
      <c r="A556" s="248">
        <v>26</v>
      </c>
      <c r="B556" s="1105" t="s">
        <v>2534</v>
      </c>
      <c r="C556" s="1105"/>
      <c r="D556" s="1105"/>
      <c r="E556" s="1105"/>
      <c r="F556" s="1105"/>
      <c r="G556" s="1060" t="s">
        <v>395</v>
      </c>
      <c r="H556" s="1106">
        <v>2019</v>
      </c>
      <c r="I556" s="1106"/>
      <c r="J556" s="1106">
        <v>2021</v>
      </c>
      <c r="K556" s="1106"/>
      <c r="L556" s="1106"/>
      <c r="M556" s="1061" t="s">
        <v>1915</v>
      </c>
      <c r="N556" s="1107">
        <v>8000</v>
      </c>
      <c r="O556" s="1107"/>
      <c r="P556" s="1116">
        <v>4800</v>
      </c>
      <c r="Q556" s="1116"/>
      <c r="R556" s="1116"/>
      <c r="S556" s="1116"/>
      <c r="T556" s="1116">
        <f t="shared" ref="T556:T566" si="414">P556*0.5</f>
        <v>2400</v>
      </c>
      <c r="U556" s="1116"/>
      <c r="V556" s="1116"/>
      <c r="W556" s="1116"/>
      <c r="X556" s="1116"/>
      <c r="Y556" s="1116"/>
      <c r="Z556" s="1116"/>
      <c r="AA556" s="1116"/>
      <c r="AB556" s="1116"/>
      <c r="AC556" s="1116"/>
      <c r="AD556" s="254">
        <f t="shared" ref="AD556:AD575" si="415">T556</f>
        <v>2400</v>
      </c>
      <c r="AE556" s="254">
        <f t="shared" si="393"/>
        <v>2400</v>
      </c>
      <c r="AF556" s="1114"/>
      <c r="AG556" s="286"/>
      <c r="AH556" s="498"/>
      <c r="AI556" s="498"/>
      <c r="AJ556" s="498"/>
      <c r="AK556" s="498"/>
      <c r="AL556" s="286">
        <f t="shared" ref="AL556:AL566" si="416">AD556</f>
        <v>2400</v>
      </c>
      <c r="AM556" s="286">
        <f t="shared" ref="AM556:AM566" si="417">AE556-AI556</f>
        <v>2400</v>
      </c>
      <c r="AN556" s="1176" t="s">
        <v>1865</v>
      </c>
      <c r="AQ556" s="215" t="s">
        <v>1808</v>
      </c>
      <c r="AR556" s="215" t="s">
        <v>1450</v>
      </c>
      <c r="AS556" s="216"/>
      <c r="AT556" s="207" t="s">
        <v>307</v>
      </c>
      <c r="AU556" s="401" t="s">
        <v>1916</v>
      </c>
      <c r="AV556" s="1053" t="s">
        <v>1633</v>
      </c>
      <c r="AW556" s="787" t="s">
        <v>1917</v>
      </c>
      <c r="AY556" s="285">
        <f t="shared" si="413"/>
        <v>1920</v>
      </c>
      <c r="AZ556" s="226"/>
      <c r="BA556" s="285">
        <v>1920</v>
      </c>
    </row>
    <row r="557" spans="1:53" ht="51">
      <c r="A557" s="237">
        <v>27</v>
      </c>
      <c r="B557" s="1105" t="s">
        <v>1918</v>
      </c>
      <c r="C557" s="1105"/>
      <c r="D557" s="1105"/>
      <c r="E557" s="1105"/>
      <c r="F557" s="1105"/>
      <c r="G557" s="1060" t="s">
        <v>395</v>
      </c>
      <c r="H557" s="1106">
        <v>2019</v>
      </c>
      <c r="I557" s="1106"/>
      <c r="J557" s="1106">
        <v>2021</v>
      </c>
      <c r="K557" s="1106"/>
      <c r="L557" s="1106"/>
      <c r="M557" s="1121" t="s">
        <v>1919</v>
      </c>
      <c r="N557" s="1107">
        <v>6000</v>
      </c>
      <c r="O557" s="1107"/>
      <c r="P557" s="1116">
        <v>3600</v>
      </c>
      <c r="Q557" s="1116"/>
      <c r="R557" s="1116"/>
      <c r="S557" s="1116"/>
      <c r="T557" s="1116">
        <f t="shared" si="414"/>
        <v>1800</v>
      </c>
      <c r="U557" s="1116"/>
      <c r="V557" s="1116"/>
      <c r="W557" s="1116"/>
      <c r="X557" s="1116"/>
      <c r="Y557" s="1116"/>
      <c r="Z557" s="1116"/>
      <c r="AA557" s="1116"/>
      <c r="AB557" s="1116"/>
      <c r="AC557" s="1116"/>
      <c r="AD557" s="254">
        <f t="shared" si="415"/>
        <v>1800</v>
      </c>
      <c r="AE557" s="254">
        <f t="shared" si="393"/>
        <v>1800</v>
      </c>
      <c r="AF557" s="1114"/>
      <c r="AG557" s="286"/>
      <c r="AH557" s="498"/>
      <c r="AI557" s="498"/>
      <c r="AJ557" s="498"/>
      <c r="AK557" s="498"/>
      <c r="AL557" s="286">
        <f t="shared" si="416"/>
        <v>1800</v>
      </c>
      <c r="AM557" s="286">
        <f t="shared" si="417"/>
        <v>1800</v>
      </c>
      <c r="AN557" s="1176" t="s">
        <v>1865</v>
      </c>
      <c r="AQ557" s="215" t="s">
        <v>652</v>
      </c>
      <c r="AR557" s="215" t="s">
        <v>1194</v>
      </c>
      <c r="AS557" s="216"/>
      <c r="AT557" s="207" t="s">
        <v>307</v>
      </c>
      <c r="AU557" s="401" t="s">
        <v>653</v>
      </c>
      <c r="AV557" s="1179" t="s">
        <v>1902</v>
      </c>
      <c r="AW557" s="787" t="s">
        <v>1920</v>
      </c>
      <c r="AY557" s="285">
        <f t="shared" si="413"/>
        <v>960</v>
      </c>
      <c r="AZ557" s="226"/>
      <c r="BA557" s="285">
        <v>960</v>
      </c>
    </row>
    <row r="558" spans="1:53" ht="76.5">
      <c r="A558" s="248">
        <v>28</v>
      </c>
      <c r="B558" s="1105" t="s">
        <v>1921</v>
      </c>
      <c r="C558" s="1105"/>
      <c r="D558" s="1105"/>
      <c r="E558" s="1105"/>
      <c r="F558" s="1105"/>
      <c r="G558" s="1060" t="s">
        <v>395</v>
      </c>
      <c r="H558" s="1106">
        <v>2019</v>
      </c>
      <c r="I558" s="1106"/>
      <c r="J558" s="1106">
        <v>2021</v>
      </c>
      <c r="K558" s="1106"/>
      <c r="L558" s="1106"/>
      <c r="M558" s="1121" t="s">
        <v>1922</v>
      </c>
      <c r="N558" s="1107">
        <v>6000</v>
      </c>
      <c r="O558" s="1107"/>
      <c r="P558" s="1116">
        <v>3600</v>
      </c>
      <c r="Q558" s="1116"/>
      <c r="R558" s="1116"/>
      <c r="S558" s="1116"/>
      <c r="T558" s="1116">
        <f t="shared" si="414"/>
        <v>1800</v>
      </c>
      <c r="U558" s="1116"/>
      <c r="V558" s="1116"/>
      <c r="W558" s="1116"/>
      <c r="X558" s="1116"/>
      <c r="Y558" s="1116"/>
      <c r="Z558" s="1116"/>
      <c r="AA558" s="1116"/>
      <c r="AB558" s="1116"/>
      <c r="AC558" s="1116"/>
      <c r="AD558" s="254">
        <f t="shared" si="415"/>
        <v>1800</v>
      </c>
      <c r="AE558" s="254">
        <f t="shared" si="393"/>
        <v>1800</v>
      </c>
      <c r="AF558" s="1114"/>
      <c r="AG558" s="286"/>
      <c r="AH558" s="1185"/>
      <c r="AI558" s="1185"/>
      <c r="AJ558" s="1185"/>
      <c r="AK558" s="1185"/>
      <c r="AL558" s="286">
        <f t="shared" si="416"/>
        <v>1800</v>
      </c>
      <c r="AM558" s="286">
        <f t="shared" si="417"/>
        <v>1800</v>
      </c>
      <c r="AN558" s="1063" t="s">
        <v>1923</v>
      </c>
      <c r="AO558" s="1063" t="s">
        <v>1923</v>
      </c>
      <c r="AQ558" s="215" t="s">
        <v>542</v>
      </c>
      <c r="AR558" s="215" t="s">
        <v>1194</v>
      </c>
      <c r="AS558" s="216"/>
      <c r="AT558" s="207" t="s">
        <v>307</v>
      </c>
      <c r="AU558" s="401" t="s">
        <v>543</v>
      </c>
      <c r="AV558" s="1186" t="s">
        <v>1924</v>
      </c>
      <c r="AW558" s="787" t="s">
        <v>1925</v>
      </c>
      <c r="AY558" s="285">
        <f t="shared" si="413"/>
        <v>1600</v>
      </c>
      <c r="AZ558" s="226"/>
      <c r="BA558" s="285">
        <v>1600</v>
      </c>
    </row>
    <row r="559" spans="1:53" ht="51">
      <c r="A559" s="237">
        <v>29</v>
      </c>
      <c r="B559" s="1105" t="s">
        <v>1926</v>
      </c>
      <c r="C559" s="1105"/>
      <c r="D559" s="1105"/>
      <c r="E559" s="1105"/>
      <c r="F559" s="1105"/>
      <c r="G559" s="1060" t="s">
        <v>395</v>
      </c>
      <c r="H559" s="1106">
        <v>2019</v>
      </c>
      <c r="I559" s="1106"/>
      <c r="J559" s="1106">
        <v>2021</v>
      </c>
      <c r="K559" s="1106"/>
      <c r="L559" s="1106"/>
      <c r="M559" s="1061" t="s">
        <v>1927</v>
      </c>
      <c r="N559" s="1107">
        <v>7000</v>
      </c>
      <c r="O559" s="1107"/>
      <c r="P559" s="1116">
        <v>4200</v>
      </c>
      <c r="Q559" s="1116"/>
      <c r="R559" s="1116"/>
      <c r="S559" s="1116"/>
      <c r="T559" s="1116">
        <f t="shared" si="414"/>
        <v>2100</v>
      </c>
      <c r="U559" s="1116"/>
      <c r="V559" s="1116"/>
      <c r="W559" s="1116"/>
      <c r="X559" s="1116"/>
      <c r="Y559" s="1116"/>
      <c r="Z559" s="1116"/>
      <c r="AA559" s="1116"/>
      <c r="AB559" s="1116"/>
      <c r="AC559" s="1116"/>
      <c r="AD559" s="254">
        <f t="shared" si="415"/>
        <v>2100</v>
      </c>
      <c r="AE559" s="254">
        <f t="shared" si="393"/>
        <v>2100</v>
      </c>
      <c r="AF559" s="1114"/>
      <c r="AG559" s="286"/>
      <c r="AH559" s="498"/>
      <c r="AI559" s="498"/>
      <c r="AJ559" s="498"/>
      <c r="AK559" s="498"/>
      <c r="AL559" s="286">
        <f t="shared" si="416"/>
        <v>2100</v>
      </c>
      <c r="AM559" s="286">
        <f t="shared" si="417"/>
        <v>2100</v>
      </c>
      <c r="AN559" s="1176" t="s">
        <v>1865</v>
      </c>
      <c r="AQ559" s="215" t="s">
        <v>1928</v>
      </c>
      <c r="AR559" s="215" t="s">
        <v>1450</v>
      </c>
      <c r="AS559" s="216"/>
      <c r="AT559" s="207" t="s">
        <v>307</v>
      </c>
      <c r="AU559" s="401" t="s">
        <v>1929</v>
      </c>
      <c r="AV559" s="1179" t="s">
        <v>1902</v>
      </c>
      <c r="AW559" s="787" t="s">
        <v>1930</v>
      </c>
      <c r="AY559" s="285">
        <f t="shared" si="413"/>
        <v>1120</v>
      </c>
      <c r="AZ559" s="226"/>
      <c r="BA559" s="285">
        <v>1120</v>
      </c>
    </row>
    <row r="560" spans="1:53" ht="51">
      <c r="A560" s="248">
        <v>30</v>
      </c>
      <c r="B560" s="1105" t="s">
        <v>1931</v>
      </c>
      <c r="C560" s="1105"/>
      <c r="D560" s="1105"/>
      <c r="E560" s="1105"/>
      <c r="F560" s="1105"/>
      <c r="G560" s="1060" t="s">
        <v>395</v>
      </c>
      <c r="H560" s="1106">
        <v>2019</v>
      </c>
      <c r="I560" s="1106"/>
      <c r="J560" s="1106">
        <v>2021</v>
      </c>
      <c r="K560" s="1106"/>
      <c r="L560" s="1106"/>
      <c r="M560" s="1061" t="s">
        <v>1932</v>
      </c>
      <c r="N560" s="1107">
        <v>4000</v>
      </c>
      <c r="O560" s="1107"/>
      <c r="P560" s="1116">
        <v>2400</v>
      </c>
      <c r="Q560" s="1116"/>
      <c r="R560" s="1116"/>
      <c r="S560" s="1116"/>
      <c r="T560" s="1116">
        <f t="shared" si="414"/>
        <v>1200</v>
      </c>
      <c r="U560" s="1116"/>
      <c r="V560" s="1116"/>
      <c r="W560" s="1116"/>
      <c r="X560" s="1116"/>
      <c r="Y560" s="1116"/>
      <c r="Z560" s="1116"/>
      <c r="AA560" s="1116"/>
      <c r="AB560" s="1116"/>
      <c r="AC560" s="1116"/>
      <c r="AD560" s="254">
        <f t="shared" si="415"/>
        <v>1200</v>
      </c>
      <c r="AE560" s="254">
        <f t="shared" si="393"/>
        <v>1200</v>
      </c>
      <c r="AF560" s="1114"/>
      <c r="AG560" s="286"/>
      <c r="AH560" s="498"/>
      <c r="AI560" s="498"/>
      <c r="AJ560" s="498"/>
      <c r="AK560" s="498"/>
      <c r="AL560" s="286">
        <f t="shared" si="416"/>
        <v>1200</v>
      </c>
      <c r="AM560" s="286">
        <f t="shared" si="417"/>
        <v>1200</v>
      </c>
      <c r="AN560" s="1176" t="s">
        <v>1865</v>
      </c>
      <c r="AQ560" s="215" t="s">
        <v>850</v>
      </c>
      <c r="AR560" s="215" t="s">
        <v>1450</v>
      </c>
      <c r="AS560" s="216"/>
      <c r="AT560" s="207" t="s">
        <v>307</v>
      </c>
      <c r="AU560" s="401" t="s">
        <v>851</v>
      </c>
      <c r="AV560" s="1179" t="s">
        <v>1902</v>
      </c>
      <c r="AW560" s="787" t="s">
        <v>1933</v>
      </c>
      <c r="AY560" s="285">
        <f t="shared" si="413"/>
        <v>960</v>
      </c>
      <c r="AZ560" s="226"/>
      <c r="BA560" s="285">
        <v>960</v>
      </c>
    </row>
    <row r="561" spans="1:57" ht="51">
      <c r="A561" s="237">
        <v>31</v>
      </c>
      <c r="B561" s="1105" t="s">
        <v>2533</v>
      </c>
      <c r="C561" s="1105"/>
      <c r="D561" s="1105"/>
      <c r="E561" s="1105"/>
      <c r="F561" s="1105"/>
      <c r="G561" s="1060" t="s">
        <v>395</v>
      </c>
      <c r="H561" s="1106">
        <v>2019</v>
      </c>
      <c r="I561" s="1106"/>
      <c r="J561" s="1106">
        <v>2021</v>
      </c>
      <c r="K561" s="1106"/>
      <c r="L561" s="1106"/>
      <c r="M561" s="500" t="s">
        <v>2430</v>
      </c>
      <c r="N561" s="1107">
        <v>7500</v>
      </c>
      <c r="O561" s="1107"/>
      <c r="P561" s="1116">
        <v>4500</v>
      </c>
      <c r="Q561" s="1116"/>
      <c r="R561" s="1116"/>
      <c r="S561" s="1116"/>
      <c r="T561" s="1116">
        <f t="shared" si="414"/>
        <v>2250</v>
      </c>
      <c r="U561" s="1116"/>
      <c r="V561" s="1116"/>
      <c r="W561" s="1116"/>
      <c r="X561" s="1116"/>
      <c r="Y561" s="1116"/>
      <c r="Z561" s="1116"/>
      <c r="AA561" s="1116"/>
      <c r="AB561" s="1116"/>
      <c r="AC561" s="1116"/>
      <c r="AD561" s="254">
        <f t="shared" si="415"/>
        <v>2250</v>
      </c>
      <c r="AE561" s="254">
        <f t="shared" si="393"/>
        <v>2250</v>
      </c>
      <c r="AF561" s="1114"/>
      <c r="AG561" s="286"/>
      <c r="AH561" s="498"/>
      <c r="AI561" s="498"/>
      <c r="AJ561" s="498"/>
      <c r="AK561" s="498"/>
      <c r="AL561" s="286">
        <f t="shared" si="416"/>
        <v>2250</v>
      </c>
      <c r="AM561" s="286">
        <f t="shared" si="417"/>
        <v>2250</v>
      </c>
      <c r="AN561" s="1176" t="s">
        <v>1865</v>
      </c>
      <c r="AQ561" s="215" t="s">
        <v>792</v>
      </c>
      <c r="AR561" s="215" t="s">
        <v>1194</v>
      </c>
      <c r="AS561" s="216"/>
      <c r="AU561" s="401" t="s">
        <v>793</v>
      </c>
      <c r="AV561" s="1186" t="s">
        <v>1924</v>
      </c>
      <c r="AW561" s="787" t="s">
        <v>1934</v>
      </c>
      <c r="AY561" s="285">
        <f t="shared" si="413"/>
        <v>500</v>
      </c>
      <c r="AZ561" s="226"/>
      <c r="BA561" s="285">
        <v>500</v>
      </c>
    </row>
    <row r="562" spans="1:57" ht="51">
      <c r="A562" s="248">
        <v>32</v>
      </c>
      <c r="B562" s="1161" t="s">
        <v>2528</v>
      </c>
      <c r="C562" s="1105"/>
      <c r="D562" s="1105"/>
      <c r="E562" s="1105"/>
      <c r="F562" s="1105"/>
      <c r="G562" s="1060" t="s">
        <v>395</v>
      </c>
      <c r="H562" s="1106">
        <v>2019</v>
      </c>
      <c r="I562" s="1106"/>
      <c r="J562" s="1106">
        <v>2021</v>
      </c>
      <c r="K562" s="1106"/>
      <c r="L562" s="1106"/>
      <c r="M562" s="1061" t="s">
        <v>1935</v>
      </c>
      <c r="N562" s="1107">
        <v>10000</v>
      </c>
      <c r="O562" s="1107"/>
      <c r="P562" s="1116">
        <v>6000</v>
      </c>
      <c r="Q562" s="1116"/>
      <c r="R562" s="1116"/>
      <c r="S562" s="1116"/>
      <c r="T562" s="1116">
        <f t="shared" si="414"/>
        <v>3000</v>
      </c>
      <c r="U562" s="1116"/>
      <c r="V562" s="1116"/>
      <c r="W562" s="1116"/>
      <c r="X562" s="1116"/>
      <c r="Y562" s="1116"/>
      <c r="Z562" s="1116"/>
      <c r="AA562" s="1116"/>
      <c r="AB562" s="1116"/>
      <c r="AC562" s="1116"/>
      <c r="AD562" s="254">
        <f t="shared" si="415"/>
        <v>3000</v>
      </c>
      <c r="AE562" s="254">
        <f t="shared" si="393"/>
        <v>3000</v>
      </c>
      <c r="AF562" s="1114"/>
      <c r="AG562" s="286"/>
      <c r="AH562" s="286"/>
      <c r="AI562" s="286"/>
      <c r="AJ562" s="286"/>
      <c r="AK562" s="286"/>
      <c r="AL562" s="286">
        <f t="shared" si="416"/>
        <v>3000</v>
      </c>
      <c r="AM562" s="286">
        <f t="shared" si="417"/>
        <v>3000</v>
      </c>
      <c r="AN562" s="576" t="s">
        <v>1865</v>
      </c>
      <c r="AQ562" s="215" t="s">
        <v>648</v>
      </c>
      <c r="AR562" s="215" t="s">
        <v>1194</v>
      </c>
      <c r="AS562" s="216"/>
      <c r="AT562" s="207" t="s">
        <v>307</v>
      </c>
      <c r="AU562" s="401" t="s">
        <v>793</v>
      </c>
      <c r="AV562" s="1186" t="s">
        <v>1924</v>
      </c>
      <c r="AW562" s="787" t="s">
        <v>1936</v>
      </c>
      <c r="AY562" s="285">
        <f t="shared" si="413"/>
        <v>0</v>
      </c>
      <c r="AZ562" s="226"/>
      <c r="BA562" s="285"/>
    </row>
    <row r="563" spans="1:57" ht="39.75" customHeight="1">
      <c r="A563" s="237">
        <v>33</v>
      </c>
      <c r="B563" s="287" t="s">
        <v>1937</v>
      </c>
      <c r="C563" s="287"/>
      <c r="D563" s="287"/>
      <c r="E563" s="287"/>
      <c r="F563" s="287"/>
      <c r="G563" s="403" t="s">
        <v>395</v>
      </c>
      <c r="H563" s="397">
        <v>2019</v>
      </c>
      <c r="I563" s="397"/>
      <c r="J563" s="397">
        <v>2021</v>
      </c>
      <c r="K563" s="397"/>
      <c r="L563" s="397"/>
      <c r="M563" s="1061" t="s">
        <v>1938</v>
      </c>
      <c r="N563" s="467">
        <v>5000</v>
      </c>
      <c r="O563" s="467"/>
      <c r="P563" s="639">
        <v>3000</v>
      </c>
      <c r="Q563" s="639"/>
      <c r="R563" s="639"/>
      <c r="S563" s="639"/>
      <c r="T563" s="1116">
        <f t="shared" si="414"/>
        <v>1500</v>
      </c>
      <c r="U563" s="639"/>
      <c r="V563" s="639"/>
      <c r="W563" s="639"/>
      <c r="X563" s="639"/>
      <c r="Y563" s="639"/>
      <c r="Z563" s="639"/>
      <c r="AA563" s="258"/>
      <c r="AB563" s="258"/>
      <c r="AC563" s="258"/>
      <c r="AD563" s="254">
        <f t="shared" si="415"/>
        <v>1500</v>
      </c>
      <c r="AE563" s="254">
        <f t="shared" si="393"/>
        <v>1500</v>
      </c>
      <c r="AF563" s="258"/>
      <c r="AG563" s="258"/>
      <c r="AH563" s="258"/>
      <c r="AI563" s="258"/>
      <c r="AJ563" s="258"/>
      <c r="AK563" s="258"/>
      <c r="AL563" s="286">
        <f t="shared" si="416"/>
        <v>1500</v>
      </c>
      <c r="AM563" s="286">
        <f t="shared" si="417"/>
        <v>1500</v>
      </c>
      <c r="AN563" s="465" t="s">
        <v>1865</v>
      </c>
      <c r="AQ563" s="215" t="s">
        <v>1939</v>
      </c>
      <c r="AR563" s="215" t="s">
        <v>1450</v>
      </c>
      <c r="AS563" s="216"/>
      <c r="AT563" s="207" t="s">
        <v>307</v>
      </c>
      <c r="AU563" s="1143" t="s">
        <v>1940</v>
      </c>
      <c r="AV563" s="1053" t="s">
        <v>945</v>
      </c>
      <c r="AW563" s="408" t="s">
        <v>1941</v>
      </c>
      <c r="AY563" s="285">
        <f t="shared" si="413"/>
        <v>1250</v>
      </c>
      <c r="AZ563" s="226"/>
      <c r="BA563" s="285">
        <v>1250</v>
      </c>
      <c r="BC563" s="226"/>
      <c r="BD563" s="226"/>
      <c r="BE563" s="285"/>
    </row>
    <row r="564" spans="1:57" s="256" customFormat="1" ht="54" customHeight="1">
      <c r="A564" s="248">
        <v>34</v>
      </c>
      <c r="B564" s="464" t="s">
        <v>1942</v>
      </c>
      <c r="C564" s="464"/>
      <c r="D564" s="464"/>
      <c r="E564" s="464"/>
      <c r="F564" s="464"/>
      <c r="G564" s="397" t="s">
        <v>1292</v>
      </c>
      <c r="H564" s="397">
        <v>2019</v>
      </c>
      <c r="I564" s="397"/>
      <c r="J564" s="397">
        <v>2021</v>
      </c>
      <c r="K564" s="397"/>
      <c r="L564" s="397"/>
      <c r="M564" s="500" t="s">
        <v>2429</v>
      </c>
      <c r="N564" s="1103">
        <v>6000</v>
      </c>
      <c r="O564" s="1103"/>
      <c r="P564" s="639">
        <v>3600</v>
      </c>
      <c r="Q564" s="639"/>
      <c r="R564" s="639"/>
      <c r="S564" s="639"/>
      <c r="T564" s="1116">
        <f t="shared" si="414"/>
        <v>1800</v>
      </c>
      <c r="U564" s="639"/>
      <c r="V564" s="639"/>
      <c r="W564" s="639"/>
      <c r="X564" s="639"/>
      <c r="Y564" s="639"/>
      <c r="Z564" s="639"/>
      <c r="AA564" s="258"/>
      <c r="AB564" s="258"/>
      <c r="AC564" s="258"/>
      <c r="AD564" s="254">
        <f t="shared" si="415"/>
        <v>1800</v>
      </c>
      <c r="AE564" s="254">
        <f t="shared" si="393"/>
        <v>1800</v>
      </c>
      <c r="AF564" s="258"/>
      <c r="AG564" s="258"/>
      <c r="AH564" s="258"/>
      <c r="AI564" s="258"/>
      <c r="AJ564" s="258"/>
      <c r="AK564" s="258"/>
      <c r="AL564" s="286">
        <f t="shared" si="416"/>
        <v>1800</v>
      </c>
      <c r="AM564" s="286">
        <f t="shared" si="417"/>
        <v>1800</v>
      </c>
      <c r="AN564" s="462" t="s">
        <v>1943</v>
      </c>
      <c r="AQ564" s="257" t="s">
        <v>1944</v>
      </c>
      <c r="AR564" s="215" t="s">
        <v>1450</v>
      </c>
      <c r="AS564" s="258" t="s">
        <v>496</v>
      </c>
      <c r="AT564" s="207" t="s">
        <v>307</v>
      </c>
      <c r="AU564" s="1143" t="s">
        <v>999</v>
      </c>
      <c r="AV564" s="1187" t="s">
        <v>1924</v>
      </c>
      <c r="AW564" s="258"/>
      <c r="AY564" s="285">
        <f t="shared" si="413"/>
        <v>0</v>
      </c>
      <c r="AZ564" s="226"/>
      <c r="BA564" s="285"/>
      <c r="BC564" s="258"/>
      <c r="BD564" s="258"/>
      <c r="BE564" s="1188"/>
    </row>
    <row r="565" spans="1:57" s="256" customFormat="1" ht="52.5" customHeight="1">
      <c r="A565" s="237">
        <v>35</v>
      </c>
      <c r="B565" s="464" t="s">
        <v>1945</v>
      </c>
      <c r="C565" s="464"/>
      <c r="D565" s="464"/>
      <c r="E565" s="464"/>
      <c r="F565" s="464"/>
      <c r="G565" s="397" t="s">
        <v>1292</v>
      </c>
      <c r="H565" s="397">
        <v>2019</v>
      </c>
      <c r="I565" s="397"/>
      <c r="J565" s="397">
        <v>2021</v>
      </c>
      <c r="K565" s="397"/>
      <c r="L565" s="397"/>
      <c r="M565" s="500" t="s">
        <v>1005</v>
      </c>
      <c r="N565" s="1103">
        <v>6000</v>
      </c>
      <c r="O565" s="1103"/>
      <c r="P565" s="639">
        <v>3600</v>
      </c>
      <c r="Q565" s="639"/>
      <c r="R565" s="639"/>
      <c r="S565" s="639"/>
      <c r="T565" s="1116">
        <f t="shared" si="414"/>
        <v>1800</v>
      </c>
      <c r="U565" s="639"/>
      <c r="V565" s="639"/>
      <c r="W565" s="639"/>
      <c r="X565" s="639"/>
      <c r="Y565" s="639"/>
      <c r="Z565" s="639"/>
      <c r="AA565" s="258"/>
      <c r="AB565" s="258"/>
      <c r="AC565" s="258"/>
      <c r="AD565" s="254">
        <f t="shared" si="415"/>
        <v>1800</v>
      </c>
      <c r="AE565" s="254">
        <f t="shared" si="393"/>
        <v>1800</v>
      </c>
      <c r="AF565" s="258"/>
      <c r="AG565" s="258"/>
      <c r="AH565" s="258"/>
      <c r="AI565" s="258"/>
      <c r="AJ565" s="258"/>
      <c r="AK565" s="258"/>
      <c r="AL565" s="286">
        <f t="shared" si="416"/>
        <v>1800</v>
      </c>
      <c r="AM565" s="286">
        <f t="shared" si="417"/>
        <v>1800</v>
      </c>
      <c r="AN565" s="462" t="s">
        <v>1943</v>
      </c>
      <c r="AQ565" s="257" t="s">
        <v>1833</v>
      </c>
      <c r="AR565" s="215" t="s">
        <v>1450</v>
      </c>
      <c r="AS565" s="258"/>
      <c r="AT565" s="207" t="s">
        <v>307</v>
      </c>
      <c r="AU565" s="1143" t="s">
        <v>999</v>
      </c>
      <c r="AV565" s="1189" t="s">
        <v>1902</v>
      </c>
      <c r="AW565" s="258"/>
      <c r="AY565" s="285">
        <f t="shared" si="413"/>
        <v>1239</v>
      </c>
      <c r="AZ565" s="226"/>
      <c r="BA565" s="285">
        <v>1239</v>
      </c>
      <c r="BC565" s="258"/>
      <c r="BD565" s="258"/>
      <c r="BE565" s="1188"/>
    </row>
    <row r="566" spans="1:57" s="256" customFormat="1" ht="51" customHeight="1">
      <c r="A566" s="248">
        <v>36</v>
      </c>
      <c r="B566" s="464" t="s">
        <v>1946</v>
      </c>
      <c r="C566" s="464"/>
      <c r="D566" s="464"/>
      <c r="E566" s="464"/>
      <c r="F566" s="464"/>
      <c r="G566" s="397" t="s">
        <v>341</v>
      </c>
      <c r="H566" s="397">
        <v>2019</v>
      </c>
      <c r="I566" s="397"/>
      <c r="J566" s="397">
        <v>2021</v>
      </c>
      <c r="K566" s="397"/>
      <c r="L566" s="397"/>
      <c r="M566" s="1121" t="s">
        <v>1947</v>
      </c>
      <c r="N566" s="1103">
        <v>15000</v>
      </c>
      <c r="O566" s="1103"/>
      <c r="P566" s="639">
        <v>9000</v>
      </c>
      <c r="Q566" s="639"/>
      <c r="R566" s="639"/>
      <c r="S566" s="639"/>
      <c r="T566" s="1116">
        <f t="shared" si="414"/>
        <v>4500</v>
      </c>
      <c r="U566" s="639"/>
      <c r="V566" s="639"/>
      <c r="W566" s="639"/>
      <c r="X566" s="639"/>
      <c r="Y566" s="639"/>
      <c r="Z566" s="639"/>
      <c r="AA566" s="258"/>
      <c r="AB566" s="258"/>
      <c r="AC566" s="258"/>
      <c r="AD566" s="254">
        <f t="shared" si="415"/>
        <v>4500</v>
      </c>
      <c r="AE566" s="254">
        <f>AD566</f>
        <v>4500</v>
      </c>
      <c r="AF566" s="258"/>
      <c r="AG566" s="258"/>
      <c r="AH566" s="258"/>
      <c r="AI566" s="258"/>
      <c r="AJ566" s="258"/>
      <c r="AK566" s="258"/>
      <c r="AL566" s="286">
        <f t="shared" si="416"/>
        <v>4500</v>
      </c>
      <c r="AM566" s="286">
        <f t="shared" si="417"/>
        <v>4500</v>
      </c>
      <c r="AN566" s="462" t="s">
        <v>1943</v>
      </c>
      <c r="AQ566" s="257" t="s">
        <v>533</v>
      </c>
      <c r="AR566" s="215" t="s">
        <v>1450</v>
      </c>
      <c r="AS566" s="258"/>
      <c r="AT566" s="207" t="s">
        <v>307</v>
      </c>
      <c r="AU566" s="1143" t="s">
        <v>631</v>
      </c>
      <c r="AV566" s="292" t="s">
        <v>1064</v>
      </c>
      <c r="AX566" s="1467"/>
      <c r="AY566" s="285">
        <f t="shared" si="413"/>
        <v>0</v>
      </c>
      <c r="AZ566" s="226"/>
      <c r="BA566" s="285"/>
    </row>
    <row r="567" spans="1:57" s="256" customFormat="1" ht="52.5" customHeight="1">
      <c r="A567" s="248">
        <v>37</v>
      </c>
      <c r="B567" s="464" t="s">
        <v>2529</v>
      </c>
      <c r="C567" s="464"/>
      <c r="D567" s="464"/>
      <c r="E567" s="464"/>
      <c r="F567" s="464"/>
      <c r="G567" s="403" t="s">
        <v>395</v>
      </c>
      <c r="H567" s="397">
        <v>2019</v>
      </c>
      <c r="I567" s="397"/>
      <c r="J567" s="397">
        <v>2021</v>
      </c>
      <c r="K567" s="397"/>
      <c r="L567" s="397"/>
      <c r="M567" s="787" t="s">
        <v>1948</v>
      </c>
      <c r="N567" s="467">
        <v>2500</v>
      </c>
      <c r="O567" s="467"/>
      <c r="P567" s="639">
        <v>1500</v>
      </c>
      <c r="Q567" s="639"/>
      <c r="R567" s="639"/>
      <c r="S567" s="639"/>
      <c r="T567" s="639">
        <f>P567*0.5</f>
        <v>750</v>
      </c>
      <c r="U567" s="639"/>
      <c r="V567" s="639"/>
      <c r="W567" s="639"/>
      <c r="X567" s="639"/>
      <c r="Y567" s="639"/>
      <c r="Z567" s="639"/>
      <c r="AA567" s="258"/>
      <c r="AB567" s="258"/>
      <c r="AC567" s="258"/>
      <c r="AD567" s="254">
        <f t="shared" si="415"/>
        <v>750</v>
      </c>
      <c r="AE567" s="254">
        <f t="shared" si="393"/>
        <v>750</v>
      </c>
      <c r="AF567" s="258"/>
      <c r="AG567" s="258"/>
      <c r="AH567" s="258"/>
      <c r="AI567" s="258"/>
      <c r="AJ567" s="258"/>
      <c r="AK567" s="258"/>
      <c r="AL567" s="1190">
        <f>AD567</f>
        <v>750</v>
      </c>
      <c r="AM567" s="1190">
        <f>AE567-AI567</f>
        <v>750</v>
      </c>
      <c r="AN567" s="462" t="s">
        <v>1949</v>
      </c>
      <c r="AQ567" s="257" t="s">
        <v>503</v>
      </c>
      <c r="AR567" s="215" t="s">
        <v>1450</v>
      </c>
      <c r="AS567" s="258"/>
      <c r="AT567" s="207" t="s">
        <v>307</v>
      </c>
      <c r="AU567" s="1143" t="s">
        <v>504</v>
      </c>
      <c r="AV567" s="292" t="s">
        <v>1064</v>
      </c>
      <c r="AW567" s="1191"/>
      <c r="AY567" s="1188">
        <f>AZ567+BA567</f>
        <v>600</v>
      </c>
      <c r="AZ567" s="258"/>
      <c r="BA567" s="1188">
        <v>600</v>
      </c>
      <c r="BC567" s="1191"/>
      <c r="BD567" s="1191"/>
      <c r="BE567" s="1192"/>
    </row>
    <row r="568" spans="1:57" s="224" customFormat="1" ht="52.5" customHeight="1">
      <c r="A568" s="364">
        <v>38</v>
      </c>
      <c r="B568" s="519" t="s">
        <v>1950</v>
      </c>
      <c r="C568" s="519"/>
      <c r="D568" s="519"/>
      <c r="E568" s="519"/>
      <c r="F568" s="519"/>
      <c r="G568" s="520" t="s">
        <v>378</v>
      </c>
      <c r="H568" s="521">
        <v>2019</v>
      </c>
      <c r="I568" s="521"/>
      <c r="J568" s="521">
        <v>2021</v>
      </c>
      <c r="K568" s="521"/>
      <c r="L568" s="521"/>
      <c r="M568" s="500" t="s">
        <v>1951</v>
      </c>
      <c r="N568" s="522">
        <v>15000</v>
      </c>
      <c r="O568" s="522"/>
      <c r="P568" s="523">
        <v>9000</v>
      </c>
      <c r="Q568" s="523"/>
      <c r="R568" s="523"/>
      <c r="S568" s="523"/>
      <c r="T568" s="639">
        <f t="shared" ref="T568:T569" si="418">P568*0.5</f>
        <v>4500</v>
      </c>
      <c r="U568" s="523"/>
      <c r="V568" s="523"/>
      <c r="W568" s="523"/>
      <c r="X568" s="523"/>
      <c r="Y568" s="523"/>
      <c r="Z568" s="523"/>
      <c r="AA568" s="226"/>
      <c r="AB568" s="226"/>
      <c r="AC568" s="226"/>
      <c r="AD568" s="254">
        <f t="shared" si="415"/>
        <v>4500</v>
      </c>
      <c r="AE568" s="524">
        <f t="shared" si="393"/>
        <v>4500</v>
      </c>
      <c r="AF568" s="226"/>
      <c r="AG568" s="226"/>
      <c r="AH568" s="226"/>
      <c r="AI568" s="226"/>
      <c r="AJ568" s="226"/>
      <c r="AK568" s="226"/>
      <c r="AL568" s="1190">
        <f t="shared" ref="AL568:AL569" si="419">AD568</f>
        <v>4500</v>
      </c>
      <c r="AM568" s="1190">
        <f t="shared" ref="AM568:AM569" si="420">AE568-AI568</f>
        <v>4500</v>
      </c>
      <c r="AN568" s="525"/>
      <c r="AO568" s="224" t="s">
        <v>1062</v>
      </c>
      <c r="AQ568" s="225" t="s">
        <v>1025</v>
      </c>
      <c r="AR568" s="225" t="s">
        <v>1169</v>
      </c>
      <c r="AS568" s="226"/>
      <c r="AT568" s="207" t="s">
        <v>307</v>
      </c>
      <c r="AU568" s="526" t="s">
        <v>999</v>
      </c>
      <c r="AV568" s="292" t="s">
        <v>1064</v>
      </c>
      <c r="AW568" s="321"/>
      <c r="AY568" s="216">
        <f t="shared" ref="AY568:AY570" si="421">AZ568+BA568</f>
        <v>0</v>
      </c>
      <c r="AZ568" s="216"/>
      <c r="BA568" s="216"/>
      <c r="BC568" s="321"/>
      <c r="BD568" s="321"/>
      <c r="BE568" s="322"/>
    </row>
    <row r="569" spans="1:57" s="224" customFormat="1" ht="36.75" customHeight="1">
      <c r="A569" s="364">
        <v>39</v>
      </c>
      <c r="B569" s="519" t="s">
        <v>1952</v>
      </c>
      <c r="C569" s="226"/>
      <c r="D569" s="226"/>
      <c r="E569" s="226"/>
      <c r="F569" s="226"/>
      <c r="G569" s="520" t="s">
        <v>333</v>
      </c>
      <c r="H569" s="521">
        <v>2020</v>
      </c>
      <c r="I569" s="521"/>
      <c r="J569" s="521">
        <v>2022</v>
      </c>
      <c r="K569" s="226"/>
      <c r="L569" s="226"/>
      <c r="M569" s="1193"/>
      <c r="N569" s="522">
        <v>10600</v>
      </c>
      <c r="O569" s="522"/>
      <c r="P569" s="523">
        <v>10600</v>
      </c>
      <c r="Q569" s="226"/>
      <c r="R569" s="226"/>
      <c r="S569" s="226"/>
      <c r="T569" s="639">
        <f t="shared" si="418"/>
        <v>5300</v>
      </c>
      <c r="U569" s="226"/>
      <c r="V569" s="226"/>
      <c r="W569" s="1036"/>
      <c r="X569" s="1036"/>
      <c r="Y569" s="1036"/>
      <c r="Z569" s="1036"/>
      <c r="AA569" s="226"/>
      <c r="AB569" s="226"/>
      <c r="AC569" s="226"/>
      <c r="AD569" s="254">
        <f t="shared" si="415"/>
        <v>5300</v>
      </c>
      <c r="AE569" s="524">
        <f t="shared" si="393"/>
        <v>5300</v>
      </c>
      <c r="AF569" s="1036"/>
      <c r="AG569" s="1036"/>
      <c r="AH569" s="1036"/>
      <c r="AI569" s="1036"/>
      <c r="AJ569" s="1036"/>
      <c r="AK569" s="1036"/>
      <c r="AL569" s="1190">
        <f t="shared" si="419"/>
        <v>5300</v>
      </c>
      <c r="AM569" s="1190">
        <f t="shared" si="420"/>
        <v>5300</v>
      </c>
      <c r="AN569" s="226"/>
      <c r="AO569" s="224" t="s">
        <v>1953</v>
      </c>
      <c r="AQ569" s="225" t="s">
        <v>1514</v>
      </c>
      <c r="AR569" s="225" t="s">
        <v>1169</v>
      </c>
      <c r="AS569" s="226"/>
      <c r="AT569" s="207"/>
      <c r="AY569" s="216">
        <f t="shared" si="421"/>
        <v>0</v>
      </c>
      <c r="AZ569" s="216"/>
      <c r="BA569" s="216"/>
    </row>
    <row r="570" spans="1:57" s="224" customFormat="1" ht="38.25">
      <c r="A570" s="364">
        <v>40</v>
      </c>
      <c r="B570" s="519" t="s">
        <v>1954</v>
      </c>
      <c r="C570" s="226"/>
      <c r="D570" s="226"/>
      <c r="E570" s="226"/>
      <c r="F570" s="226"/>
      <c r="G570" s="520" t="s">
        <v>378</v>
      </c>
      <c r="H570" s="521">
        <v>2019</v>
      </c>
      <c r="I570" s="521"/>
      <c r="J570" s="521">
        <v>2021</v>
      </c>
      <c r="K570" s="226"/>
      <c r="L570" s="226"/>
      <c r="M570" s="787" t="s">
        <v>1955</v>
      </c>
      <c r="N570" s="522">
        <v>48800</v>
      </c>
      <c r="O570" s="522"/>
      <c r="P570" s="523">
        <v>28800</v>
      </c>
      <c r="Q570" s="226"/>
      <c r="R570" s="226"/>
      <c r="S570" s="226"/>
      <c r="T570" s="639">
        <f>P570*0.5</f>
        <v>14400</v>
      </c>
      <c r="U570" s="226"/>
      <c r="V570" s="226"/>
      <c r="W570" s="1036"/>
      <c r="X570" s="1036"/>
      <c r="Y570" s="1036"/>
      <c r="Z570" s="1036"/>
      <c r="AA570" s="226"/>
      <c r="AB570" s="226"/>
      <c r="AC570" s="226"/>
      <c r="AD570" s="254">
        <f t="shared" si="415"/>
        <v>14400</v>
      </c>
      <c r="AE570" s="524">
        <f t="shared" si="393"/>
        <v>14400</v>
      </c>
      <c r="AF570" s="1036"/>
      <c r="AG570" s="1036"/>
      <c r="AH570" s="1036"/>
      <c r="AI570" s="1036"/>
      <c r="AJ570" s="1036"/>
      <c r="AK570" s="1036"/>
      <c r="AL570" s="1190">
        <f>AD570</f>
        <v>14400</v>
      </c>
      <c r="AM570" s="1190">
        <f>AE570-AI570</f>
        <v>14400</v>
      </c>
      <c r="AN570" s="226"/>
      <c r="AO570" s="224" t="s">
        <v>1956</v>
      </c>
      <c r="AQ570" s="225" t="s">
        <v>1025</v>
      </c>
      <c r="AR570" s="215" t="s">
        <v>1450</v>
      </c>
      <c r="AS570" s="226"/>
      <c r="AT570" s="207" t="s">
        <v>307</v>
      </c>
      <c r="AU570" s="224" t="s">
        <v>1859</v>
      </c>
      <c r="AY570" s="216">
        <f t="shared" si="421"/>
        <v>7000</v>
      </c>
      <c r="AZ570" s="216"/>
      <c r="BA570" s="216">
        <v>7000</v>
      </c>
    </row>
    <row r="571" spans="1:57" ht="36.75" customHeight="1">
      <c r="A571" s="364">
        <v>41</v>
      </c>
      <c r="B571" s="519" t="s">
        <v>1957</v>
      </c>
      <c r="C571" s="226"/>
      <c r="D571" s="226"/>
      <c r="E571" s="226"/>
      <c r="F571" s="226"/>
      <c r="G571" s="520" t="s">
        <v>378</v>
      </c>
      <c r="H571" s="521">
        <v>2019</v>
      </c>
      <c r="I571" s="521"/>
      <c r="J571" s="521">
        <v>2021</v>
      </c>
      <c r="K571" s="226"/>
      <c r="L571" s="226"/>
      <c r="M571" s="787" t="s">
        <v>1958</v>
      </c>
      <c r="N571" s="522">
        <v>5000</v>
      </c>
      <c r="O571" s="522"/>
      <c r="P571" s="523">
        <v>3000</v>
      </c>
      <c r="Q571" s="226"/>
      <c r="R571" s="226"/>
      <c r="S571" s="226"/>
      <c r="T571" s="639">
        <f>P571*0.5</f>
        <v>1500</v>
      </c>
      <c r="U571" s="226"/>
      <c r="V571" s="226"/>
      <c r="W571" s="1036"/>
      <c r="X571" s="1036"/>
      <c r="Y571" s="1036"/>
      <c r="Z571" s="1036"/>
      <c r="AA571" s="226"/>
      <c r="AB571" s="226"/>
      <c r="AC571" s="226"/>
      <c r="AD571" s="254">
        <f t="shared" si="415"/>
        <v>1500</v>
      </c>
      <c r="AE571" s="524">
        <f t="shared" si="393"/>
        <v>1500</v>
      </c>
      <c r="AF571" s="1036"/>
      <c r="AG571" s="1036"/>
      <c r="AH571" s="1036"/>
      <c r="AI571" s="1036"/>
      <c r="AJ571" s="1036"/>
      <c r="AK571" s="1036"/>
      <c r="AL571" s="1190">
        <f>AD571</f>
        <v>1500</v>
      </c>
      <c r="AM571" s="1190">
        <f>AE571-AI571</f>
        <v>1500</v>
      </c>
      <c r="AN571" s="226"/>
      <c r="AO571" s="207" t="s">
        <v>1959</v>
      </c>
      <c r="AQ571" s="215" t="s">
        <v>1960</v>
      </c>
      <c r="AR571" s="215" t="s">
        <v>1450</v>
      </c>
      <c r="AS571" s="216"/>
      <c r="AT571" s="207" t="s">
        <v>307</v>
      </c>
      <c r="AU571" s="224" t="s">
        <v>2071</v>
      </c>
      <c r="AY571" s="216">
        <f>AZ571+BA571</f>
        <v>1700</v>
      </c>
      <c r="AZ571" s="216"/>
      <c r="BA571" s="216">
        <v>1700</v>
      </c>
    </row>
    <row r="572" spans="1:57" ht="35.25" customHeight="1">
      <c r="A572" s="1194">
        <v>42</v>
      </c>
      <c r="B572" s="1195" t="s">
        <v>2530</v>
      </c>
      <c r="G572" s="1196" t="s">
        <v>378</v>
      </c>
      <c r="H572" s="1197">
        <v>2019</v>
      </c>
      <c r="I572" s="1197"/>
      <c r="J572" s="1197">
        <v>2021</v>
      </c>
      <c r="M572" s="500" t="s">
        <v>2428</v>
      </c>
      <c r="N572" s="1198">
        <v>5000</v>
      </c>
      <c r="O572" s="1198"/>
      <c r="P572" s="1199">
        <v>3000</v>
      </c>
      <c r="Q572" s="1200"/>
      <c r="R572" s="1200"/>
      <c r="S572" s="1200"/>
      <c r="T572" s="639">
        <f>P572*0.5</f>
        <v>1500</v>
      </c>
      <c r="U572" s="1200"/>
      <c r="V572" s="1200"/>
      <c r="W572" s="1201"/>
      <c r="X572" s="1201"/>
      <c r="Y572" s="1201"/>
      <c r="Z572" s="1201"/>
      <c r="AA572" s="1200"/>
      <c r="AB572" s="1200"/>
      <c r="AC572" s="1200"/>
      <c r="AD572" s="254">
        <f t="shared" si="415"/>
        <v>1500</v>
      </c>
      <c r="AE572" s="1200">
        <f t="shared" si="393"/>
        <v>1500</v>
      </c>
      <c r="AF572" s="1201"/>
      <c r="AG572" s="1201"/>
      <c r="AH572" s="1201"/>
      <c r="AI572" s="1201"/>
      <c r="AJ572" s="1201"/>
      <c r="AK572" s="1201"/>
      <c r="AL572" s="1190">
        <f>AD572</f>
        <v>1500</v>
      </c>
      <c r="AM572" s="1190">
        <f>AE572-AI572</f>
        <v>1500</v>
      </c>
      <c r="AN572" s="226"/>
      <c r="AO572" s="207" t="s">
        <v>1961</v>
      </c>
      <c r="AQ572" s="215" t="s">
        <v>538</v>
      </c>
      <c r="AR572" s="215" t="s">
        <v>1194</v>
      </c>
      <c r="AS572" s="216"/>
      <c r="AT572" s="207" t="s">
        <v>307</v>
      </c>
      <c r="AU572" s="207" t="s">
        <v>1962</v>
      </c>
      <c r="AY572" s="216">
        <f t="shared" ref="AY572:AY575" si="422">AZ572+BA572</f>
        <v>0</v>
      </c>
      <c r="AZ572" s="216"/>
      <c r="BA572" s="216"/>
    </row>
    <row r="573" spans="1:57" ht="35.25" customHeight="1">
      <c r="A573" s="1194"/>
      <c r="B573" s="310" t="s">
        <v>1963</v>
      </c>
      <c r="G573" s="1202" t="s">
        <v>395</v>
      </c>
      <c r="H573" s="1202">
        <v>2020</v>
      </c>
      <c r="I573" s="1197"/>
      <c r="J573" s="1202">
        <v>2022</v>
      </c>
      <c r="M573" s="500" t="s">
        <v>2497</v>
      </c>
      <c r="N573" s="1203">
        <v>25000</v>
      </c>
      <c r="O573" s="1198"/>
      <c r="P573" s="1203">
        <v>15000</v>
      </c>
      <c r="Q573" s="1200"/>
      <c r="R573" s="1200"/>
      <c r="S573" s="1200"/>
      <c r="T573" s="639">
        <f>P573*0.3</f>
        <v>4500</v>
      </c>
      <c r="U573" s="1200"/>
      <c r="V573" s="1200"/>
      <c r="W573" s="1201"/>
      <c r="X573" s="1201"/>
      <c r="Y573" s="1201"/>
      <c r="Z573" s="1201"/>
      <c r="AA573" s="1200"/>
      <c r="AB573" s="1200"/>
      <c r="AC573" s="1200"/>
      <c r="AD573" s="254">
        <f t="shared" si="415"/>
        <v>4500</v>
      </c>
      <c r="AE573" s="1200">
        <f t="shared" si="393"/>
        <v>4500</v>
      </c>
      <c r="AF573" s="1201"/>
      <c r="AG573" s="1201"/>
      <c r="AH573" s="1201"/>
      <c r="AI573" s="1201"/>
      <c r="AJ573" s="1201"/>
      <c r="AK573" s="1201"/>
      <c r="AL573" s="1190">
        <f>AD573</f>
        <v>4500</v>
      </c>
      <c r="AM573" s="1190">
        <f>AE573-AI573</f>
        <v>4500</v>
      </c>
      <c r="AN573" s="321"/>
      <c r="AQ573" s="1204"/>
      <c r="AR573" s="1204"/>
      <c r="AS573" s="1205"/>
      <c r="AU573" s="1222" t="s">
        <v>793</v>
      </c>
      <c r="AY573" s="216">
        <f t="shared" si="422"/>
        <v>0</v>
      </c>
      <c r="AZ573" s="216"/>
      <c r="BA573" s="216"/>
    </row>
    <row r="574" spans="1:57" ht="47.25" customHeight="1">
      <c r="A574" s="1194"/>
      <c r="B574" s="310" t="s">
        <v>1964</v>
      </c>
      <c r="G574" s="1202" t="s">
        <v>435</v>
      </c>
      <c r="H574" s="1202">
        <v>2020</v>
      </c>
      <c r="I574" s="1197"/>
      <c r="J574" s="1202">
        <v>2022</v>
      </c>
      <c r="M574" s="500" t="s">
        <v>2388</v>
      </c>
      <c r="N574" s="1203">
        <v>9000</v>
      </c>
      <c r="O574" s="1198"/>
      <c r="P574" s="1203">
        <v>9000</v>
      </c>
      <c r="Q574" s="1200"/>
      <c r="R574" s="1200"/>
      <c r="S574" s="1200"/>
      <c r="T574" s="639">
        <f t="shared" ref="T574:T575" si="423">P574*0.3</f>
        <v>2700</v>
      </c>
      <c r="U574" s="1200"/>
      <c r="V574" s="1200"/>
      <c r="W574" s="1201"/>
      <c r="X574" s="1201"/>
      <c r="Y574" s="1201"/>
      <c r="Z574" s="1201"/>
      <c r="AA574" s="1200"/>
      <c r="AB574" s="1200"/>
      <c r="AC574" s="1200"/>
      <c r="AD574" s="254">
        <f t="shared" si="415"/>
        <v>2700</v>
      </c>
      <c r="AE574" s="1200">
        <f t="shared" si="393"/>
        <v>2700</v>
      </c>
      <c r="AF574" s="1201"/>
      <c r="AG574" s="1201"/>
      <c r="AH574" s="1201"/>
      <c r="AI574" s="1201"/>
      <c r="AJ574" s="1201"/>
      <c r="AK574" s="1201"/>
      <c r="AL574" s="1190">
        <f t="shared" ref="AL574:AL575" si="424">AD574</f>
        <v>2700</v>
      </c>
      <c r="AM574" s="1190">
        <f t="shared" ref="AM574:AM575" si="425">AE574-AI574</f>
        <v>2700</v>
      </c>
      <c r="AN574" s="321"/>
      <c r="AQ574" s="1204"/>
      <c r="AR574" s="1204"/>
      <c r="AS574" s="1205"/>
      <c r="AU574" s="1222" t="s">
        <v>1596</v>
      </c>
      <c r="AY574" s="216">
        <f t="shared" si="422"/>
        <v>0</v>
      </c>
      <c r="AZ574" s="216"/>
      <c r="BA574" s="216"/>
    </row>
    <row r="575" spans="1:57" ht="43.5" customHeight="1">
      <c r="A575" s="1194"/>
      <c r="B575" s="310" t="s">
        <v>1965</v>
      </c>
      <c r="G575" s="1202" t="s">
        <v>373</v>
      </c>
      <c r="H575" s="1202">
        <v>2020</v>
      </c>
      <c r="I575" s="1197"/>
      <c r="J575" s="1202">
        <v>2022</v>
      </c>
      <c r="M575" s="500" t="s">
        <v>2452</v>
      </c>
      <c r="N575" s="1203">
        <v>14900</v>
      </c>
      <c r="O575" s="1198"/>
      <c r="P575" s="1203">
        <v>12000</v>
      </c>
      <c r="Q575" s="1200"/>
      <c r="R575" s="1200"/>
      <c r="S575" s="1200"/>
      <c r="T575" s="639">
        <f t="shared" si="423"/>
        <v>3600</v>
      </c>
      <c r="U575" s="1200"/>
      <c r="V575" s="1200"/>
      <c r="W575" s="1201"/>
      <c r="X575" s="1201"/>
      <c r="Y575" s="1201"/>
      <c r="Z575" s="1201"/>
      <c r="AA575" s="1200"/>
      <c r="AB575" s="1200"/>
      <c r="AC575" s="1200"/>
      <c r="AD575" s="254">
        <f t="shared" si="415"/>
        <v>3600</v>
      </c>
      <c r="AE575" s="1200">
        <f t="shared" si="393"/>
        <v>3600</v>
      </c>
      <c r="AF575" s="1201"/>
      <c r="AG575" s="1201"/>
      <c r="AH575" s="1201"/>
      <c r="AI575" s="1201"/>
      <c r="AJ575" s="1201"/>
      <c r="AK575" s="1201"/>
      <c r="AL575" s="1190">
        <f t="shared" si="424"/>
        <v>3600</v>
      </c>
      <c r="AM575" s="1190">
        <f t="shared" si="425"/>
        <v>3600</v>
      </c>
      <c r="AN575" s="321"/>
      <c r="AQ575" s="1204"/>
      <c r="AR575" s="1204"/>
      <c r="AS575" s="1205"/>
      <c r="AU575" s="1222" t="s">
        <v>1537</v>
      </c>
      <c r="AY575" s="216">
        <f t="shared" si="422"/>
        <v>0</v>
      </c>
      <c r="AZ575" s="216"/>
      <c r="BA575" s="216"/>
    </row>
    <row r="576" spans="1:57" ht="19.5" customHeight="1">
      <c r="A576" s="216"/>
      <c r="B576" s="216"/>
      <c r="C576" s="216"/>
      <c r="D576" s="216"/>
      <c r="E576" s="216"/>
      <c r="F576" s="216"/>
      <c r="G576" s="216"/>
      <c r="H576" s="216"/>
      <c r="I576" s="216"/>
      <c r="J576" s="216"/>
      <c r="K576" s="216"/>
      <c r="L576" s="216"/>
      <c r="M576" s="1206"/>
      <c r="N576" s="216"/>
      <c r="O576" s="216"/>
      <c r="P576" s="216"/>
      <c r="Q576" s="216"/>
      <c r="R576" s="216"/>
      <c r="S576" s="216"/>
      <c r="T576" s="216"/>
      <c r="U576" s="216"/>
      <c r="V576" s="216"/>
      <c r="W576" s="1207"/>
      <c r="X576" s="1207"/>
      <c r="Y576" s="1207"/>
      <c r="Z576" s="1207"/>
      <c r="AA576" s="216"/>
      <c r="AB576" s="216"/>
      <c r="AC576" s="216"/>
      <c r="AD576" s="216"/>
      <c r="AE576" s="216"/>
      <c r="AF576" s="1207"/>
      <c r="AG576" s="1207"/>
      <c r="AH576" s="1207"/>
      <c r="AI576" s="1207"/>
      <c r="AJ576" s="1207"/>
      <c r="AK576" s="1207"/>
      <c r="AL576" s="1207"/>
      <c r="AM576" s="1207"/>
      <c r="AU576" s="216"/>
      <c r="AY576" s="216"/>
      <c r="AZ576" s="216"/>
      <c r="BA576" s="216"/>
    </row>
    <row r="577" spans="1:53" ht="47.25">
      <c r="A577" s="216"/>
      <c r="B577" s="1208" t="s">
        <v>1966</v>
      </c>
      <c r="C577" s="216"/>
      <c r="D577" s="216"/>
      <c r="E577" s="216"/>
      <c r="F577" s="216"/>
      <c r="G577" s="216"/>
      <c r="H577" s="216"/>
      <c r="I577" s="216"/>
      <c r="J577" s="216"/>
      <c r="K577" s="216"/>
      <c r="L577" s="216"/>
      <c r="M577" s="1206"/>
      <c r="N577" s="216"/>
      <c r="O577" s="216"/>
      <c r="P577" s="216"/>
      <c r="Q577" s="216"/>
      <c r="R577" s="216"/>
      <c r="S577" s="216"/>
      <c r="T577" s="216"/>
      <c r="U577" s="216"/>
      <c r="V577" s="216"/>
      <c r="W577" s="1207"/>
      <c r="X577" s="1207"/>
      <c r="Y577" s="1207"/>
      <c r="Z577" s="1207"/>
      <c r="AA577" s="216"/>
      <c r="AB577" s="216"/>
      <c r="AC577" s="216"/>
      <c r="AD577" s="216"/>
      <c r="AE577" s="216"/>
      <c r="AF577" s="1207"/>
      <c r="AG577" s="1207"/>
      <c r="AH577" s="1207"/>
      <c r="AI577" s="1207"/>
      <c r="AJ577" s="1207"/>
      <c r="AK577" s="1207"/>
      <c r="AL577" s="1207"/>
      <c r="AM577" s="1207"/>
      <c r="AU577" s="216"/>
      <c r="AY577" s="216"/>
      <c r="AZ577" s="216"/>
      <c r="BA577" s="216"/>
    </row>
    <row r="578" spans="1:53" ht="31.5">
      <c r="A578" s="216"/>
      <c r="B578" s="310" t="s">
        <v>1967</v>
      </c>
      <c r="C578" s="216"/>
      <c r="D578" s="216"/>
      <c r="E578" s="216"/>
      <c r="F578" s="216"/>
      <c r="G578" s="216" t="s">
        <v>382</v>
      </c>
      <c r="H578" s="216">
        <v>2020</v>
      </c>
      <c r="I578" s="216"/>
      <c r="J578" s="216">
        <v>2022</v>
      </c>
      <c r="K578" s="216"/>
      <c r="L578" s="216"/>
      <c r="M578" s="550"/>
      <c r="N578" s="1209">
        <v>5000</v>
      </c>
      <c r="O578" s="1209"/>
      <c r="P578" s="1209">
        <v>3000</v>
      </c>
      <c r="Q578" s="1209"/>
      <c r="R578" s="1209"/>
      <c r="S578" s="1209"/>
      <c r="T578" s="1209">
        <f>P578*0.3</f>
        <v>900</v>
      </c>
      <c r="U578" s="216"/>
      <c r="V578" s="216"/>
      <c r="W578" s="1207"/>
      <c r="X578" s="1207"/>
      <c r="Y578" s="1207"/>
      <c r="Z578" s="1207"/>
      <c r="AA578" s="216"/>
      <c r="AB578" s="216"/>
      <c r="AC578" s="216"/>
      <c r="AD578" s="1209">
        <f t="shared" ref="AD578:AD602" si="426">T578</f>
        <v>900</v>
      </c>
      <c r="AE578" s="1209">
        <f>AD578</f>
        <v>900</v>
      </c>
      <c r="AF578" s="1207"/>
      <c r="AG578" s="1207"/>
      <c r="AH578" s="1207"/>
      <c r="AI578" s="1207"/>
      <c r="AJ578" s="1207"/>
      <c r="AK578" s="1207"/>
      <c r="AL578" s="1209">
        <f>AD578</f>
        <v>900</v>
      </c>
      <c r="AM578" s="1209">
        <f>AE578-AI578</f>
        <v>900</v>
      </c>
      <c r="AU578" s="1222" t="s">
        <v>768</v>
      </c>
      <c r="AY578" s="216"/>
      <c r="AZ578" s="216"/>
      <c r="BA578" s="216"/>
    </row>
    <row r="579" spans="1:53" ht="31.5">
      <c r="A579" s="216"/>
      <c r="B579" s="552" t="s">
        <v>1968</v>
      </c>
      <c r="C579" s="216"/>
      <c r="D579" s="216"/>
      <c r="E579" s="216"/>
      <c r="F579" s="216"/>
      <c r="G579" s="216" t="s">
        <v>382</v>
      </c>
      <c r="H579" s="216">
        <v>2020</v>
      </c>
      <c r="I579" s="216"/>
      <c r="J579" s="216">
        <v>2022</v>
      </c>
      <c r="K579" s="216"/>
      <c r="L579" s="216"/>
      <c r="M579" s="549" t="s">
        <v>2345</v>
      </c>
      <c r="N579" s="1209">
        <v>6000</v>
      </c>
      <c r="O579" s="1209"/>
      <c r="P579" s="1209">
        <v>3600</v>
      </c>
      <c r="Q579" s="1209"/>
      <c r="R579" s="1209"/>
      <c r="S579" s="1209"/>
      <c r="T579" s="1209">
        <f t="shared" ref="T579:T601" si="427">P579*0.3</f>
        <v>1080</v>
      </c>
      <c r="U579" s="216"/>
      <c r="V579" s="216"/>
      <c r="W579" s="1207"/>
      <c r="X579" s="1207"/>
      <c r="Y579" s="1207"/>
      <c r="Z579" s="1207"/>
      <c r="AA579" s="216"/>
      <c r="AB579" s="216"/>
      <c r="AC579" s="216"/>
      <c r="AD579" s="1209">
        <f t="shared" si="426"/>
        <v>1080</v>
      </c>
      <c r="AE579" s="1209">
        <f t="shared" ref="AE579:AE601" si="428">AD579</f>
        <v>1080</v>
      </c>
      <c r="AF579" s="1207"/>
      <c r="AG579" s="1207"/>
      <c r="AH579" s="1207"/>
      <c r="AI579" s="1207"/>
      <c r="AJ579" s="1207"/>
      <c r="AK579" s="1207"/>
      <c r="AL579" s="1209">
        <f t="shared" ref="AL579:AL601" si="429">AD579</f>
        <v>1080</v>
      </c>
      <c r="AM579" s="1209">
        <f t="shared" ref="AM579:AM601" si="430">AE579-AI579</f>
        <v>1080</v>
      </c>
      <c r="AU579" s="1222" t="s">
        <v>768</v>
      </c>
      <c r="AY579" s="216"/>
      <c r="AZ579" s="216"/>
      <c r="BA579" s="216"/>
    </row>
    <row r="580" spans="1:53" ht="31.5">
      <c r="A580" s="216"/>
      <c r="B580" s="552" t="s">
        <v>1969</v>
      </c>
      <c r="C580" s="216"/>
      <c r="D580" s="216"/>
      <c r="E580" s="216"/>
      <c r="F580" s="216"/>
      <c r="G580" s="216" t="s">
        <v>382</v>
      </c>
      <c r="H580" s="216">
        <v>2020</v>
      </c>
      <c r="I580" s="216"/>
      <c r="J580" s="216">
        <v>2022</v>
      </c>
      <c r="K580" s="216"/>
      <c r="L580" s="216"/>
      <c r="M580" s="549" t="s">
        <v>2344</v>
      </c>
      <c r="N580" s="1209">
        <v>4000</v>
      </c>
      <c r="O580" s="1209"/>
      <c r="P580" s="1209">
        <v>2400</v>
      </c>
      <c r="Q580" s="1209"/>
      <c r="R580" s="1209"/>
      <c r="S580" s="1209"/>
      <c r="T580" s="1209">
        <f t="shared" si="427"/>
        <v>720</v>
      </c>
      <c r="U580" s="216"/>
      <c r="V580" s="216"/>
      <c r="W580" s="1207"/>
      <c r="X580" s="1207"/>
      <c r="Y580" s="1207"/>
      <c r="Z580" s="1207"/>
      <c r="AA580" s="216"/>
      <c r="AB580" s="216"/>
      <c r="AC580" s="216"/>
      <c r="AD580" s="1209">
        <f t="shared" si="426"/>
        <v>720</v>
      </c>
      <c r="AE580" s="1209">
        <f t="shared" si="428"/>
        <v>720</v>
      </c>
      <c r="AF580" s="1207"/>
      <c r="AG580" s="1207"/>
      <c r="AH580" s="1207"/>
      <c r="AI580" s="1207"/>
      <c r="AJ580" s="1207"/>
      <c r="AK580" s="1207"/>
      <c r="AL580" s="1209">
        <f t="shared" si="429"/>
        <v>720</v>
      </c>
      <c r="AM580" s="1209">
        <f t="shared" si="430"/>
        <v>720</v>
      </c>
      <c r="AU580" s="1222" t="s">
        <v>886</v>
      </c>
      <c r="AY580" s="216"/>
      <c r="AZ580" s="216"/>
      <c r="BA580" s="216"/>
    </row>
    <row r="581" spans="1:53" ht="31.5">
      <c r="A581" s="216"/>
      <c r="B581" s="310" t="s">
        <v>1970</v>
      </c>
      <c r="C581" s="216"/>
      <c r="D581" s="216"/>
      <c r="E581" s="216"/>
      <c r="F581" s="216"/>
      <c r="G581" s="216" t="s">
        <v>382</v>
      </c>
      <c r="H581" s="216">
        <v>2020</v>
      </c>
      <c r="I581" s="216"/>
      <c r="J581" s="216">
        <v>2022</v>
      </c>
      <c r="K581" s="216"/>
      <c r="L581" s="216"/>
      <c r="M581" s="550"/>
      <c r="N581" s="1209">
        <v>5500</v>
      </c>
      <c r="O581" s="1209"/>
      <c r="P581" s="1209">
        <v>3300</v>
      </c>
      <c r="Q581" s="1209"/>
      <c r="R581" s="1209"/>
      <c r="S581" s="1209"/>
      <c r="T581" s="1209">
        <f t="shared" si="427"/>
        <v>990</v>
      </c>
      <c r="U581" s="216"/>
      <c r="V581" s="216"/>
      <c r="W581" s="1207"/>
      <c r="X581" s="1207"/>
      <c r="Y581" s="1207"/>
      <c r="Z581" s="1207"/>
      <c r="AA581" s="216"/>
      <c r="AB581" s="216"/>
      <c r="AC581" s="216"/>
      <c r="AD581" s="1209">
        <f t="shared" si="426"/>
        <v>990</v>
      </c>
      <c r="AE581" s="1209">
        <f t="shared" si="428"/>
        <v>990</v>
      </c>
      <c r="AF581" s="1207"/>
      <c r="AG581" s="1207"/>
      <c r="AH581" s="1207"/>
      <c r="AI581" s="1207"/>
      <c r="AJ581" s="1207"/>
      <c r="AK581" s="1207"/>
      <c r="AL581" s="1209">
        <f t="shared" si="429"/>
        <v>990</v>
      </c>
      <c r="AM581" s="1209">
        <f t="shared" si="430"/>
        <v>990</v>
      </c>
      <c r="AU581" s="1222" t="s">
        <v>886</v>
      </c>
      <c r="AY581" s="216"/>
      <c r="AZ581" s="216"/>
      <c r="BA581" s="216"/>
    </row>
    <row r="582" spans="1:53" ht="47.25">
      <c r="A582" s="216"/>
      <c r="B582" s="1210" t="s">
        <v>2512</v>
      </c>
      <c r="C582" s="216"/>
      <c r="D582" s="216"/>
      <c r="E582" s="216"/>
      <c r="F582" s="216"/>
      <c r="G582" s="216" t="s">
        <v>382</v>
      </c>
      <c r="H582" s="216">
        <v>2020</v>
      </c>
      <c r="I582" s="216"/>
      <c r="J582" s="216">
        <v>2022</v>
      </c>
      <c r="K582" s="216"/>
      <c r="L582" s="216"/>
      <c r="M582" s="549" t="s">
        <v>2453</v>
      </c>
      <c r="N582" s="1209">
        <v>13500</v>
      </c>
      <c r="O582" s="1209"/>
      <c r="P582" s="1209">
        <v>8100</v>
      </c>
      <c r="Q582" s="1209"/>
      <c r="R582" s="1209"/>
      <c r="S582" s="1209"/>
      <c r="T582" s="1209">
        <f t="shared" si="427"/>
        <v>2430</v>
      </c>
      <c r="U582" s="216"/>
      <c r="V582" s="216"/>
      <c r="W582" s="1207"/>
      <c r="X582" s="1207"/>
      <c r="Y582" s="1207"/>
      <c r="Z582" s="1207"/>
      <c r="AA582" s="216"/>
      <c r="AB582" s="216"/>
      <c r="AC582" s="216"/>
      <c r="AD582" s="1209">
        <f t="shared" si="426"/>
        <v>2430</v>
      </c>
      <c r="AE582" s="1209">
        <f t="shared" si="428"/>
        <v>2430</v>
      </c>
      <c r="AF582" s="1207"/>
      <c r="AG582" s="1207"/>
      <c r="AH582" s="1207"/>
      <c r="AI582" s="1207"/>
      <c r="AJ582" s="1207"/>
      <c r="AK582" s="1207"/>
      <c r="AL582" s="1209">
        <f t="shared" si="429"/>
        <v>2430</v>
      </c>
      <c r="AM582" s="1209">
        <f t="shared" si="430"/>
        <v>2430</v>
      </c>
      <c r="AU582" s="1222" t="s">
        <v>1451</v>
      </c>
      <c r="AY582" s="216"/>
      <c r="AZ582" s="216"/>
      <c r="BA582" s="216"/>
    </row>
    <row r="583" spans="1:53" ht="31.5">
      <c r="A583" s="216"/>
      <c r="B583" s="547" t="s">
        <v>1971</v>
      </c>
      <c r="C583" s="216"/>
      <c r="D583" s="216"/>
      <c r="E583" s="216"/>
      <c r="F583" s="216"/>
      <c r="G583" s="216" t="s">
        <v>382</v>
      </c>
      <c r="H583" s="216">
        <v>2020</v>
      </c>
      <c r="I583" s="216"/>
      <c r="J583" s="216">
        <v>2022</v>
      </c>
      <c r="K583" s="216"/>
      <c r="L583" s="216"/>
      <c r="M583" s="1465" t="s">
        <v>2335</v>
      </c>
      <c r="N583" s="1209">
        <v>5000</v>
      </c>
      <c r="O583" s="1209"/>
      <c r="P583" s="1209">
        <v>3000</v>
      </c>
      <c r="Q583" s="1209"/>
      <c r="R583" s="1209"/>
      <c r="S583" s="1209"/>
      <c r="T583" s="1209">
        <f t="shared" si="427"/>
        <v>900</v>
      </c>
      <c r="U583" s="216"/>
      <c r="V583" s="216"/>
      <c r="W583" s="1207"/>
      <c r="X583" s="1207"/>
      <c r="Y583" s="1207"/>
      <c r="Z583" s="1207"/>
      <c r="AA583" s="216"/>
      <c r="AB583" s="216"/>
      <c r="AC583" s="216"/>
      <c r="AD583" s="1209">
        <f t="shared" si="426"/>
        <v>900</v>
      </c>
      <c r="AE583" s="1209">
        <f t="shared" si="428"/>
        <v>900</v>
      </c>
      <c r="AF583" s="1207"/>
      <c r="AG583" s="1207"/>
      <c r="AH583" s="1207"/>
      <c r="AI583" s="1207"/>
      <c r="AJ583" s="1207"/>
      <c r="AK583" s="1207"/>
      <c r="AL583" s="1209">
        <f t="shared" si="429"/>
        <v>900</v>
      </c>
      <c r="AM583" s="1209">
        <f t="shared" si="430"/>
        <v>900</v>
      </c>
      <c r="AU583" s="1222" t="s">
        <v>1990</v>
      </c>
      <c r="AY583" s="216"/>
      <c r="AZ583" s="216"/>
      <c r="BA583" s="216"/>
    </row>
    <row r="584" spans="1:53" ht="31.5">
      <c r="A584" s="216"/>
      <c r="B584" s="547" t="s">
        <v>1972</v>
      </c>
      <c r="C584" s="216"/>
      <c r="D584" s="216"/>
      <c r="E584" s="216"/>
      <c r="F584" s="216"/>
      <c r="G584" s="216" t="s">
        <v>382</v>
      </c>
      <c r="H584" s="216">
        <v>2020</v>
      </c>
      <c r="I584" s="216"/>
      <c r="J584" s="216">
        <v>2022</v>
      </c>
      <c r="K584" s="216"/>
      <c r="L584" s="216"/>
      <c r="M584" s="1211"/>
      <c r="N584" s="1209">
        <v>5000</v>
      </c>
      <c r="O584" s="1209"/>
      <c r="P584" s="1209">
        <v>3000</v>
      </c>
      <c r="Q584" s="1209"/>
      <c r="R584" s="1209"/>
      <c r="S584" s="1209"/>
      <c r="T584" s="1209">
        <f t="shared" si="427"/>
        <v>900</v>
      </c>
      <c r="U584" s="216"/>
      <c r="V584" s="216"/>
      <c r="W584" s="1207"/>
      <c r="X584" s="1207"/>
      <c r="Y584" s="1207"/>
      <c r="Z584" s="1207"/>
      <c r="AA584" s="216"/>
      <c r="AB584" s="216"/>
      <c r="AC584" s="216"/>
      <c r="AD584" s="1209">
        <f t="shared" si="426"/>
        <v>900</v>
      </c>
      <c r="AE584" s="1209">
        <f t="shared" si="428"/>
        <v>900</v>
      </c>
      <c r="AF584" s="1207"/>
      <c r="AG584" s="1207"/>
      <c r="AH584" s="1207"/>
      <c r="AI584" s="1207"/>
      <c r="AJ584" s="1207"/>
      <c r="AK584" s="1207"/>
      <c r="AL584" s="1209">
        <f t="shared" si="429"/>
        <v>900</v>
      </c>
      <c r="AM584" s="1209">
        <f t="shared" si="430"/>
        <v>900</v>
      </c>
      <c r="AU584" s="1222" t="s">
        <v>768</v>
      </c>
      <c r="AY584" s="216"/>
      <c r="AZ584" s="216"/>
      <c r="BA584" s="216"/>
    </row>
    <row r="585" spans="1:53" ht="31.5">
      <c r="A585" s="216"/>
      <c r="B585" s="547" t="s">
        <v>1973</v>
      </c>
      <c r="C585" s="216"/>
      <c r="D585" s="216"/>
      <c r="E585" s="216"/>
      <c r="F585" s="216"/>
      <c r="G585" s="216" t="s">
        <v>382</v>
      </c>
      <c r="H585" s="216">
        <v>2020</v>
      </c>
      <c r="I585" s="216"/>
      <c r="J585" s="216">
        <v>2022</v>
      </c>
      <c r="K585" s="216"/>
      <c r="L585" s="216"/>
      <c r="M585" s="549" t="s">
        <v>2454</v>
      </c>
      <c r="N585" s="1209">
        <v>10000</v>
      </c>
      <c r="O585" s="1209"/>
      <c r="P585" s="1209">
        <v>6000</v>
      </c>
      <c r="Q585" s="1209"/>
      <c r="R585" s="1209"/>
      <c r="S585" s="1209"/>
      <c r="T585" s="1209">
        <f t="shared" si="427"/>
        <v>1800</v>
      </c>
      <c r="U585" s="216"/>
      <c r="V585" s="216"/>
      <c r="W585" s="1207"/>
      <c r="X585" s="1207"/>
      <c r="Y585" s="1207"/>
      <c r="Z585" s="1207"/>
      <c r="AA585" s="216"/>
      <c r="AB585" s="216"/>
      <c r="AC585" s="216"/>
      <c r="AD585" s="1209">
        <f t="shared" si="426"/>
        <v>1800</v>
      </c>
      <c r="AE585" s="1209">
        <f t="shared" si="428"/>
        <v>1800</v>
      </c>
      <c r="AF585" s="1207"/>
      <c r="AG585" s="1207"/>
      <c r="AH585" s="1207"/>
      <c r="AI585" s="1207"/>
      <c r="AJ585" s="1207"/>
      <c r="AK585" s="1207"/>
      <c r="AL585" s="1209">
        <f t="shared" si="429"/>
        <v>1800</v>
      </c>
      <c r="AM585" s="1209">
        <f t="shared" si="430"/>
        <v>1800</v>
      </c>
      <c r="AU585" s="1222" t="s">
        <v>530</v>
      </c>
      <c r="AY585" s="216"/>
      <c r="AZ585" s="216"/>
      <c r="BA585" s="216"/>
    </row>
    <row r="586" spans="1:53" ht="31.5">
      <c r="A586" s="216"/>
      <c r="B586" s="310" t="s">
        <v>1778</v>
      </c>
      <c r="C586" s="216"/>
      <c r="D586" s="216"/>
      <c r="E586" s="216"/>
      <c r="F586" s="216"/>
      <c r="G586" s="216" t="s">
        <v>378</v>
      </c>
      <c r="H586" s="216">
        <v>2020</v>
      </c>
      <c r="I586" s="216"/>
      <c r="J586" s="216">
        <v>2022</v>
      </c>
      <c r="K586" s="216"/>
      <c r="L586" s="216"/>
      <c r="M586" s="553"/>
      <c r="N586" s="1209">
        <v>3500</v>
      </c>
      <c r="O586" s="1209"/>
      <c r="P586" s="1209">
        <v>2100</v>
      </c>
      <c r="Q586" s="216"/>
      <c r="R586" s="216"/>
      <c r="S586" s="216"/>
      <c r="T586" s="1209">
        <f t="shared" si="427"/>
        <v>630</v>
      </c>
      <c r="U586" s="216"/>
      <c r="V586" s="216"/>
      <c r="W586" s="1207"/>
      <c r="X586" s="1207"/>
      <c r="Y586" s="1207"/>
      <c r="Z586" s="1207"/>
      <c r="AA586" s="216"/>
      <c r="AB586" s="216"/>
      <c r="AC586" s="216"/>
      <c r="AD586" s="1209">
        <f t="shared" si="426"/>
        <v>630</v>
      </c>
      <c r="AE586" s="1209">
        <f t="shared" si="428"/>
        <v>630</v>
      </c>
      <c r="AF586" s="1207"/>
      <c r="AG586" s="1207"/>
      <c r="AH586" s="1207"/>
      <c r="AI586" s="1207"/>
      <c r="AJ586" s="1207"/>
      <c r="AK586" s="1207"/>
      <c r="AL586" s="1209">
        <f t="shared" si="429"/>
        <v>630</v>
      </c>
      <c r="AM586" s="1209">
        <f t="shared" si="430"/>
        <v>630</v>
      </c>
      <c r="AU586" s="1223" t="s">
        <v>1781</v>
      </c>
      <c r="AY586" s="216"/>
      <c r="AZ586" s="216"/>
      <c r="BA586" s="216"/>
    </row>
    <row r="587" spans="1:53" ht="31.5">
      <c r="A587" s="216"/>
      <c r="B587" s="310" t="s">
        <v>1974</v>
      </c>
      <c r="C587" s="216"/>
      <c r="D587" s="216"/>
      <c r="E587" s="216"/>
      <c r="F587" s="216"/>
      <c r="G587" s="216" t="s">
        <v>378</v>
      </c>
      <c r="H587" s="216">
        <v>2020</v>
      </c>
      <c r="I587" s="216"/>
      <c r="J587" s="216">
        <v>2022</v>
      </c>
      <c r="K587" s="216"/>
      <c r="L587" s="216"/>
      <c r="M587" s="550"/>
      <c r="N587" s="1209">
        <v>10000</v>
      </c>
      <c r="O587" s="1209"/>
      <c r="P587" s="1209">
        <v>6000</v>
      </c>
      <c r="Q587" s="216"/>
      <c r="R587" s="216"/>
      <c r="S587" s="216"/>
      <c r="T587" s="1209">
        <f t="shared" si="427"/>
        <v>1800</v>
      </c>
      <c r="U587" s="216"/>
      <c r="V587" s="216"/>
      <c r="W587" s="1207"/>
      <c r="X587" s="1207"/>
      <c r="Y587" s="1207"/>
      <c r="Z587" s="1207"/>
      <c r="AA587" s="216"/>
      <c r="AB587" s="216"/>
      <c r="AC587" s="216"/>
      <c r="AD587" s="1209">
        <f t="shared" si="426"/>
        <v>1800</v>
      </c>
      <c r="AE587" s="1209">
        <f t="shared" si="428"/>
        <v>1800</v>
      </c>
      <c r="AF587" s="1207"/>
      <c r="AG587" s="1207"/>
      <c r="AH587" s="1207"/>
      <c r="AI587" s="1207"/>
      <c r="AJ587" s="1207"/>
      <c r="AK587" s="1207"/>
      <c r="AL587" s="1209">
        <f t="shared" si="429"/>
        <v>1800</v>
      </c>
      <c r="AM587" s="1209">
        <f t="shared" si="430"/>
        <v>1800</v>
      </c>
      <c r="AU587" s="1223" t="s">
        <v>1295</v>
      </c>
      <c r="AY587" s="216"/>
      <c r="AZ587" s="216"/>
      <c r="BA587" s="216"/>
    </row>
    <row r="588" spans="1:53" ht="31.5">
      <c r="A588" s="216"/>
      <c r="B588" s="1583" t="s">
        <v>2470</v>
      </c>
      <c r="C588" s="216"/>
      <c r="D588" s="216"/>
      <c r="E588" s="216"/>
      <c r="F588" s="216"/>
      <c r="G588" s="216" t="s">
        <v>378</v>
      </c>
      <c r="H588" s="216">
        <v>2020</v>
      </c>
      <c r="I588" s="216"/>
      <c r="J588" s="216">
        <v>2022</v>
      </c>
      <c r="K588" s="216"/>
      <c r="L588" s="216"/>
      <c r="M588" s="550" t="s">
        <v>2442</v>
      </c>
      <c r="N588" s="1209">
        <v>10000</v>
      </c>
      <c r="O588" s="1209"/>
      <c r="P588" s="1209">
        <v>6000</v>
      </c>
      <c r="Q588" s="216"/>
      <c r="R588" s="216"/>
      <c r="S588" s="216"/>
      <c r="T588" s="1209">
        <f t="shared" si="427"/>
        <v>1800</v>
      </c>
      <c r="U588" s="216"/>
      <c r="V588" s="216"/>
      <c r="W588" s="1207"/>
      <c r="X588" s="1207"/>
      <c r="Y588" s="1207"/>
      <c r="Z588" s="1207"/>
      <c r="AA588" s="216"/>
      <c r="AB588" s="216"/>
      <c r="AC588" s="216"/>
      <c r="AD588" s="1209">
        <f t="shared" si="426"/>
        <v>1800</v>
      </c>
      <c r="AE588" s="1209">
        <f t="shared" si="428"/>
        <v>1800</v>
      </c>
      <c r="AF588" s="1207"/>
      <c r="AG588" s="1207"/>
      <c r="AH588" s="1207"/>
      <c r="AI588" s="1207"/>
      <c r="AJ588" s="1207"/>
      <c r="AK588" s="1207"/>
      <c r="AL588" s="1209">
        <f t="shared" si="429"/>
        <v>1800</v>
      </c>
      <c r="AM588" s="1209">
        <f t="shared" si="430"/>
        <v>1800</v>
      </c>
      <c r="AU588" s="1223" t="s">
        <v>999</v>
      </c>
      <c r="AY588" s="216"/>
      <c r="AZ588" s="216"/>
      <c r="BA588" s="216"/>
    </row>
    <row r="589" spans="1:53" ht="94.5">
      <c r="A589" s="216"/>
      <c r="B589" s="547" t="s">
        <v>1975</v>
      </c>
      <c r="C589" s="216"/>
      <c r="D589" s="216"/>
      <c r="E589" s="216"/>
      <c r="F589" s="216"/>
      <c r="G589" s="216" t="s">
        <v>333</v>
      </c>
      <c r="H589" s="216">
        <v>2020</v>
      </c>
      <c r="I589" s="216"/>
      <c r="J589" s="216">
        <v>2022</v>
      </c>
      <c r="K589" s="216"/>
      <c r="L589" s="216"/>
      <c r="M589" s="1206"/>
      <c r="N589" s="1209">
        <v>20000</v>
      </c>
      <c r="O589" s="1209"/>
      <c r="P589" s="1209">
        <v>12000</v>
      </c>
      <c r="Q589" s="216"/>
      <c r="R589" s="216"/>
      <c r="S589" s="216"/>
      <c r="T589" s="1209">
        <f t="shared" si="427"/>
        <v>3600</v>
      </c>
      <c r="U589" s="216"/>
      <c r="V589" s="216"/>
      <c r="W589" s="1207"/>
      <c r="X589" s="1207"/>
      <c r="Y589" s="1207"/>
      <c r="Z589" s="1207"/>
      <c r="AA589" s="216"/>
      <c r="AB589" s="216"/>
      <c r="AC589" s="216"/>
      <c r="AD589" s="1209">
        <f t="shared" si="426"/>
        <v>3600</v>
      </c>
      <c r="AE589" s="1209">
        <f t="shared" si="428"/>
        <v>3600</v>
      </c>
      <c r="AF589" s="1207"/>
      <c r="AG589" s="1207"/>
      <c r="AH589" s="1207"/>
      <c r="AI589" s="1207"/>
      <c r="AJ589" s="1207"/>
      <c r="AK589" s="1207"/>
      <c r="AL589" s="1209">
        <f t="shared" si="429"/>
        <v>3600</v>
      </c>
      <c r="AM589" s="1209">
        <f t="shared" si="430"/>
        <v>3600</v>
      </c>
      <c r="AU589" s="1222" t="s">
        <v>1750</v>
      </c>
      <c r="AY589" s="216"/>
      <c r="AZ589" s="216"/>
      <c r="BA589" s="216"/>
    </row>
    <row r="590" spans="1:53" ht="47.25">
      <c r="A590" s="216"/>
      <c r="B590" s="310" t="s">
        <v>2513</v>
      </c>
      <c r="C590" s="216"/>
      <c r="D590" s="216"/>
      <c r="E590" s="216"/>
      <c r="F590" s="216"/>
      <c r="G590" s="216" t="s">
        <v>395</v>
      </c>
      <c r="H590" s="216">
        <v>2020</v>
      </c>
      <c r="I590" s="216"/>
      <c r="J590" s="216">
        <v>2022</v>
      </c>
      <c r="K590" s="216"/>
      <c r="L590" s="216"/>
      <c r="M590" s="1465" t="s">
        <v>2336</v>
      </c>
      <c r="N590" s="1209">
        <v>6000</v>
      </c>
      <c r="O590" s="1209"/>
      <c r="P590" s="1209">
        <v>3600</v>
      </c>
      <c r="Q590" s="216"/>
      <c r="R590" s="216"/>
      <c r="S590" s="216"/>
      <c r="T590" s="1209">
        <f t="shared" si="427"/>
        <v>1080</v>
      </c>
      <c r="U590" s="216"/>
      <c r="V590" s="216"/>
      <c r="W590" s="1207"/>
      <c r="X590" s="1207"/>
      <c r="Y590" s="1207"/>
      <c r="Z590" s="1207"/>
      <c r="AA590" s="216"/>
      <c r="AB590" s="216"/>
      <c r="AC590" s="216"/>
      <c r="AD590" s="1209">
        <f t="shared" si="426"/>
        <v>1080</v>
      </c>
      <c r="AE590" s="1209">
        <f t="shared" si="428"/>
        <v>1080</v>
      </c>
      <c r="AF590" s="1207"/>
      <c r="AG590" s="1207"/>
      <c r="AH590" s="1207"/>
      <c r="AI590" s="1207"/>
      <c r="AJ590" s="1207"/>
      <c r="AK590" s="1207"/>
      <c r="AL590" s="1209">
        <f t="shared" si="429"/>
        <v>1080</v>
      </c>
      <c r="AM590" s="1209">
        <f t="shared" si="430"/>
        <v>1080</v>
      </c>
      <c r="AU590" s="1222" t="s">
        <v>1991</v>
      </c>
      <c r="AY590" s="216"/>
      <c r="AZ590" s="216"/>
      <c r="BA590" s="216"/>
    </row>
    <row r="591" spans="1:53" ht="31.5">
      <c r="A591" s="216"/>
      <c r="B591" s="310" t="s">
        <v>1976</v>
      </c>
      <c r="C591" s="216"/>
      <c r="D591" s="216"/>
      <c r="E591" s="216"/>
      <c r="F591" s="216"/>
      <c r="G591" s="216" t="s">
        <v>401</v>
      </c>
      <c r="H591" s="216">
        <v>2020</v>
      </c>
      <c r="I591" s="216"/>
      <c r="J591" s="216">
        <v>2022</v>
      </c>
      <c r="K591" s="216"/>
      <c r="L591" s="216"/>
      <c r="M591" s="549" t="s">
        <v>2455</v>
      </c>
      <c r="N591" s="1209">
        <v>3212</v>
      </c>
      <c r="O591" s="1209"/>
      <c r="P591" s="1212">
        <v>1927</v>
      </c>
      <c r="Q591" s="216"/>
      <c r="R591" s="216"/>
      <c r="S591" s="216"/>
      <c r="T591" s="1209">
        <f t="shared" si="427"/>
        <v>578.1</v>
      </c>
      <c r="U591" s="216"/>
      <c r="V591" s="216"/>
      <c r="W591" s="1207"/>
      <c r="X591" s="1207"/>
      <c r="Y591" s="1207"/>
      <c r="Z591" s="1207"/>
      <c r="AA591" s="216"/>
      <c r="AB591" s="216"/>
      <c r="AC591" s="216"/>
      <c r="AD591" s="1209">
        <f t="shared" si="426"/>
        <v>578.1</v>
      </c>
      <c r="AE591" s="1209">
        <f t="shared" si="428"/>
        <v>578.1</v>
      </c>
      <c r="AF591" s="1207"/>
      <c r="AG591" s="1207"/>
      <c r="AH591" s="1207"/>
      <c r="AI591" s="1207"/>
      <c r="AJ591" s="1207"/>
      <c r="AK591" s="1207"/>
      <c r="AL591" s="1209">
        <f t="shared" si="429"/>
        <v>578.1</v>
      </c>
      <c r="AM591" s="1209">
        <f t="shared" si="430"/>
        <v>578.1</v>
      </c>
      <c r="AU591" s="1224" t="s">
        <v>1992</v>
      </c>
      <c r="AY591" s="216"/>
      <c r="AZ591" s="216"/>
      <c r="BA591" s="216"/>
    </row>
    <row r="592" spans="1:53" ht="31.5">
      <c r="A592" s="216"/>
      <c r="B592" s="547" t="s">
        <v>1977</v>
      </c>
      <c r="C592" s="216"/>
      <c r="D592" s="216"/>
      <c r="E592" s="216"/>
      <c r="F592" s="216"/>
      <c r="G592" s="216" t="s">
        <v>341</v>
      </c>
      <c r="H592" s="216">
        <v>2020</v>
      </c>
      <c r="I592" s="216"/>
      <c r="J592" s="216">
        <v>2022</v>
      </c>
      <c r="K592" s="216"/>
      <c r="L592" s="216"/>
      <c r="M592" s="1465" t="s">
        <v>2333</v>
      </c>
      <c r="N592" s="1209">
        <v>6000</v>
      </c>
      <c r="O592" s="1209"/>
      <c r="P592" s="1212">
        <v>3600</v>
      </c>
      <c r="Q592" s="216"/>
      <c r="R592" s="216"/>
      <c r="S592" s="216"/>
      <c r="T592" s="1209">
        <f t="shared" si="427"/>
        <v>1080</v>
      </c>
      <c r="U592" s="216"/>
      <c r="V592" s="216"/>
      <c r="W592" s="1207"/>
      <c r="X592" s="1207"/>
      <c r="Y592" s="1207"/>
      <c r="Z592" s="1207"/>
      <c r="AA592" s="216"/>
      <c r="AB592" s="216"/>
      <c r="AC592" s="216"/>
      <c r="AD592" s="1209">
        <f t="shared" si="426"/>
        <v>1080</v>
      </c>
      <c r="AE592" s="1209">
        <f t="shared" si="428"/>
        <v>1080</v>
      </c>
      <c r="AF592" s="1207"/>
      <c r="AG592" s="1207"/>
      <c r="AH592" s="1207"/>
      <c r="AI592" s="1207"/>
      <c r="AJ592" s="1207"/>
      <c r="AK592" s="1207"/>
      <c r="AL592" s="1209">
        <f t="shared" si="429"/>
        <v>1080</v>
      </c>
      <c r="AM592" s="1209">
        <f t="shared" si="430"/>
        <v>1080</v>
      </c>
      <c r="AU592" s="1224" t="s">
        <v>1912</v>
      </c>
      <c r="AY592" s="216"/>
      <c r="AZ592" s="216"/>
      <c r="BA592" s="216"/>
    </row>
    <row r="593" spans="1:53" ht="26.25" customHeight="1">
      <c r="A593" s="216"/>
      <c r="B593" s="547" t="s">
        <v>1978</v>
      </c>
      <c r="C593" s="216"/>
      <c r="D593" s="216"/>
      <c r="E593" s="216"/>
      <c r="F593" s="216"/>
      <c r="G593" s="216" t="s">
        <v>435</v>
      </c>
      <c r="H593" s="216">
        <v>2020</v>
      </c>
      <c r="I593" s="216"/>
      <c r="J593" s="216">
        <v>2022</v>
      </c>
      <c r="K593" s="216"/>
      <c r="L593" s="216"/>
      <c r="M593" s="1465" t="s">
        <v>2418</v>
      </c>
      <c r="N593" s="1209">
        <v>8600</v>
      </c>
      <c r="O593" s="1209"/>
      <c r="P593" s="1212">
        <v>5000</v>
      </c>
      <c r="Q593" s="216"/>
      <c r="R593" s="216"/>
      <c r="S593" s="216"/>
      <c r="T593" s="1209">
        <f t="shared" si="427"/>
        <v>1500</v>
      </c>
      <c r="U593" s="216"/>
      <c r="V593" s="216"/>
      <c r="W593" s="1207"/>
      <c r="X593" s="1207"/>
      <c r="Y593" s="1207"/>
      <c r="Z593" s="1207"/>
      <c r="AA593" s="216"/>
      <c r="AB593" s="216"/>
      <c r="AC593" s="216"/>
      <c r="AD593" s="1209">
        <f t="shared" si="426"/>
        <v>1500</v>
      </c>
      <c r="AE593" s="1209">
        <f t="shared" si="428"/>
        <v>1500</v>
      </c>
      <c r="AF593" s="1207"/>
      <c r="AG593" s="1207"/>
      <c r="AH593" s="1207"/>
      <c r="AI593" s="1207"/>
      <c r="AJ593" s="1207"/>
      <c r="AK593" s="1207"/>
      <c r="AL593" s="1209">
        <f t="shared" si="429"/>
        <v>1500</v>
      </c>
      <c r="AM593" s="1209">
        <f t="shared" si="430"/>
        <v>1500</v>
      </c>
      <c r="AU593" s="372" t="s">
        <v>614</v>
      </c>
      <c r="AY593" s="216"/>
      <c r="AZ593" s="216"/>
      <c r="BA593" s="216"/>
    </row>
    <row r="594" spans="1:53" ht="31.5">
      <c r="A594" s="216"/>
      <c r="B594" s="310" t="s">
        <v>1979</v>
      </c>
      <c r="C594" s="216"/>
      <c r="D594" s="216"/>
      <c r="E594" s="216"/>
      <c r="F594" s="216"/>
      <c r="G594" s="216" t="s">
        <v>435</v>
      </c>
      <c r="H594" s="216">
        <v>2020</v>
      </c>
      <c r="I594" s="216"/>
      <c r="J594" s="216">
        <v>2022</v>
      </c>
      <c r="K594" s="216"/>
      <c r="L594" s="216"/>
      <c r="M594" s="550"/>
      <c r="N594" s="1209">
        <v>1500</v>
      </c>
      <c r="O594" s="1209"/>
      <c r="P594" s="1212">
        <v>900</v>
      </c>
      <c r="Q594" s="216"/>
      <c r="R594" s="216"/>
      <c r="S594" s="216"/>
      <c r="T594" s="1209">
        <f t="shared" si="427"/>
        <v>270</v>
      </c>
      <c r="U594" s="216"/>
      <c r="V594" s="216"/>
      <c r="W594" s="1207"/>
      <c r="X594" s="1207"/>
      <c r="Y594" s="1207"/>
      <c r="Z594" s="1207"/>
      <c r="AA594" s="216"/>
      <c r="AB594" s="216"/>
      <c r="AC594" s="216"/>
      <c r="AD594" s="1209">
        <f t="shared" si="426"/>
        <v>270</v>
      </c>
      <c r="AE594" s="1209">
        <f t="shared" si="428"/>
        <v>270</v>
      </c>
      <c r="AF594" s="1207"/>
      <c r="AG594" s="1207"/>
      <c r="AH594" s="1207"/>
      <c r="AI594" s="1207"/>
      <c r="AJ594" s="1207"/>
      <c r="AK594" s="1207"/>
      <c r="AL594" s="1209">
        <f t="shared" si="429"/>
        <v>270</v>
      </c>
      <c r="AM594" s="1209">
        <f t="shared" si="430"/>
        <v>270</v>
      </c>
      <c r="AU594" s="372" t="s">
        <v>994</v>
      </c>
      <c r="AY594" s="216"/>
      <c r="AZ594" s="216"/>
      <c r="BA594" s="216"/>
    </row>
    <row r="595" spans="1:53" ht="31.5">
      <c r="A595" s="216"/>
      <c r="B595" s="310" t="s">
        <v>1980</v>
      </c>
      <c r="C595" s="216"/>
      <c r="D595" s="216"/>
      <c r="E595" s="216"/>
      <c r="F595" s="216"/>
      <c r="G595" s="216" t="s">
        <v>435</v>
      </c>
      <c r="H595" s="216">
        <v>2020</v>
      </c>
      <c r="I595" s="216"/>
      <c r="J595" s="216">
        <v>2022</v>
      </c>
      <c r="K595" s="216"/>
      <c r="L595" s="216"/>
      <c r="M595" s="550"/>
      <c r="N595" s="1209">
        <v>8377</v>
      </c>
      <c r="O595" s="1209"/>
      <c r="P595" s="1212">
        <v>5026.2</v>
      </c>
      <c r="Q595" s="216"/>
      <c r="R595" s="216"/>
      <c r="S595" s="216"/>
      <c r="T595" s="1209">
        <f t="shared" si="427"/>
        <v>1507.86</v>
      </c>
      <c r="U595" s="216"/>
      <c r="V595" s="216"/>
      <c r="W595" s="1207"/>
      <c r="X595" s="1207"/>
      <c r="Y595" s="1207"/>
      <c r="Z595" s="1207"/>
      <c r="AA595" s="216"/>
      <c r="AB595" s="216"/>
      <c r="AC595" s="216"/>
      <c r="AD595" s="1209">
        <f t="shared" si="426"/>
        <v>1507.86</v>
      </c>
      <c r="AE595" s="1209">
        <f t="shared" si="428"/>
        <v>1507.86</v>
      </c>
      <c r="AF595" s="1207"/>
      <c r="AG595" s="1207"/>
      <c r="AH595" s="1207"/>
      <c r="AI595" s="1207"/>
      <c r="AJ595" s="1207"/>
      <c r="AK595" s="1207"/>
      <c r="AL595" s="1209">
        <f t="shared" si="429"/>
        <v>1507.86</v>
      </c>
      <c r="AM595" s="1209">
        <f t="shared" si="430"/>
        <v>1507.86</v>
      </c>
      <c r="AU595" s="372" t="s">
        <v>1161</v>
      </c>
      <c r="AY595" s="216"/>
      <c r="AZ595" s="216"/>
      <c r="BA595" s="216"/>
    </row>
    <row r="596" spans="1:53" ht="61.5" customHeight="1">
      <c r="A596" s="216"/>
      <c r="B596" s="547" t="s">
        <v>1981</v>
      </c>
      <c r="C596" s="216"/>
      <c r="D596" s="216"/>
      <c r="E596" s="216"/>
      <c r="F596" s="216"/>
      <c r="G596" s="216" t="s">
        <v>435</v>
      </c>
      <c r="H596" s="216">
        <v>2020</v>
      </c>
      <c r="I596" s="216"/>
      <c r="J596" s="216">
        <v>2022</v>
      </c>
      <c r="K596" s="216"/>
      <c r="L596" s="216"/>
      <c r="M596" s="1465" t="s">
        <v>2334</v>
      </c>
      <c r="N596" s="1209">
        <v>7500</v>
      </c>
      <c r="O596" s="1209"/>
      <c r="P596" s="1212">
        <v>4500</v>
      </c>
      <c r="Q596" s="216"/>
      <c r="R596" s="216"/>
      <c r="S596" s="216"/>
      <c r="T596" s="1209">
        <f t="shared" si="427"/>
        <v>1350</v>
      </c>
      <c r="U596" s="216"/>
      <c r="V596" s="216"/>
      <c r="W596" s="1207"/>
      <c r="X596" s="1207"/>
      <c r="Y596" s="1207"/>
      <c r="Z596" s="1207"/>
      <c r="AA596" s="216"/>
      <c r="AB596" s="216"/>
      <c r="AC596" s="216"/>
      <c r="AD596" s="1209">
        <f t="shared" si="426"/>
        <v>1350</v>
      </c>
      <c r="AE596" s="1209">
        <f t="shared" si="428"/>
        <v>1350</v>
      </c>
      <c r="AF596" s="1207"/>
      <c r="AG596" s="1207"/>
      <c r="AH596" s="1207"/>
      <c r="AI596" s="1207"/>
      <c r="AJ596" s="1207"/>
      <c r="AK596" s="1207"/>
      <c r="AL596" s="1209">
        <f t="shared" si="429"/>
        <v>1350</v>
      </c>
      <c r="AM596" s="1209">
        <f t="shared" si="430"/>
        <v>1350</v>
      </c>
      <c r="AU596" s="372" t="s">
        <v>994</v>
      </c>
      <c r="AY596" s="216"/>
      <c r="AZ596" s="216"/>
      <c r="BA596" s="216"/>
    </row>
    <row r="597" spans="1:53" ht="35.25" customHeight="1">
      <c r="A597" s="216"/>
      <c r="B597" s="547" t="s">
        <v>1982</v>
      </c>
      <c r="C597" s="216"/>
      <c r="D597" s="216"/>
      <c r="E597" s="216"/>
      <c r="F597" s="216"/>
      <c r="G597" s="216" t="s">
        <v>435</v>
      </c>
      <c r="H597" s="216">
        <v>2020</v>
      </c>
      <c r="I597" s="216"/>
      <c r="J597" s="216">
        <v>2022</v>
      </c>
      <c r="K597" s="216"/>
      <c r="L597" s="216"/>
      <c r="M597" s="553"/>
      <c r="N597" s="548">
        <v>3500</v>
      </c>
      <c r="O597" s="1209"/>
      <c r="P597" s="1212">
        <v>2100</v>
      </c>
      <c r="Q597" s="216"/>
      <c r="R597" s="216"/>
      <c r="S597" s="216"/>
      <c r="T597" s="1209">
        <f t="shared" si="427"/>
        <v>630</v>
      </c>
      <c r="U597" s="216"/>
      <c r="V597" s="216"/>
      <c r="W597" s="1207"/>
      <c r="X597" s="1207"/>
      <c r="Y597" s="1207"/>
      <c r="Z597" s="1207"/>
      <c r="AA597" s="216"/>
      <c r="AB597" s="216"/>
      <c r="AC597" s="216"/>
      <c r="AD597" s="1209">
        <f t="shared" si="426"/>
        <v>630</v>
      </c>
      <c r="AE597" s="1209">
        <f t="shared" si="428"/>
        <v>630</v>
      </c>
      <c r="AF597" s="1207"/>
      <c r="AG597" s="1207"/>
      <c r="AH597" s="1207"/>
      <c r="AI597" s="1207"/>
      <c r="AJ597" s="1207"/>
      <c r="AK597" s="1207"/>
      <c r="AL597" s="1209">
        <f t="shared" si="429"/>
        <v>630</v>
      </c>
      <c r="AM597" s="1209">
        <f t="shared" si="430"/>
        <v>630</v>
      </c>
      <c r="AU597" s="372" t="s">
        <v>692</v>
      </c>
      <c r="AY597" s="216"/>
      <c r="AZ597" s="216"/>
      <c r="BA597" s="216"/>
    </row>
    <row r="598" spans="1:53" ht="44.25" customHeight="1">
      <c r="A598" s="216"/>
      <c r="B598" s="547" t="s">
        <v>1983</v>
      </c>
      <c r="C598" s="216"/>
      <c r="D598" s="216"/>
      <c r="E598" s="216"/>
      <c r="F598" s="216"/>
      <c r="G598" s="216" t="s">
        <v>373</v>
      </c>
      <c r="H598" s="216">
        <v>2020</v>
      </c>
      <c r="I598" s="216"/>
      <c r="J598" s="216">
        <v>2022</v>
      </c>
      <c r="K598" s="216"/>
      <c r="L598" s="216"/>
      <c r="M598" s="553"/>
      <c r="N598" s="548">
        <v>2000</v>
      </c>
      <c r="O598" s="1209"/>
      <c r="P598" s="1212">
        <v>1200</v>
      </c>
      <c r="Q598" s="216"/>
      <c r="R598" s="216"/>
      <c r="S598" s="216"/>
      <c r="T598" s="1209">
        <f t="shared" si="427"/>
        <v>360</v>
      </c>
      <c r="U598" s="216"/>
      <c r="V598" s="216"/>
      <c r="W598" s="1207"/>
      <c r="X598" s="1207"/>
      <c r="Y598" s="1207"/>
      <c r="Z598" s="1207"/>
      <c r="AA598" s="216"/>
      <c r="AB598" s="216"/>
      <c r="AC598" s="216"/>
      <c r="AD598" s="1209">
        <f t="shared" si="426"/>
        <v>360</v>
      </c>
      <c r="AE598" s="1209">
        <f t="shared" si="428"/>
        <v>360</v>
      </c>
      <c r="AF598" s="1207"/>
      <c r="AG598" s="1207"/>
      <c r="AH598" s="1207"/>
      <c r="AI598" s="1207"/>
      <c r="AJ598" s="1207"/>
      <c r="AK598" s="1207"/>
      <c r="AL598" s="1209">
        <f t="shared" si="429"/>
        <v>360</v>
      </c>
      <c r="AM598" s="1209">
        <f t="shared" si="430"/>
        <v>360</v>
      </c>
      <c r="AU598" s="1224" t="s">
        <v>512</v>
      </c>
      <c r="AY598" s="216"/>
      <c r="AZ598" s="216"/>
      <c r="BA598" s="216"/>
    </row>
    <row r="599" spans="1:53" ht="52.5" customHeight="1">
      <c r="A599" s="216"/>
      <c r="B599" s="310" t="s">
        <v>1838</v>
      </c>
      <c r="C599" s="216"/>
      <c r="D599" s="216"/>
      <c r="E599" s="216"/>
      <c r="F599" s="216"/>
      <c r="G599" s="216" t="s">
        <v>373</v>
      </c>
      <c r="H599" s="216">
        <v>2020</v>
      </c>
      <c r="I599" s="216"/>
      <c r="J599" s="216">
        <v>2022</v>
      </c>
      <c r="K599" s="216"/>
      <c r="L599" s="216"/>
      <c r="M599" s="549" t="s">
        <v>2514</v>
      </c>
      <c r="N599" s="548">
        <v>5000</v>
      </c>
      <c r="O599" s="1209"/>
      <c r="P599" s="1212">
        <v>3000</v>
      </c>
      <c r="Q599" s="216"/>
      <c r="R599" s="216"/>
      <c r="S599" s="216"/>
      <c r="T599" s="1209">
        <f t="shared" si="427"/>
        <v>900</v>
      </c>
      <c r="U599" s="216"/>
      <c r="V599" s="216"/>
      <c r="W599" s="1207"/>
      <c r="X599" s="1207"/>
      <c r="Y599" s="1207"/>
      <c r="Z599" s="1207"/>
      <c r="AA599" s="216"/>
      <c r="AB599" s="216"/>
      <c r="AC599" s="216"/>
      <c r="AD599" s="1209">
        <f t="shared" si="426"/>
        <v>900</v>
      </c>
      <c r="AE599" s="1209">
        <f t="shared" si="428"/>
        <v>900</v>
      </c>
      <c r="AF599" s="1207"/>
      <c r="AG599" s="1207"/>
      <c r="AH599" s="1207"/>
      <c r="AI599" s="1207"/>
      <c r="AJ599" s="1207"/>
      <c r="AK599" s="1207"/>
      <c r="AL599" s="1209">
        <f t="shared" si="429"/>
        <v>900</v>
      </c>
      <c r="AM599" s="1209">
        <f t="shared" si="430"/>
        <v>900</v>
      </c>
      <c r="AU599" s="1224" t="s">
        <v>1839</v>
      </c>
      <c r="AY599" s="216">
        <f>AZ599+BA599</f>
        <v>1500</v>
      </c>
      <c r="AZ599" s="216"/>
      <c r="BA599" s="216">
        <v>1500</v>
      </c>
    </row>
    <row r="600" spans="1:53" ht="35.25" customHeight="1">
      <c r="A600" s="216"/>
      <c r="B600" s="547" t="s">
        <v>1984</v>
      </c>
      <c r="C600" s="216"/>
      <c r="D600" s="216"/>
      <c r="E600" s="216"/>
      <c r="F600" s="216"/>
      <c r="G600" s="216" t="s">
        <v>373</v>
      </c>
      <c r="H600" s="216">
        <v>2020</v>
      </c>
      <c r="I600" s="216"/>
      <c r="J600" s="216">
        <v>2022</v>
      </c>
      <c r="K600" s="216"/>
      <c r="L600" s="216"/>
      <c r="M600" s="553"/>
      <c r="N600" s="548">
        <v>8000</v>
      </c>
      <c r="O600" s="1209"/>
      <c r="P600" s="1212">
        <v>4800</v>
      </c>
      <c r="Q600" s="216"/>
      <c r="R600" s="216"/>
      <c r="S600" s="216"/>
      <c r="T600" s="1209">
        <f t="shared" si="427"/>
        <v>1440</v>
      </c>
      <c r="U600" s="216"/>
      <c r="V600" s="216"/>
      <c r="W600" s="1207"/>
      <c r="X600" s="1207"/>
      <c r="Y600" s="1207"/>
      <c r="Z600" s="1207"/>
      <c r="AA600" s="216"/>
      <c r="AB600" s="216"/>
      <c r="AC600" s="216"/>
      <c r="AD600" s="1209">
        <f t="shared" si="426"/>
        <v>1440</v>
      </c>
      <c r="AE600" s="1209">
        <f t="shared" si="428"/>
        <v>1440</v>
      </c>
      <c r="AF600" s="1207"/>
      <c r="AG600" s="1207"/>
      <c r="AH600" s="1207"/>
      <c r="AI600" s="1207"/>
      <c r="AJ600" s="1207"/>
      <c r="AK600" s="1207"/>
      <c r="AL600" s="1209">
        <f t="shared" si="429"/>
        <v>1440</v>
      </c>
      <c r="AM600" s="1209">
        <f t="shared" si="430"/>
        <v>1440</v>
      </c>
      <c r="AU600" s="1224" t="s">
        <v>719</v>
      </c>
      <c r="AY600" s="216"/>
      <c r="AZ600" s="216"/>
      <c r="BA600" s="216"/>
    </row>
    <row r="601" spans="1:53" ht="35.25" customHeight="1">
      <c r="A601" s="216"/>
      <c r="B601" s="547" t="s">
        <v>1985</v>
      </c>
      <c r="C601" s="216"/>
      <c r="D601" s="216"/>
      <c r="E601" s="216"/>
      <c r="F601" s="216"/>
      <c r="G601" s="216" t="s">
        <v>373</v>
      </c>
      <c r="H601" s="216">
        <v>2020</v>
      </c>
      <c r="I601" s="216"/>
      <c r="J601" s="216">
        <v>2022</v>
      </c>
      <c r="K601" s="216"/>
      <c r="L601" s="216"/>
      <c r="M601" s="553"/>
      <c r="N601" s="548">
        <v>10000</v>
      </c>
      <c r="O601" s="1209"/>
      <c r="P601" s="1212">
        <v>6000</v>
      </c>
      <c r="Q601" s="216"/>
      <c r="R601" s="216"/>
      <c r="S601" s="216"/>
      <c r="T601" s="1209">
        <f t="shared" si="427"/>
        <v>1800</v>
      </c>
      <c r="U601" s="216"/>
      <c r="V601" s="216"/>
      <c r="W601" s="1207"/>
      <c r="X601" s="1207"/>
      <c r="Y601" s="1207"/>
      <c r="Z601" s="1207"/>
      <c r="AA601" s="216"/>
      <c r="AB601" s="216"/>
      <c r="AC601" s="216"/>
      <c r="AD601" s="1209">
        <f t="shared" si="426"/>
        <v>1800</v>
      </c>
      <c r="AE601" s="1209">
        <f t="shared" si="428"/>
        <v>1800</v>
      </c>
      <c r="AF601" s="1207"/>
      <c r="AG601" s="1207"/>
      <c r="AH601" s="1207"/>
      <c r="AI601" s="1207"/>
      <c r="AJ601" s="1207"/>
      <c r="AK601" s="1207"/>
      <c r="AL601" s="1209">
        <f t="shared" si="429"/>
        <v>1800</v>
      </c>
      <c r="AM601" s="1209">
        <f t="shared" si="430"/>
        <v>1800</v>
      </c>
      <c r="AU601" s="1224" t="s">
        <v>719</v>
      </c>
      <c r="AY601" s="216"/>
      <c r="AZ601" s="216"/>
      <c r="BA601" s="216"/>
    </row>
    <row r="602" spans="1:53" ht="48.75" customHeight="1">
      <c r="A602" s="216"/>
      <c r="B602" s="1582" t="s">
        <v>2456</v>
      </c>
      <c r="C602" s="216"/>
      <c r="D602" s="216"/>
      <c r="E602" s="216"/>
      <c r="F602" s="216"/>
      <c r="G602" s="216" t="s">
        <v>341</v>
      </c>
      <c r="H602" s="216">
        <v>2020</v>
      </c>
      <c r="I602" s="216"/>
      <c r="J602" s="216">
        <v>2022</v>
      </c>
      <c r="K602" s="216"/>
      <c r="L602" s="216"/>
      <c r="M602" s="1465" t="s">
        <v>2337</v>
      </c>
      <c r="N602" s="548">
        <v>5500</v>
      </c>
      <c r="O602" s="216">
        <v>5500</v>
      </c>
      <c r="P602" s="548">
        <v>5500</v>
      </c>
      <c r="Q602" s="216"/>
      <c r="R602" s="216"/>
      <c r="S602" s="216"/>
      <c r="T602" s="216">
        <f>P602*0.3</f>
        <v>1650</v>
      </c>
      <c r="U602" s="216"/>
      <c r="V602" s="216"/>
      <c r="W602" s="1207"/>
      <c r="X602" s="1207"/>
      <c r="Y602" s="1207"/>
      <c r="Z602" s="1207"/>
      <c r="AA602" s="216"/>
      <c r="AB602" s="216"/>
      <c r="AC602" s="216"/>
      <c r="AD602" s="216">
        <f t="shared" si="426"/>
        <v>1650</v>
      </c>
      <c r="AE602" s="216">
        <f>AD602</f>
        <v>1650</v>
      </c>
      <c r="AF602" s="1207"/>
      <c r="AG602" s="1207"/>
      <c r="AH602" s="1207"/>
      <c r="AI602" s="1207"/>
      <c r="AJ602" s="1207"/>
      <c r="AK602" s="1207"/>
      <c r="AL602" s="1207">
        <f>AD602</f>
        <v>1650</v>
      </c>
      <c r="AM602" s="1207">
        <f>AE602-AI602</f>
        <v>1650</v>
      </c>
      <c r="AU602" s="1224" t="s">
        <v>1672</v>
      </c>
      <c r="AY602" s="216"/>
      <c r="AZ602" s="216"/>
      <c r="BA602" s="216"/>
    </row>
    <row r="603" spans="1:53" ht="33">
      <c r="A603" s="216"/>
      <c r="B603" s="1448" t="s">
        <v>2296</v>
      </c>
      <c r="C603" s="216"/>
      <c r="D603" s="216"/>
      <c r="E603" s="216"/>
      <c r="F603" s="216"/>
      <c r="G603" s="216"/>
      <c r="H603" s="216"/>
      <c r="I603" s="216"/>
      <c r="J603" s="216"/>
      <c r="K603" s="216"/>
      <c r="L603" s="216"/>
      <c r="M603" s="1206"/>
      <c r="N603" s="216"/>
      <c r="O603" s="216"/>
      <c r="P603" s="216"/>
      <c r="Q603" s="216"/>
      <c r="R603" s="216"/>
      <c r="S603" s="216"/>
      <c r="T603" s="216"/>
      <c r="U603" s="216"/>
      <c r="V603" s="216"/>
      <c r="W603" s="1207"/>
      <c r="X603" s="1207"/>
      <c r="Y603" s="1207"/>
      <c r="Z603" s="1207"/>
      <c r="AA603" s="216"/>
      <c r="AB603" s="216"/>
      <c r="AC603" s="216"/>
      <c r="AD603" s="216"/>
      <c r="AE603" s="216"/>
      <c r="AF603" s="1207"/>
      <c r="AG603" s="1207"/>
      <c r="AH603" s="1207"/>
      <c r="AI603" s="1207"/>
      <c r="AJ603" s="1207"/>
      <c r="AK603" s="1207"/>
      <c r="AL603" s="1207"/>
      <c r="AM603" s="1207"/>
      <c r="AU603" s="216"/>
      <c r="AY603" s="216"/>
      <c r="AZ603" s="216"/>
      <c r="BA603" s="216"/>
    </row>
    <row r="604" spans="1:53" ht="34.5">
      <c r="A604" s="216"/>
      <c r="B604" s="1450" t="s">
        <v>2307</v>
      </c>
      <c r="C604" s="216"/>
      <c r="D604" s="216"/>
      <c r="E604" s="216"/>
      <c r="F604" s="216"/>
      <c r="G604" s="216"/>
      <c r="H604" s="216"/>
      <c r="I604" s="216"/>
      <c r="J604" s="216"/>
      <c r="K604" s="216"/>
      <c r="L604" s="216"/>
      <c r="M604" s="1206"/>
      <c r="N604" s="216"/>
      <c r="O604" s="216"/>
      <c r="P604" s="216"/>
      <c r="Q604" s="216"/>
      <c r="R604" s="216"/>
      <c r="S604" s="216"/>
      <c r="T604" s="216"/>
      <c r="U604" s="216"/>
      <c r="V604" s="216"/>
      <c r="W604" s="1207"/>
      <c r="X604" s="1207"/>
      <c r="Y604" s="1207"/>
      <c r="Z604" s="1207"/>
      <c r="AA604" s="216"/>
      <c r="AB604" s="216"/>
      <c r="AC604" s="216"/>
      <c r="AD604" s="216"/>
      <c r="AE604" s="216"/>
      <c r="AF604" s="1207"/>
      <c r="AG604" s="1207"/>
      <c r="AH604" s="1207"/>
      <c r="AI604" s="1207"/>
      <c r="AJ604" s="1207"/>
      <c r="AK604" s="1207"/>
      <c r="AL604" s="1207"/>
      <c r="AM604" s="1207"/>
      <c r="AU604" s="216"/>
      <c r="AY604" s="216"/>
      <c r="AZ604" s="216"/>
      <c r="BA604" s="216"/>
    </row>
    <row r="605" spans="1:53" ht="31.5">
      <c r="A605" s="216"/>
      <c r="B605" s="1449" t="s">
        <v>2331</v>
      </c>
      <c r="C605" s="216"/>
      <c r="D605" s="216"/>
      <c r="E605" s="216"/>
      <c r="F605" s="216"/>
      <c r="G605" s="1230" t="s">
        <v>333</v>
      </c>
      <c r="H605" s="216">
        <v>2020</v>
      </c>
      <c r="I605" s="216"/>
      <c r="J605" s="216">
        <v>2022</v>
      </c>
      <c r="K605" s="216"/>
      <c r="L605" s="216"/>
      <c r="M605" s="1465" t="s">
        <v>2483</v>
      </c>
      <c r="N605" s="1364">
        <v>26000</v>
      </c>
      <c r="O605" s="216"/>
      <c r="P605" s="1364">
        <v>26000</v>
      </c>
      <c r="Q605" s="216"/>
      <c r="R605" s="216"/>
      <c r="S605" s="216"/>
      <c r="T605" s="216">
        <f t="shared" ref="T605:T630" si="431">P605*0.3</f>
        <v>7800</v>
      </c>
      <c r="U605" s="216"/>
      <c r="V605" s="216"/>
      <c r="W605" s="1207"/>
      <c r="X605" s="1207"/>
      <c r="Y605" s="1207"/>
      <c r="Z605" s="1207"/>
      <c r="AA605" s="216"/>
      <c r="AB605" s="216"/>
      <c r="AC605" s="216"/>
      <c r="AD605" s="216">
        <f t="shared" ref="AD605:AD606" si="432">T605</f>
        <v>7800</v>
      </c>
      <c r="AE605" s="216">
        <f t="shared" ref="AE605:AE606" si="433">AD605</f>
        <v>7800</v>
      </c>
      <c r="AF605" s="1207"/>
      <c r="AG605" s="1207"/>
      <c r="AH605" s="1207"/>
      <c r="AI605" s="1207"/>
      <c r="AJ605" s="1207"/>
      <c r="AK605" s="1207"/>
      <c r="AL605" s="1207">
        <f t="shared" ref="AL605:AL606" si="434">AD605</f>
        <v>7800</v>
      </c>
      <c r="AM605" s="1207">
        <f t="shared" ref="AM605:AM606" si="435">AE605-AI605</f>
        <v>7800</v>
      </c>
      <c r="AU605" s="1459" t="s">
        <v>1355</v>
      </c>
      <c r="AY605" s="216"/>
      <c r="AZ605" s="216"/>
      <c r="BA605" s="216"/>
    </row>
    <row r="606" spans="1:53" ht="31.5">
      <c r="A606" s="1492"/>
      <c r="B606" s="1493" t="s">
        <v>2332</v>
      </c>
      <c r="C606" s="1492"/>
      <c r="D606" s="1492"/>
      <c r="E606" s="1492"/>
      <c r="F606" s="1492"/>
      <c r="G606" s="1494" t="s">
        <v>333</v>
      </c>
      <c r="H606" s="1492">
        <v>2020</v>
      </c>
      <c r="I606" s="1492"/>
      <c r="J606" s="1492">
        <v>2022</v>
      </c>
      <c r="K606" s="1492"/>
      <c r="L606" s="1492"/>
      <c r="M606" s="1465" t="s">
        <v>2411</v>
      </c>
      <c r="N606" s="1495">
        <v>9000</v>
      </c>
      <c r="O606" s="1492"/>
      <c r="P606" s="1495">
        <v>3900</v>
      </c>
      <c r="Q606" s="1492"/>
      <c r="R606" s="1492"/>
      <c r="S606" s="1492"/>
      <c r="T606" s="1492">
        <f t="shared" si="431"/>
        <v>1170</v>
      </c>
      <c r="U606" s="1492"/>
      <c r="V606" s="1492"/>
      <c r="W606" s="1496"/>
      <c r="X606" s="1496"/>
      <c r="Y606" s="1496"/>
      <c r="Z606" s="1496"/>
      <c r="AA606" s="1492"/>
      <c r="AB606" s="1492"/>
      <c r="AC606" s="1492"/>
      <c r="AD606" s="1492">
        <f t="shared" si="432"/>
        <v>1170</v>
      </c>
      <c r="AE606" s="1492">
        <f t="shared" si="433"/>
        <v>1170</v>
      </c>
      <c r="AF606" s="1496"/>
      <c r="AG606" s="1496"/>
      <c r="AH606" s="1496"/>
      <c r="AI606" s="1496"/>
      <c r="AJ606" s="1496"/>
      <c r="AK606" s="1496"/>
      <c r="AL606" s="1496">
        <f t="shared" si="434"/>
        <v>1170</v>
      </c>
      <c r="AM606" s="1496">
        <f t="shared" si="435"/>
        <v>1170</v>
      </c>
      <c r="AU606" s="1497" t="s">
        <v>577</v>
      </c>
      <c r="AY606" s="216"/>
      <c r="AZ606" s="216"/>
      <c r="BA606" s="216"/>
    </row>
    <row r="607" spans="1:53" ht="31.5">
      <c r="A607" s="1492"/>
      <c r="B607" s="1460" t="s">
        <v>2330</v>
      </c>
      <c r="C607" s="1492"/>
      <c r="D607" s="1492"/>
      <c r="E607" s="1492"/>
      <c r="F607" s="1492"/>
      <c r="G607" s="1152" t="s">
        <v>435</v>
      </c>
      <c r="H607" s="1492">
        <v>2020</v>
      </c>
      <c r="I607" s="1492"/>
      <c r="J607" s="1492">
        <v>2022</v>
      </c>
      <c r="K607" s="1492"/>
      <c r="L607" s="1492"/>
      <c r="M607" s="1465" t="s">
        <v>2482</v>
      </c>
      <c r="N607" s="1540">
        <v>8000</v>
      </c>
      <c r="O607" s="1540">
        <v>3000</v>
      </c>
      <c r="P607" s="1495">
        <v>3000</v>
      </c>
      <c r="Q607" s="1492"/>
      <c r="R607" s="1492"/>
      <c r="S607" s="1492"/>
      <c r="T607" s="1492">
        <v>900</v>
      </c>
      <c r="U607" s="1492"/>
      <c r="V607" s="1492"/>
      <c r="W607" s="1496"/>
      <c r="X607" s="1496"/>
      <c r="Y607" s="1496"/>
      <c r="Z607" s="1496"/>
      <c r="AA607" s="1492"/>
      <c r="AB607" s="1492"/>
      <c r="AC607" s="1492"/>
      <c r="AD607" s="1492">
        <f t="shared" ref="AD607" si="436">T607</f>
        <v>900</v>
      </c>
      <c r="AE607" s="1492">
        <f t="shared" ref="AE607" si="437">AD607</f>
        <v>900</v>
      </c>
      <c r="AF607" s="1496"/>
      <c r="AG607" s="1496"/>
      <c r="AH607" s="1496"/>
      <c r="AI607" s="1496"/>
      <c r="AJ607" s="1496"/>
      <c r="AK607" s="1496"/>
      <c r="AL607" s="1496">
        <f t="shared" ref="AL607" si="438">AD607</f>
        <v>900</v>
      </c>
      <c r="AM607" s="1496">
        <f t="shared" ref="AM607" si="439">AE607-AI607</f>
        <v>900</v>
      </c>
      <c r="AU607" s="1497" t="s">
        <v>618</v>
      </c>
      <c r="AY607" s="1205"/>
      <c r="AZ607" s="1205"/>
      <c r="BA607" s="1205"/>
    </row>
    <row r="608" spans="1:53" ht="33">
      <c r="A608" s="216"/>
      <c r="B608" s="1448" t="s">
        <v>2362</v>
      </c>
      <c r="C608" s="216"/>
      <c r="D608" s="216"/>
      <c r="E608" s="216"/>
      <c r="F608" s="216"/>
      <c r="G608" s="216"/>
      <c r="H608" s="216"/>
      <c r="I608" s="216"/>
      <c r="J608" s="216"/>
      <c r="K608" s="216"/>
      <c r="L608" s="216"/>
      <c r="M608" s="1487"/>
      <c r="N608" s="216"/>
      <c r="O608" s="216"/>
      <c r="P608" s="216"/>
      <c r="Q608" s="216"/>
      <c r="R608" s="216"/>
      <c r="S608" s="216"/>
      <c r="T608" s="216"/>
      <c r="U608" s="216"/>
      <c r="V608" s="216"/>
      <c r="W608" s="1207"/>
      <c r="X608" s="1207"/>
      <c r="Y608" s="1207"/>
      <c r="Z608" s="1207"/>
      <c r="AA608" s="216"/>
      <c r="AB608" s="216"/>
      <c r="AC608" s="216"/>
      <c r="AD608" s="216"/>
      <c r="AE608" s="216"/>
      <c r="AF608" s="1207"/>
      <c r="AG608" s="1207"/>
      <c r="AH608" s="1207"/>
      <c r="AI608" s="1207"/>
      <c r="AJ608" s="1207"/>
      <c r="AK608" s="1207"/>
      <c r="AL608" s="1207"/>
      <c r="AM608" s="1207"/>
      <c r="AN608" s="216"/>
      <c r="AO608" s="216"/>
      <c r="AP608" s="216"/>
      <c r="AQ608" s="216"/>
      <c r="AR608" s="216"/>
      <c r="AS608" s="216"/>
      <c r="AT608" s="216"/>
      <c r="AU608" s="216"/>
    </row>
    <row r="609" spans="1:47" ht="40.5" customHeight="1">
      <c r="A609" s="216"/>
      <c r="B609" s="1491" t="s">
        <v>2365</v>
      </c>
      <c r="C609" s="216"/>
      <c r="D609" s="216"/>
      <c r="E609" s="216"/>
      <c r="F609" s="216"/>
      <c r="G609" s="216" t="s">
        <v>395</v>
      </c>
      <c r="H609" s="216">
        <v>2020</v>
      </c>
      <c r="I609" s="216"/>
      <c r="J609" s="216">
        <v>2022</v>
      </c>
      <c r="K609" s="216"/>
      <c r="L609" s="216"/>
      <c r="M609" s="1465" t="s">
        <v>2499</v>
      </c>
      <c r="N609" s="216">
        <v>6500</v>
      </c>
      <c r="O609" s="216"/>
      <c r="P609" s="216">
        <v>6500</v>
      </c>
      <c r="Q609" s="216"/>
      <c r="R609" s="216"/>
      <c r="S609" s="216"/>
      <c r="T609" s="216">
        <f t="shared" si="431"/>
        <v>1950</v>
      </c>
      <c r="U609" s="216"/>
      <c r="V609" s="216"/>
      <c r="W609" s="1207"/>
      <c r="X609" s="1207"/>
      <c r="Y609" s="1207"/>
      <c r="Z609" s="1207"/>
      <c r="AA609" s="216"/>
      <c r="AB609" s="216"/>
      <c r="AC609" s="216"/>
      <c r="AD609" s="216">
        <f t="shared" ref="AD609:AD622" si="440">T609</f>
        <v>1950</v>
      </c>
      <c r="AE609" s="216">
        <f t="shared" ref="AE609:AE622" si="441">AD609</f>
        <v>1950</v>
      </c>
      <c r="AF609" s="1207"/>
      <c r="AG609" s="1207"/>
      <c r="AH609" s="1207"/>
      <c r="AI609" s="1207"/>
      <c r="AJ609" s="1207"/>
      <c r="AK609" s="1207"/>
      <c r="AL609" s="1207">
        <f t="shared" ref="AL609:AL622" si="442">AD609</f>
        <v>1950</v>
      </c>
      <c r="AM609" s="1207">
        <f t="shared" ref="AM609:AM622" si="443">AE609-AI609</f>
        <v>1950</v>
      </c>
      <c r="AN609" s="216"/>
      <c r="AO609" s="216"/>
      <c r="AP609" s="216"/>
      <c r="AQ609" s="216"/>
      <c r="AR609" s="216" t="s">
        <v>2366</v>
      </c>
      <c r="AS609" s="216"/>
      <c r="AT609" s="216"/>
      <c r="AU609" s="216" t="s">
        <v>1702</v>
      </c>
    </row>
    <row r="610" spans="1:47" ht="31.5">
      <c r="A610" s="216"/>
      <c r="B610" s="1481" t="s">
        <v>2363</v>
      </c>
      <c r="C610" s="216"/>
      <c r="D610" s="216"/>
      <c r="E610" s="216"/>
      <c r="F610" s="216"/>
      <c r="G610" s="216" t="s">
        <v>382</v>
      </c>
      <c r="H610" s="216">
        <v>2020</v>
      </c>
      <c r="I610" s="216"/>
      <c r="J610" s="216">
        <v>2022</v>
      </c>
      <c r="K610" s="216"/>
      <c r="L610" s="216"/>
      <c r="M610" s="1465" t="s">
        <v>2431</v>
      </c>
      <c r="N610" s="216">
        <v>6500</v>
      </c>
      <c r="O610" s="216"/>
      <c r="P610" s="216">
        <v>6500</v>
      </c>
      <c r="Q610" s="216"/>
      <c r="R610" s="216"/>
      <c r="S610" s="216"/>
      <c r="T610" s="216">
        <f t="shared" si="431"/>
        <v>1950</v>
      </c>
      <c r="U610" s="216"/>
      <c r="V610" s="216"/>
      <c r="W610" s="1207"/>
      <c r="X610" s="1207"/>
      <c r="Y610" s="1207"/>
      <c r="Z610" s="1207"/>
      <c r="AA610" s="216"/>
      <c r="AB610" s="216"/>
      <c r="AC610" s="216"/>
      <c r="AD610" s="216">
        <f t="shared" si="440"/>
        <v>1950</v>
      </c>
      <c r="AE610" s="216">
        <f t="shared" si="441"/>
        <v>1950</v>
      </c>
      <c r="AF610" s="1207"/>
      <c r="AG610" s="1207"/>
      <c r="AH610" s="1207"/>
      <c r="AI610" s="1207"/>
      <c r="AJ610" s="1207"/>
      <c r="AK610" s="1207"/>
      <c r="AL610" s="1207">
        <f t="shared" si="442"/>
        <v>1950</v>
      </c>
      <c r="AM610" s="1207">
        <f t="shared" si="443"/>
        <v>1950</v>
      </c>
      <c r="AN610" s="216"/>
      <c r="AO610" s="216"/>
      <c r="AP610" s="216"/>
      <c r="AQ610" s="216"/>
      <c r="AR610" s="216" t="s">
        <v>2367</v>
      </c>
      <c r="AS610" s="216"/>
      <c r="AT610" s="216" t="s">
        <v>307</v>
      </c>
      <c r="AU610" s="216" t="s">
        <v>2368</v>
      </c>
    </row>
    <row r="611" spans="1:47" ht="31.5">
      <c r="A611" s="216"/>
      <c r="B611" s="1481" t="s">
        <v>2364</v>
      </c>
      <c r="C611" s="216"/>
      <c r="D611" s="216"/>
      <c r="E611" s="216"/>
      <c r="F611" s="216"/>
      <c r="G611" s="216" t="s">
        <v>382</v>
      </c>
      <c r="H611" s="216">
        <v>2020</v>
      </c>
      <c r="I611" s="216"/>
      <c r="J611" s="216">
        <v>2022</v>
      </c>
      <c r="K611" s="216"/>
      <c r="L611" s="216"/>
      <c r="M611" s="1465" t="s">
        <v>2420</v>
      </c>
      <c r="N611" s="216">
        <v>6700</v>
      </c>
      <c r="O611" s="216"/>
      <c r="P611" s="216">
        <v>6700</v>
      </c>
      <c r="Q611" s="216"/>
      <c r="R611" s="216"/>
      <c r="S611" s="216"/>
      <c r="T611" s="216">
        <f t="shared" si="431"/>
        <v>2010</v>
      </c>
      <c r="U611" s="216"/>
      <c r="V611" s="216"/>
      <c r="W611" s="1207"/>
      <c r="X611" s="1207"/>
      <c r="Y611" s="1207"/>
      <c r="Z611" s="1207"/>
      <c r="AA611" s="216"/>
      <c r="AB611" s="216"/>
      <c r="AC611" s="216"/>
      <c r="AD611" s="216">
        <f t="shared" si="440"/>
        <v>2010</v>
      </c>
      <c r="AE611" s="216">
        <f t="shared" si="441"/>
        <v>2010</v>
      </c>
      <c r="AF611" s="1207"/>
      <c r="AG611" s="1207"/>
      <c r="AH611" s="1207"/>
      <c r="AI611" s="1207"/>
      <c r="AJ611" s="1207"/>
      <c r="AK611" s="1207"/>
      <c r="AL611" s="1207">
        <f t="shared" si="442"/>
        <v>2010</v>
      </c>
      <c r="AM611" s="1207">
        <f t="shared" si="443"/>
        <v>2010</v>
      </c>
      <c r="AN611" s="216"/>
      <c r="AO611" s="216"/>
      <c r="AP611" s="216"/>
      <c r="AQ611" s="216"/>
      <c r="AR611" s="216" t="s">
        <v>2367</v>
      </c>
      <c r="AS611" s="216"/>
      <c r="AT611" s="216" t="s">
        <v>307</v>
      </c>
      <c r="AU611" s="216" t="s">
        <v>976</v>
      </c>
    </row>
    <row r="612" spans="1:47" ht="31.5">
      <c r="A612" s="216"/>
      <c r="B612" s="1532" t="s">
        <v>2457</v>
      </c>
      <c r="C612" s="216"/>
      <c r="D612" s="216"/>
      <c r="E612" s="216"/>
      <c r="F612" s="216"/>
      <c r="G612" s="216" t="s">
        <v>382</v>
      </c>
      <c r="H612" s="216">
        <v>2020</v>
      </c>
      <c r="I612" s="216"/>
      <c r="J612" s="216">
        <v>2022</v>
      </c>
      <c r="K612" s="216"/>
      <c r="L612" s="216"/>
      <c r="M612" s="1465" t="s">
        <v>2432</v>
      </c>
      <c r="N612" s="216">
        <v>8500</v>
      </c>
      <c r="O612" s="216"/>
      <c r="P612" s="216">
        <v>6500</v>
      </c>
      <c r="Q612" s="216"/>
      <c r="R612" s="216"/>
      <c r="S612" s="216"/>
      <c r="T612" s="216">
        <f t="shared" si="431"/>
        <v>1950</v>
      </c>
      <c r="U612" s="216"/>
      <c r="V612" s="216"/>
      <c r="W612" s="1207"/>
      <c r="X612" s="1207"/>
      <c r="Y612" s="1207"/>
      <c r="Z612" s="1207"/>
      <c r="AA612" s="216"/>
      <c r="AB612" s="216"/>
      <c r="AC612" s="216"/>
      <c r="AD612" s="216">
        <f t="shared" si="440"/>
        <v>1950</v>
      </c>
      <c r="AE612" s="216">
        <f t="shared" si="441"/>
        <v>1950</v>
      </c>
      <c r="AF612" s="1207"/>
      <c r="AG612" s="1207"/>
      <c r="AH612" s="1207"/>
      <c r="AI612" s="1207"/>
      <c r="AJ612" s="1207"/>
      <c r="AK612" s="1207"/>
      <c r="AL612" s="1207">
        <f t="shared" si="442"/>
        <v>1950</v>
      </c>
      <c r="AM612" s="1207">
        <f t="shared" si="443"/>
        <v>1950</v>
      </c>
      <c r="AN612" s="216"/>
      <c r="AO612" s="216"/>
      <c r="AP612" s="216"/>
      <c r="AQ612" s="216"/>
      <c r="AR612" s="216" t="s">
        <v>2367</v>
      </c>
      <c r="AS612" s="216"/>
      <c r="AT612" s="216" t="s">
        <v>307</v>
      </c>
      <c r="AU612" s="216" t="s">
        <v>586</v>
      </c>
    </row>
    <row r="613" spans="1:47" ht="31.5">
      <c r="A613" s="216"/>
      <c r="B613" s="1532" t="s">
        <v>2458</v>
      </c>
      <c r="C613" s="216"/>
      <c r="D613" s="216"/>
      <c r="E613" s="216"/>
      <c r="F613" s="216"/>
      <c r="G613" s="216" t="s">
        <v>341</v>
      </c>
      <c r="H613" s="216">
        <v>2020</v>
      </c>
      <c r="I613" s="216"/>
      <c r="J613" s="216">
        <v>2022</v>
      </c>
      <c r="K613" s="216"/>
      <c r="L613" s="216"/>
      <c r="M613" s="1465" t="s">
        <v>2433</v>
      </c>
      <c r="N613" s="216">
        <v>10000</v>
      </c>
      <c r="O613" s="216"/>
      <c r="P613" s="216">
        <v>7500</v>
      </c>
      <c r="Q613" s="216"/>
      <c r="R613" s="216"/>
      <c r="S613" s="216"/>
      <c r="T613" s="216">
        <f t="shared" si="431"/>
        <v>2250</v>
      </c>
      <c r="U613" s="216"/>
      <c r="V613" s="216"/>
      <c r="W613" s="1207"/>
      <c r="X613" s="1207"/>
      <c r="Y613" s="1207"/>
      <c r="Z613" s="1207"/>
      <c r="AA613" s="216"/>
      <c r="AB613" s="216"/>
      <c r="AC613" s="216"/>
      <c r="AD613" s="216">
        <f t="shared" si="440"/>
        <v>2250</v>
      </c>
      <c r="AE613" s="216">
        <f t="shared" si="441"/>
        <v>2250</v>
      </c>
      <c r="AF613" s="1207"/>
      <c r="AG613" s="1207"/>
      <c r="AH613" s="1207"/>
      <c r="AI613" s="1207"/>
      <c r="AJ613" s="1207"/>
      <c r="AK613" s="1207"/>
      <c r="AL613" s="1207">
        <f t="shared" si="442"/>
        <v>2250</v>
      </c>
      <c r="AM613" s="1207">
        <f t="shared" si="443"/>
        <v>2250</v>
      </c>
      <c r="AN613" s="216"/>
      <c r="AO613" s="216"/>
      <c r="AP613" s="216"/>
      <c r="AQ613" s="216"/>
      <c r="AR613" s="216"/>
      <c r="AS613" s="216"/>
      <c r="AT613" s="216"/>
      <c r="AU613" s="216" t="s">
        <v>2369</v>
      </c>
    </row>
    <row r="614" spans="1:47" ht="31.5">
      <c r="A614" s="216"/>
      <c r="B614" s="1532" t="s">
        <v>2537</v>
      </c>
      <c r="C614" s="216"/>
      <c r="D614" s="216"/>
      <c r="E614" s="216"/>
      <c r="F614" s="216"/>
      <c r="G614" s="216" t="s">
        <v>395</v>
      </c>
      <c r="H614" s="216">
        <v>2020</v>
      </c>
      <c r="I614" s="216"/>
      <c r="J614" s="216">
        <v>2022</v>
      </c>
      <c r="K614" s="216"/>
      <c r="L614" s="216"/>
      <c r="M614" s="1465" t="s">
        <v>2415</v>
      </c>
      <c r="N614" s="216">
        <v>5000</v>
      </c>
      <c r="O614" s="216"/>
      <c r="P614" s="216">
        <f>N614</f>
        <v>5000</v>
      </c>
      <c r="Q614" s="216"/>
      <c r="R614" s="216"/>
      <c r="S614" s="216"/>
      <c r="T614" s="216">
        <f t="shared" si="431"/>
        <v>1500</v>
      </c>
      <c r="U614" s="216"/>
      <c r="V614" s="216"/>
      <c r="W614" s="1207"/>
      <c r="X614" s="1207"/>
      <c r="Y614" s="1207"/>
      <c r="Z614" s="1207"/>
      <c r="AA614" s="216"/>
      <c r="AB614" s="216"/>
      <c r="AC614" s="216"/>
      <c r="AD614" s="216">
        <f t="shared" si="440"/>
        <v>1500</v>
      </c>
      <c r="AE614" s="216">
        <f t="shared" si="441"/>
        <v>1500</v>
      </c>
      <c r="AF614" s="1207"/>
      <c r="AG614" s="1207"/>
      <c r="AH614" s="1207"/>
      <c r="AI614" s="1207"/>
      <c r="AJ614" s="1207"/>
      <c r="AK614" s="1207"/>
      <c r="AL614" s="1207">
        <f t="shared" si="442"/>
        <v>1500</v>
      </c>
      <c r="AM614" s="1207">
        <f t="shared" si="443"/>
        <v>1500</v>
      </c>
      <c r="AN614" s="216"/>
      <c r="AO614" s="216"/>
      <c r="AP614" s="216"/>
      <c r="AQ614" s="216"/>
      <c r="AR614" s="216"/>
      <c r="AS614" s="216"/>
      <c r="AT614" s="216"/>
      <c r="AU614" s="216" t="s">
        <v>1916</v>
      </c>
    </row>
    <row r="615" spans="1:47" ht="31.5">
      <c r="A615" s="216"/>
      <c r="B615" s="1532" t="s">
        <v>2459</v>
      </c>
      <c r="C615" s="216"/>
      <c r="D615" s="216"/>
      <c r="E615" s="216"/>
      <c r="F615" s="216"/>
      <c r="G615" s="216" t="s">
        <v>395</v>
      </c>
      <c r="H615" s="216">
        <v>2020</v>
      </c>
      <c r="I615" s="216"/>
      <c r="J615" s="216">
        <v>2022</v>
      </c>
      <c r="K615" s="216"/>
      <c r="L615" s="216"/>
      <c r="M615" s="1465" t="s">
        <v>2419</v>
      </c>
      <c r="N615" s="216">
        <v>7500</v>
      </c>
      <c r="O615" s="216"/>
      <c r="P615" s="216">
        <f t="shared" ref="P615:P618" si="444">N615</f>
        <v>7500</v>
      </c>
      <c r="Q615" s="216"/>
      <c r="R615" s="216"/>
      <c r="S615" s="216"/>
      <c r="T615" s="216">
        <f t="shared" si="431"/>
        <v>2250</v>
      </c>
      <c r="U615" s="216"/>
      <c r="V615" s="216"/>
      <c r="W615" s="1207"/>
      <c r="X615" s="1207"/>
      <c r="Y615" s="1207"/>
      <c r="Z615" s="1207"/>
      <c r="AA615" s="216"/>
      <c r="AB615" s="216"/>
      <c r="AC615" s="216"/>
      <c r="AD615" s="216">
        <f t="shared" si="440"/>
        <v>2250</v>
      </c>
      <c r="AE615" s="216">
        <f t="shared" si="441"/>
        <v>2250</v>
      </c>
      <c r="AF615" s="1207"/>
      <c r="AG615" s="1207"/>
      <c r="AH615" s="1207"/>
      <c r="AI615" s="1207"/>
      <c r="AJ615" s="1207"/>
      <c r="AK615" s="1207"/>
      <c r="AL615" s="1207">
        <f t="shared" si="442"/>
        <v>2250</v>
      </c>
      <c r="AM615" s="1207">
        <f t="shared" si="443"/>
        <v>2250</v>
      </c>
      <c r="AN615" s="216"/>
      <c r="AO615" s="216"/>
      <c r="AP615" s="216"/>
      <c r="AQ615" s="216"/>
      <c r="AR615" s="216"/>
      <c r="AS615" s="216"/>
      <c r="AT615" s="216"/>
      <c r="AU615" s="216" t="s">
        <v>645</v>
      </c>
    </row>
    <row r="616" spans="1:47" ht="31.5">
      <c r="A616" s="216"/>
      <c r="B616" s="1481" t="s">
        <v>2515</v>
      </c>
      <c r="C616" s="216"/>
      <c r="D616" s="216"/>
      <c r="E616" s="216"/>
      <c r="F616" s="216"/>
      <c r="G616" s="216" t="s">
        <v>435</v>
      </c>
      <c r="H616" s="216">
        <v>2020</v>
      </c>
      <c r="I616" s="216"/>
      <c r="J616" s="216">
        <v>2022</v>
      </c>
      <c r="K616" s="216"/>
      <c r="L616" s="216"/>
      <c r="M616" s="1465" t="s">
        <v>2434</v>
      </c>
      <c r="N616" s="216">
        <v>12500</v>
      </c>
      <c r="O616" s="216"/>
      <c r="P616" s="216">
        <v>11000</v>
      </c>
      <c r="Q616" s="216"/>
      <c r="R616" s="216"/>
      <c r="S616" s="216"/>
      <c r="T616" s="216">
        <f t="shared" si="431"/>
        <v>3300</v>
      </c>
      <c r="U616" s="216"/>
      <c r="V616" s="216"/>
      <c r="W616" s="1207"/>
      <c r="X616" s="1207"/>
      <c r="Y616" s="1207"/>
      <c r="Z616" s="1207"/>
      <c r="AA616" s="216"/>
      <c r="AB616" s="216"/>
      <c r="AC616" s="216"/>
      <c r="AD616" s="216">
        <f t="shared" si="440"/>
        <v>3300</v>
      </c>
      <c r="AE616" s="216">
        <f t="shared" si="441"/>
        <v>3300</v>
      </c>
      <c r="AF616" s="1207"/>
      <c r="AG616" s="1207"/>
      <c r="AH616" s="1207"/>
      <c r="AI616" s="1207"/>
      <c r="AJ616" s="1207"/>
      <c r="AK616" s="1207"/>
      <c r="AL616" s="1207">
        <f t="shared" si="442"/>
        <v>3300</v>
      </c>
      <c r="AM616" s="1207">
        <f t="shared" si="443"/>
        <v>3300</v>
      </c>
      <c r="AN616" s="216"/>
      <c r="AO616" s="216"/>
      <c r="AP616" s="216"/>
      <c r="AQ616" s="216"/>
      <c r="AR616" s="216"/>
      <c r="AS616" s="216"/>
      <c r="AT616" s="216"/>
      <c r="AU616" s="216" t="s">
        <v>609</v>
      </c>
    </row>
    <row r="617" spans="1:47" ht="47.25" customHeight="1">
      <c r="A617" s="216"/>
      <c r="B617" s="1532" t="s">
        <v>2460</v>
      </c>
      <c r="C617" s="216"/>
      <c r="D617" s="216"/>
      <c r="E617" s="216"/>
      <c r="F617" s="216"/>
      <c r="G617" s="216" t="s">
        <v>341</v>
      </c>
      <c r="H617" s="216">
        <v>2020</v>
      </c>
      <c r="I617" s="216"/>
      <c r="J617" s="216">
        <v>2022</v>
      </c>
      <c r="K617" s="216"/>
      <c r="L617" s="216"/>
      <c r="M617" s="1465" t="s">
        <v>2501</v>
      </c>
      <c r="N617" s="216">
        <v>7500</v>
      </c>
      <c r="O617" s="216"/>
      <c r="P617" s="216">
        <v>5000</v>
      </c>
      <c r="Q617" s="216"/>
      <c r="R617" s="216"/>
      <c r="S617" s="216"/>
      <c r="T617" s="216">
        <f t="shared" si="431"/>
        <v>1500</v>
      </c>
      <c r="U617" s="216"/>
      <c r="V617" s="216"/>
      <c r="W617" s="1207"/>
      <c r="X617" s="1207"/>
      <c r="Y617" s="1207"/>
      <c r="Z617" s="1207"/>
      <c r="AA617" s="216"/>
      <c r="AB617" s="216"/>
      <c r="AC617" s="216"/>
      <c r="AD617" s="216">
        <f t="shared" si="440"/>
        <v>1500</v>
      </c>
      <c r="AE617" s="216">
        <f t="shared" si="441"/>
        <v>1500</v>
      </c>
      <c r="AF617" s="1207"/>
      <c r="AG617" s="1207"/>
      <c r="AH617" s="1207"/>
      <c r="AI617" s="1207"/>
      <c r="AJ617" s="1207"/>
      <c r="AK617" s="1207"/>
      <c r="AL617" s="1207">
        <f t="shared" si="442"/>
        <v>1500</v>
      </c>
      <c r="AM617" s="1207">
        <f t="shared" si="443"/>
        <v>1500</v>
      </c>
      <c r="AN617" s="216"/>
      <c r="AO617" s="216"/>
      <c r="AP617" s="216"/>
      <c r="AQ617" s="216"/>
      <c r="AR617" s="216"/>
      <c r="AS617" s="216"/>
      <c r="AT617" s="216"/>
      <c r="AU617" s="216" t="s">
        <v>1040</v>
      </c>
    </row>
    <row r="618" spans="1:47" ht="31.5">
      <c r="A618" s="216"/>
      <c r="B618" s="1532" t="s">
        <v>2461</v>
      </c>
      <c r="C618" s="216"/>
      <c r="D618" s="216"/>
      <c r="E618" s="216"/>
      <c r="F618" s="216"/>
      <c r="G618" s="216" t="s">
        <v>341</v>
      </c>
      <c r="H618" s="216">
        <v>2020</v>
      </c>
      <c r="I618" s="216"/>
      <c r="J618" s="216">
        <v>2022</v>
      </c>
      <c r="K618" s="216"/>
      <c r="L618" s="216"/>
      <c r="M618" s="1465" t="s">
        <v>2500</v>
      </c>
      <c r="N618" s="216">
        <v>5000</v>
      </c>
      <c r="O618" s="216"/>
      <c r="P618" s="216">
        <f t="shared" si="444"/>
        <v>5000</v>
      </c>
      <c r="Q618" s="216"/>
      <c r="R618" s="216"/>
      <c r="S618" s="216"/>
      <c r="T618" s="216">
        <f t="shared" si="431"/>
        <v>1500</v>
      </c>
      <c r="U618" s="216"/>
      <c r="V618" s="216"/>
      <c r="W618" s="1207"/>
      <c r="X618" s="1207"/>
      <c r="Y618" s="1207"/>
      <c r="Z618" s="1207"/>
      <c r="AA618" s="216"/>
      <c r="AB618" s="216"/>
      <c r="AC618" s="216"/>
      <c r="AD618" s="216">
        <f t="shared" si="440"/>
        <v>1500</v>
      </c>
      <c r="AE618" s="216">
        <f t="shared" si="441"/>
        <v>1500</v>
      </c>
      <c r="AF618" s="1207"/>
      <c r="AG618" s="1207"/>
      <c r="AH618" s="1207"/>
      <c r="AI618" s="1207"/>
      <c r="AJ618" s="1207"/>
      <c r="AK618" s="1207"/>
      <c r="AL618" s="1207">
        <f t="shared" si="442"/>
        <v>1500</v>
      </c>
      <c r="AM618" s="1207">
        <f t="shared" si="443"/>
        <v>1500</v>
      </c>
      <c r="AN618" s="216"/>
      <c r="AO618" s="216"/>
      <c r="AP618" s="216"/>
      <c r="AQ618" s="216"/>
      <c r="AR618" s="216"/>
      <c r="AS618" s="216"/>
      <c r="AT618" s="216"/>
      <c r="AU618" s="216" t="s">
        <v>2370</v>
      </c>
    </row>
    <row r="619" spans="1:47" ht="28.5" customHeight="1">
      <c r="A619" s="216"/>
      <c r="B619" s="1532" t="s">
        <v>2463</v>
      </c>
      <c r="C619" s="216"/>
      <c r="D619" s="216"/>
      <c r="E619" s="216"/>
      <c r="F619" s="216"/>
      <c r="G619" s="216" t="s">
        <v>378</v>
      </c>
      <c r="H619" s="216">
        <v>2020</v>
      </c>
      <c r="I619" s="216"/>
      <c r="J619" s="216">
        <v>2022</v>
      </c>
      <c r="K619" s="216"/>
      <c r="L619" s="216"/>
      <c r="M619" s="1465" t="s">
        <v>2435</v>
      </c>
      <c r="N619" s="216">
        <v>20000</v>
      </c>
      <c r="O619" s="216"/>
      <c r="P619" s="216">
        <v>1000</v>
      </c>
      <c r="Q619" s="216"/>
      <c r="R619" s="216"/>
      <c r="S619" s="216"/>
      <c r="T619" s="216">
        <v>1000</v>
      </c>
      <c r="U619" s="216"/>
      <c r="V619" s="216"/>
      <c r="W619" s="1207"/>
      <c r="X619" s="1207"/>
      <c r="Y619" s="1207"/>
      <c r="Z619" s="1207"/>
      <c r="AA619" s="216"/>
      <c r="AB619" s="216"/>
      <c r="AC619" s="216"/>
      <c r="AD619" s="216">
        <f t="shared" si="440"/>
        <v>1000</v>
      </c>
      <c r="AE619" s="216">
        <f t="shared" si="441"/>
        <v>1000</v>
      </c>
      <c r="AF619" s="1207"/>
      <c r="AG619" s="1207"/>
      <c r="AH619" s="1207"/>
      <c r="AI619" s="1207"/>
      <c r="AJ619" s="1207"/>
      <c r="AK619" s="1207"/>
      <c r="AL619" s="1207">
        <f t="shared" si="442"/>
        <v>1000</v>
      </c>
      <c r="AM619" s="1207">
        <f t="shared" si="443"/>
        <v>1000</v>
      </c>
      <c r="AN619" s="216"/>
      <c r="AO619" s="216"/>
      <c r="AP619" s="216"/>
      <c r="AQ619" s="216"/>
      <c r="AR619" s="216"/>
      <c r="AS619" s="216"/>
      <c r="AT619" s="216"/>
      <c r="AU619" s="216" t="s">
        <v>999</v>
      </c>
    </row>
    <row r="620" spans="1:47" ht="38.25" customHeight="1">
      <c r="A620" s="216"/>
      <c r="B620" s="1532" t="s">
        <v>2464</v>
      </c>
      <c r="C620" s="216"/>
      <c r="D620" s="216"/>
      <c r="E620" s="216"/>
      <c r="F620" s="216"/>
      <c r="G620" s="216" t="s">
        <v>382</v>
      </c>
      <c r="H620" s="216">
        <v>2020</v>
      </c>
      <c r="I620" s="216"/>
      <c r="J620" s="216">
        <v>2022</v>
      </c>
      <c r="K620" s="216"/>
      <c r="L620" s="216"/>
      <c r="M620" s="1487" t="s">
        <v>2472</v>
      </c>
      <c r="N620" s="216">
        <v>11000</v>
      </c>
      <c r="O620" s="216"/>
      <c r="P620" s="216">
        <v>1000</v>
      </c>
      <c r="Q620" s="216"/>
      <c r="R620" s="216"/>
      <c r="S620" s="216"/>
      <c r="T620" s="216">
        <v>1000</v>
      </c>
      <c r="U620" s="216"/>
      <c r="V620" s="216"/>
      <c r="W620" s="1207"/>
      <c r="X620" s="1207"/>
      <c r="Y620" s="1207"/>
      <c r="Z620" s="1207"/>
      <c r="AA620" s="216"/>
      <c r="AB620" s="216"/>
      <c r="AC620" s="216"/>
      <c r="AD620" s="216">
        <f t="shared" si="440"/>
        <v>1000</v>
      </c>
      <c r="AE620" s="216">
        <f t="shared" si="441"/>
        <v>1000</v>
      </c>
      <c r="AF620" s="1207"/>
      <c r="AG620" s="1207"/>
      <c r="AH620" s="1207"/>
      <c r="AI620" s="1207"/>
      <c r="AJ620" s="1207"/>
      <c r="AK620" s="1207"/>
      <c r="AL620" s="1207">
        <f t="shared" si="442"/>
        <v>1000</v>
      </c>
      <c r="AM620" s="1207">
        <f t="shared" si="443"/>
        <v>1000</v>
      </c>
      <c r="AN620" s="216"/>
      <c r="AO620" s="216"/>
      <c r="AP620" s="216"/>
      <c r="AQ620" s="216"/>
      <c r="AR620" s="216"/>
      <c r="AS620" s="216"/>
      <c r="AT620" s="216"/>
      <c r="AU620" s="216" t="s">
        <v>1990</v>
      </c>
    </row>
    <row r="621" spans="1:47" ht="31.5">
      <c r="A621" s="216"/>
      <c r="B621" s="1577" t="s">
        <v>2437</v>
      </c>
      <c r="C621" s="216"/>
      <c r="D621" s="216"/>
      <c r="E621" s="216"/>
      <c r="F621" s="216"/>
      <c r="G621" s="216" t="s">
        <v>401</v>
      </c>
      <c r="H621" s="216">
        <v>2020</v>
      </c>
      <c r="I621" s="216"/>
      <c r="J621" s="216">
        <v>2022</v>
      </c>
      <c r="K621" s="216"/>
      <c r="L621" s="216"/>
      <c r="M621" s="1465" t="s">
        <v>2410</v>
      </c>
      <c r="N621" s="216">
        <v>8500</v>
      </c>
      <c r="O621" s="216"/>
      <c r="P621" s="216">
        <v>1000</v>
      </c>
      <c r="Q621" s="216"/>
      <c r="R621" s="216"/>
      <c r="S621" s="216"/>
      <c r="T621" s="216">
        <v>1000</v>
      </c>
      <c r="U621" s="216"/>
      <c r="V621" s="216"/>
      <c r="W621" s="1207"/>
      <c r="X621" s="1207"/>
      <c r="Y621" s="1207"/>
      <c r="Z621" s="1207"/>
      <c r="AA621" s="216"/>
      <c r="AB621" s="216"/>
      <c r="AC621" s="216"/>
      <c r="AD621" s="216">
        <f t="shared" si="440"/>
        <v>1000</v>
      </c>
      <c r="AE621" s="216">
        <f t="shared" si="441"/>
        <v>1000</v>
      </c>
      <c r="AF621" s="1207"/>
      <c r="AG621" s="1207"/>
      <c r="AH621" s="1207"/>
      <c r="AI621" s="1207"/>
      <c r="AJ621" s="1207"/>
      <c r="AK621" s="1207"/>
      <c r="AL621" s="1207">
        <f t="shared" si="442"/>
        <v>1000</v>
      </c>
      <c r="AM621" s="1207">
        <f t="shared" si="443"/>
        <v>1000</v>
      </c>
      <c r="AN621" s="216"/>
      <c r="AO621" s="216"/>
      <c r="AP621" s="216"/>
      <c r="AQ621" s="216"/>
      <c r="AR621" s="216"/>
      <c r="AS621" s="216"/>
      <c r="AT621" s="216"/>
      <c r="AU621" s="216" t="s">
        <v>1679</v>
      </c>
    </row>
    <row r="622" spans="1:47" ht="89.25" customHeight="1">
      <c r="A622" s="216"/>
      <c r="B622" s="1577" t="s">
        <v>2439</v>
      </c>
      <c r="C622" s="216"/>
      <c r="D622" s="216"/>
      <c r="E622" s="216"/>
      <c r="F622" s="216"/>
      <c r="G622" s="216" t="s">
        <v>2465</v>
      </c>
      <c r="H622" s="216">
        <v>2020</v>
      </c>
      <c r="I622" s="216"/>
      <c r="J622" s="216">
        <v>2022</v>
      </c>
      <c r="K622" s="216"/>
      <c r="L622" s="216"/>
      <c r="M622" s="1465" t="s">
        <v>2438</v>
      </c>
      <c r="N622" s="216">
        <v>20000</v>
      </c>
      <c r="O622" s="216"/>
      <c r="P622" s="216">
        <v>1000</v>
      </c>
      <c r="Q622" s="216"/>
      <c r="R622" s="216"/>
      <c r="S622" s="216"/>
      <c r="T622" s="216">
        <v>1000</v>
      </c>
      <c r="U622" s="216"/>
      <c r="V622" s="216"/>
      <c r="W622" s="1207"/>
      <c r="X622" s="1207"/>
      <c r="Y622" s="1207"/>
      <c r="Z622" s="1207"/>
      <c r="AA622" s="216"/>
      <c r="AB622" s="216"/>
      <c r="AC622" s="216"/>
      <c r="AD622" s="216">
        <f t="shared" si="440"/>
        <v>1000</v>
      </c>
      <c r="AE622" s="216">
        <f t="shared" si="441"/>
        <v>1000</v>
      </c>
      <c r="AF622" s="1207"/>
      <c r="AG622" s="1207"/>
      <c r="AH622" s="1207"/>
      <c r="AI622" s="1207"/>
      <c r="AJ622" s="1207"/>
      <c r="AK622" s="1207"/>
      <c r="AL622" s="1207">
        <f t="shared" si="442"/>
        <v>1000</v>
      </c>
      <c r="AM622" s="1207">
        <f t="shared" si="443"/>
        <v>1000</v>
      </c>
      <c r="AN622" s="216"/>
      <c r="AO622" s="216"/>
      <c r="AP622" s="216"/>
      <c r="AQ622" s="216"/>
      <c r="AR622" s="216"/>
      <c r="AS622" s="216"/>
      <c r="AT622" s="216"/>
      <c r="AU622" s="216" t="s">
        <v>999</v>
      </c>
    </row>
    <row r="623" spans="1:47" ht="31.5">
      <c r="A623" s="216"/>
      <c r="B623" s="1532" t="s">
        <v>2466</v>
      </c>
      <c r="C623" s="216"/>
      <c r="D623" s="216"/>
      <c r="E623" s="216"/>
      <c r="F623" s="216"/>
      <c r="G623" s="216" t="s">
        <v>341</v>
      </c>
      <c r="H623" s="216">
        <v>2020</v>
      </c>
      <c r="I623" s="216"/>
      <c r="J623" s="216">
        <v>2022</v>
      </c>
      <c r="K623" s="216"/>
      <c r="L623" s="216"/>
      <c r="M623" s="1465" t="s">
        <v>2502</v>
      </c>
      <c r="N623" s="216">
        <v>20000</v>
      </c>
      <c r="O623" s="216"/>
      <c r="P623" s="216">
        <v>1000</v>
      </c>
      <c r="Q623" s="216"/>
      <c r="R623" s="216"/>
      <c r="S623" s="216"/>
      <c r="T623" s="216">
        <v>1000</v>
      </c>
      <c r="U623" s="216"/>
      <c r="V623" s="216"/>
      <c r="W623" s="1207"/>
      <c r="X623" s="1207"/>
      <c r="Y623" s="1207"/>
      <c r="Z623" s="1207"/>
      <c r="AA623" s="216"/>
      <c r="AB623" s="216"/>
      <c r="AC623" s="216"/>
      <c r="AD623" s="216">
        <f t="shared" ref="AD623:AD630" si="445">T623</f>
        <v>1000</v>
      </c>
      <c r="AE623" s="216">
        <f t="shared" ref="AE623:AE630" si="446">AD623</f>
        <v>1000</v>
      </c>
      <c r="AF623" s="1207"/>
      <c r="AG623" s="1207"/>
      <c r="AH623" s="1207"/>
      <c r="AI623" s="1207"/>
      <c r="AJ623" s="1207"/>
      <c r="AK623" s="1207"/>
      <c r="AL623" s="1207">
        <f t="shared" ref="AL623:AL627" si="447">AD623</f>
        <v>1000</v>
      </c>
      <c r="AM623" s="1207">
        <f t="shared" ref="AM623:AM627" si="448">AE623-AI623</f>
        <v>1000</v>
      </c>
      <c r="AN623" s="216"/>
      <c r="AO623" s="216"/>
      <c r="AP623" s="216"/>
      <c r="AQ623" s="216"/>
      <c r="AR623" s="216"/>
      <c r="AS623" s="216"/>
      <c r="AT623" s="216"/>
      <c r="AU623" s="216" t="s">
        <v>631</v>
      </c>
    </row>
    <row r="624" spans="1:47" ht="31.5">
      <c r="A624" s="216"/>
      <c r="B624" s="1532" t="s">
        <v>2467</v>
      </c>
      <c r="C624" s="216"/>
      <c r="D624" s="216"/>
      <c r="E624" s="216"/>
      <c r="F624" s="216"/>
      <c r="G624" s="216" t="s">
        <v>373</v>
      </c>
      <c r="H624" s="216">
        <v>2020</v>
      </c>
      <c r="I624" s="216"/>
      <c r="J624" s="216">
        <v>2022</v>
      </c>
      <c r="K624" s="216"/>
      <c r="L624" s="216"/>
      <c r="M624" s="1465" t="s">
        <v>2440</v>
      </c>
      <c r="N624" s="216">
        <v>14600</v>
      </c>
      <c r="O624" s="216"/>
      <c r="P624" s="216">
        <v>1000</v>
      </c>
      <c r="Q624" s="216"/>
      <c r="R624" s="216"/>
      <c r="S624" s="216"/>
      <c r="T624" s="216">
        <v>1000</v>
      </c>
      <c r="U624" s="216"/>
      <c r="V624" s="216"/>
      <c r="W624" s="1207"/>
      <c r="X624" s="1207"/>
      <c r="Y624" s="1207"/>
      <c r="Z624" s="1207"/>
      <c r="AA624" s="216"/>
      <c r="AB624" s="216"/>
      <c r="AC624" s="216"/>
      <c r="AD624" s="216">
        <f t="shared" si="445"/>
        <v>1000</v>
      </c>
      <c r="AE624" s="216">
        <f t="shared" si="446"/>
        <v>1000</v>
      </c>
      <c r="AF624" s="1207"/>
      <c r="AG624" s="1207"/>
      <c r="AH624" s="1207"/>
      <c r="AI624" s="1207"/>
      <c r="AJ624" s="1207"/>
      <c r="AK624" s="1207"/>
      <c r="AL624" s="1207">
        <f t="shared" si="447"/>
        <v>1000</v>
      </c>
      <c r="AM624" s="1207">
        <f t="shared" si="448"/>
        <v>1000</v>
      </c>
      <c r="AN624" s="216"/>
      <c r="AO624" s="216"/>
      <c r="AP624" s="216"/>
      <c r="AQ624" s="216"/>
      <c r="AR624" s="216"/>
      <c r="AS624" s="216"/>
      <c r="AT624" s="216"/>
      <c r="AU624" s="216" t="s">
        <v>1537</v>
      </c>
    </row>
    <row r="625" spans="1:47" ht="31.5">
      <c r="A625" s="216"/>
      <c r="B625" s="1532" t="s">
        <v>2377</v>
      </c>
      <c r="C625" s="216"/>
      <c r="D625" s="216"/>
      <c r="E625" s="216"/>
      <c r="F625" s="216"/>
      <c r="G625" s="216" t="s">
        <v>333</v>
      </c>
      <c r="H625" s="216">
        <v>2020</v>
      </c>
      <c r="I625" s="216"/>
      <c r="J625" s="216">
        <v>2022</v>
      </c>
      <c r="K625" s="216"/>
      <c r="L625" s="216"/>
      <c r="M625" s="1465" t="s">
        <v>2413</v>
      </c>
      <c r="N625" s="216">
        <v>10000</v>
      </c>
      <c r="O625" s="216"/>
      <c r="P625" s="216">
        <v>1000</v>
      </c>
      <c r="Q625" s="216"/>
      <c r="R625" s="216"/>
      <c r="S625" s="216"/>
      <c r="T625" s="216">
        <v>1000</v>
      </c>
      <c r="U625" s="216"/>
      <c r="V625" s="216"/>
      <c r="W625" s="1207"/>
      <c r="X625" s="1207"/>
      <c r="Y625" s="1207"/>
      <c r="Z625" s="1207"/>
      <c r="AA625" s="216"/>
      <c r="AB625" s="216"/>
      <c r="AC625" s="216"/>
      <c r="AD625" s="216">
        <f t="shared" si="445"/>
        <v>1000</v>
      </c>
      <c r="AE625" s="216">
        <f t="shared" si="446"/>
        <v>1000</v>
      </c>
      <c r="AF625" s="1207"/>
      <c r="AG625" s="1207"/>
      <c r="AH625" s="1207"/>
      <c r="AI625" s="1207"/>
      <c r="AJ625" s="1207"/>
      <c r="AK625" s="1207"/>
      <c r="AL625" s="1207">
        <f t="shared" si="447"/>
        <v>1000</v>
      </c>
      <c r="AM625" s="1207">
        <f t="shared" si="448"/>
        <v>1000</v>
      </c>
      <c r="AN625" s="216"/>
      <c r="AO625" s="216"/>
      <c r="AP625" s="216"/>
      <c r="AQ625" s="216"/>
      <c r="AR625" s="216"/>
      <c r="AS625" s="216"/>
      <c r="AT625" s="216"/>
      <c r="AU625" s="216" t="s">
        <v>2378</v>
      </c>
    </row>
    <row r="626" spans="1:47" ht="30">
      <c r="A626" s="216"/>
      <c r="B626" s="1532" t="s">
        <v>2376</v>
      </c>
      <c r="C626" s="216"/>
      <c r="D626" s="216"/>
      <c r="E626" s="216"/>
      <c r="F626" s="216"/>
      <c r="G626" s="216" t="s">
        <v>435</v>
      </c>
      <c r="H626" s="216">
        <v>2020</v>
      </c>
      <c r="I626" s="216"/>
      <c r="J626" s="216">
        <v>2022</v>
      </c>
      <c r="K626" s="216"/>
      <c r="L626" s="216"/>
      <c r="M626" s="1465" t="s">
        <v>2496</v>
      </c>
      <c r="N626" s="216">
        <v>5000</v>
      </c>
      <c r="O626" s="216"/>
      <c r="P626" s="216">
        <v>1000</v>
      </c>
      <c r="Q626" s="216"/>
      <c r="R626" s="216"/>
      <c r="S626" s="216"/>
      <c r="T626" s="216">
        <v>1000</v>
      </c>
      <c r="U626" s="216"/>
      <c r="V626" s="216"/>
      <c r="W626" s="1207"/>
      <c r="X626" s="1207"/>
      <c r="Y626" s="1207"/>
      <c r="Z626" s="1207"/>
      <c r="AA626" s="216"/>
      <c r="AB626" s="216"/>
      <c r="AC626" s="216"/>
      <c r="AD626" s="216">
        <f t="shared" si="445"/>
        <v>1000</v>
      </c>
      <c r="AE626" s="216">
        <f t="shared" si="446"/>
        <v>1000</v>
      </c>
      <c r="AF626" s="1207"/>
      <c r="AG626" s="1207"/>
      <c r="AH626" s="1207"/>
      <c r="AI626" s="1207"/>
      <c r="AJ626" s="1207"/>
      <c r="AK626" s="1207"/>
      <c r="AL626" s="1207">
        <f t="shared" si="447"/>
        <v>1000</v>
      </c>
      <c r="AM626" s="1207">
        <f t="shared" si="448"/>
        <v>1000</v>
      </c>
      <c r="AN626" s="216"/>
      <c r="AO626" s="216"/>
      <c r="AP626" s="216"/>
      <c r="AQ626" s="216"/>
      <c r="AR626" s="216"/>
      <c r="AS626" s="216"/>
      <c r="AT626" s="216"/>
      <c r="AU626" s="216" t="s">
        <v>2379</v>
      </c>
    </row>
    <row r="627" spans="1:47" ht="47.25">
      <c r="A627" s="216"/>
      <c r="B627" s="1532" t="s">
        <v>2468</v>
      </c>
      <c r="C627" s="216"/>
      <c r="D627" s="216"/>
      <c r="E627" s="216"/>
      <c r="F627" s="216"/>
      <c r="G627" s="216" t="s">
        <v>435</v>
      </c>
      <c r="H627" s="216">
        <v>2020</v>
      </c>
      <c r="I627" s="216"/>
      <c r="J627" s="216">
        <v>2022</v>
      </c>
      <c r="K627" s="216"/>
      <c r="L627" s="216"/>
      <c r="M627" s="1465" t="s">
        <v>2507</v>
      </c>
      <c r="N627" s="216">
        <v>15000</v>
      </c>
      <c r="O627" s="216"/>
      <c r="P627" s="216">
        <v>1000</v>
      </c>
      <c r="Q627" s="216"/>
      <c r="R627" s="216"/>
      <c r="S627" s="216"/>
      <c r="T627" s="216">
        <v>1000</v>
      </c>
      <c r="U627" s="216"/>
      <c r="V627" s="216"/>
      <c r="W627" s="1207"/>
      <c r="X627" s="1207"/>
      <c r="Y627" s="1207"/>
      <c r="Z627" s="1207"/>
      <c r="AA627" s="216"/>
      <c r="AB627" s="216"/>
      <c r="AC627" s="216"/>
      <c r="AD627" s="216">
        <f t="shared" si="445"/>
        <v>1000</v>
      </c>
      <c r="AE627" s="216">
        <f t="shared" si="446"/>
        <v>1000</v>
      </c>
      <c r="AF627" s="1207"/>
      <c r="AG627" s="1207"/>
      <c r="AH627" s="1207"/>
      <c r="AI627" s="1207"/>
      <c r="AJ627" s="1207"/>
      <c r="AK627" s="1207"/>
      <c r="AL627" s="1207">
        <f t="shared" si="447"/>
        <v>1000</v>
      </c>
      <c r="AM627" s="1207">
        <f t="shared" si="448"/>
        <v>1000</v>
      </c>
      <c r="AN627" s="216"/>
      <c r="AO627" s="216"/>
      <c r="AP627" s="216"/>
      <c r="AQ627" s="216"/>
      <c r="AR627" s="216"/>
      <c r="AS627" s="216"/>
      <c r="AT627" s="216"/>
      <c r="AU627" s="216" t="s">
        <v>1307</v>
      </c>
    </row>
    <row r="628" spans="1:47" ht="63">
      <c r="A628" s="216"/>
      <c r="B628" s="1532" t="s">
        <v>2469</v>
      </c>
      <c r="C628" s="216"/>
      <c r="D628" s="216"/>
      <c r="E628" s="216"/>
      <c r="F628" s="216"/>
      <c r="G628" s="216" t="s">
        <v>395</v>
      </c>
      <c r="H628" s="216">
        <v>2020</v>
      </c>
      <c r="I628" s="216"/>
      <c r="J628" s="216">
        <v>2022</v>
      </c>
      <c r="K628" s="216"/>
      <c r="L628" s="216"/>
      <c r="M628" s="1533" t="s">
        <v>2471</v>
      </c>
      <c r="N628" s="216">
        <v>15000</v>
      </c>
      <c r="O628" s="216"/>
      <c r="P628" s="216">
        <v>1000</v>
      </c>
      <c r="Q628" s="216"/>
      <c r="R628" s="216"/>
      <c r="S628" s="216"/>
      <c r="T628" s="216">
        <v>1000</v>
      </c>
      <c r="U628" s="216"/>
      <c r="V628" s="216"/>
      <c r="W628" s="1207"/>
      <c r="X628" s="1207"/>
      <c r="Y628" s="1207"/>
      <c r="Z628" s="1207"/>
      <c r="AA628" s="216"/>
      <c r="AB628" s="216"/>
      <c r="AC628" s="216"/>
      <c r="AD628" s="216">
        <f t="shared" si="445"/>
        <v>1000</v>
      </c>
      <c r="AE628" s="216">
        <f t="shared" si="446"/>
        <v>1000</v>
      </c>
      <c r="AF628" s="1207"/>
      <c r="AG628" s="1207"/>
      <c r="AH628" s="1207"/>
      <c r="AI628" s="1207"/>
      <c r="AJ628" s="1207"/>
      <c r="AK628" s="1207"/>
      <c r="AL628" s="1207">
        <f t="shared" ref="AL628:AL629" si="449">AD628</f>
        <v>1000</v>
      </c>
      <c r="AM628" s="1207">
        <f t="shared" ref="AM628:AM629" si="450">AE628-AI628</f>
        <v>1000</v>
      </c>
      <c r="AN628" s="216"/>
      <c r="AO628" s="216"/>
      <c r="AP628" s="216"/>
      <c r="AQ628" s="216"/>
      <c r="AR628" s="216"/>
      <c r="AS628" s="216"/>
      <c r="AT628" s="216"/>
      <c r="AU628" s="216" t="s">
        <v>793</v>
      </c>
    </row>
    <row r="629" spans="1:47" ht="40.5" customHeight="1">
      <c r="A629" s="216"/>
      <c r="B629" s="1532" t="s">
        <v>2462</v>
      </c>
      <c r="C629" s="216"/>
      <c r="D629" s="216"/>
      <c r="E629" s="216"/>
      <c r="F629" s="216"/>
      <c r="G629" s="216" t="s">
        <v>373</v>
      </c>
      <c r="H629" s="216">
        <v>2020</v>
      </c>
      <c r="I629" s="216"/>
      <c r="J629" s="216">
        <v>2022</v>
      </c>
      <c r="K629" s="216"/>
      <c r="L629" s="216"/>
      <c r="M629" s="1465" t="s">
        <v>2421</v>
      </c>
      <c r="N629" s="216">
        <v>2400</v>
      </c>
      <c r="O629" s="216"/>
      <c r="P629" s="216">
        <v>2400</v>
      </c>
      <c r="Q629" s="216"/>
      <c r="R629" s="216"/>
      <c r="S629" s="216"/>
      <c r="T629" s="216">
        <f t="shared" si="431"/>
        <v>720</v>
      </c>
      <c r="U629" s="216"/>
      <c r="V629" s="216"/>
      <c r="W629" s="1207"/>
      <c r="X629" s="1207"/>
      <c r="Y629" s="1207"/>
      <c r="Z629" s="1207"/>
      <c r="AA629" s="216"/>
      <c r="AB629" s="216"/>
      <c r="AC629" s="216"/>
      <c r="AD629" s="216">
        <f t="shared" si="445"/>
        <v>720</v>
      </c>
      <c r="AE629" s="216">
        <f t="shared" si="446"/>
        <v>720</v>
      </c>
      <c r="AF629" s="1207"/>
      <c r="AG629" s="1207"/>
      <c r="AH629" s="1207"/>
      <c r="AI629" s="1207"/>
      <c r="AJ629" s="1207"/>
      <c r="AK629" s="1207"/>
      <c r="AL629" s="1207">
        <f t="shared" si="449"/>
        <v>720</v>
      </c>
      <c r="AM629" s="1207">
        <f t="shared" si="450"/>
        <v>720</v>
      </c>
      <c r="AN629" s="216"/>
      <c r="AO629" s="216"/>
      <c r="AP629" s="216"/>
      <c r="AQ629" s="216"/>
      <c r="AR629" s="216"/>
      <c r="AS629" s="216"/>
      <c r="AT629" s="216"/>
      <c r="AU629" s="216" t="s">
        <v>491</v>
      </c>
    </row>
    <row r="630" spans="1:47" ht="47.25">
      <c r="A630" s="216"/>
      <c r="B630" s="1532" t="s">
        <v>2516</v>
      </c>
      <c r="C630" s="216"/>
      <c r="D630" s="216"/>
      <c r="E630" s="216"/>
      <c r="F630" s="216"/>
      <c r="G630" s="216" t="s">
        <v>382</v>
      </c>
      <c r="H630" s="216">
        <v>2020</v>
      </c>
      <c r="I630" s="216"/>
      <c r="J630" s="216">
        <v>2022</v>
      </c>
      <c r="K630" s="216"/>
      <c r="L630" s="216"/>
      <c r="M630" s="1465" t="s">
        <v>2441</v>
      </c>
      <c r="N630" s="216">
        <v>70000</v>
      </c>
      <c r="O630" s="216"/>
      <c r="P630" s="216">
        <v>50000</v>
      </c>
      <c r="Q630" s="216"/>
      <c r="R630" s="216"/>
      <c r="S630" s="216"/>
      <c r="T630" s="216">
        <f t="shared" si="431"/>
        <v>15000</v>
      </c>
      <c r="U630" s="216"/>
      <c r="V630" s="216"/>
      <c r="W630" s="1207"/>
      <c r="X630" s="1207"/>
      <c r="Y630" s="1207"/>
      <c r="Z630" s="1207"/>
      <c r="AA630" s="216"/>
      <c r="AB630" s="216"/>
      <c r="AC630" s="216"/>
      <c r="AD630" s="216">
        <f t="shared" si="445"/>
        <v>15000</v>
      </c>
      <c r="AE630" s="216">
        <f t="shared" si="446"/>
        <v>15000</v>
      </c>
      <c r="AF630" s="1207"/>
      <c r="AG630" s="1207"/>
      <c r="AH630" s="1207"/>
      <c r="AI630" s="1207"/>
      <c r="AJ630" s="1207"/>
      <c r="AK630" s="1207"/>
      <c r="AL630" s="1207"/>
      <c r="AM630" s="1207"/>
      <c r="AN630" s="216"/>
      <c r="AO630" s="216"/>
      <c r="AP630" s="216"/>
      <c r="AQ630" s="216"/>
      <c r="AR630" s="216"/>
      <c r="AS630" s="216"/>
      <c r="AT630" s="216"/>
      <c r="AU630" s="216" t="s">
        <v>1451</v>
      </c>
    </row>
    <row r="631" spans="1:47" ht="63">
      <c r="A631" s="216"/>
      <c r="B631" s="1532" t="s">
        <v>2587</v>
      </c>
      <c r="C631" s="216"/>
      <c r="D631" s="216"/>
      <c r="E631" s="216"/>
      <c r="F631" s="216"/>
      <c r="G631" s="216" t="s">
        <v>435</v>
      </c>
      <c r="H631" s="216">
        <v>2021</v>
      </c>
      <c r="I631" s="216"/>
      <c r="J631" s="216">
        <v>2023</v>
      </c>
      <c r="K631" s="216"/>
      <c r="L631" s="216"/>
      <c r="M631" s="1607"/>
      <c r="N631" s="216">
        <v>25000</v>
      </c>
      <c r="O631" s="216"/>
      <c r="P631" s="216">
        <v>25000</v>
      </c>
      <c r="Q631" s="216"/>
      <c r="R631" s="216"/>
      <c r="S631" s="216"/>
      <c r="T631" s="216"/>
      <c r="U631" s="216"/>
      <c r="V631" s="216"/>
      <c r="W631" s="1207"/>
      <c r="X631" s="1207"/>
      <c r="Y631" s="1207"/>
      <c r="Z631" s="1207"/>
      <c r="AA631" s="216"/>
      <c r="AB631" s="216"/>
      <c r="AC631" s="216"/>
      <c r="AD631" s="216"/>
      <c r="AE631" s="216"/>
      <c r="AF631" s="1207"/>
      <c r="AG631" s="1207"/>
      <c r="AH631" s="1207"/>
      <c r="AI631" s="1207"/>
      <c r="AJ631" s="1207"/>
      <c r="AK631" s="1207"/>
      <c r="AL631" s="1207"/>
      <c r="AM631" s="1207"/>
      <c r="AN631" s="216"/>
      <c r="AO631" s="216"/>
      <c r="AP631" s="216"/>
      <c r="AQ631" s="216"/>
      <c r="AR631" s="216"/>
      <c r="AS631" s="216"/>
      <c r="AT631" s="216"/>
      <c r="AU631" s="216" t="s">
        <v>1307</v>
      </c>
    </row>
    <row r="632" spans="1:47" ht="47.25">
      <c r="A632" s="216"/>
      <c r="B632" s="1532" t="s">
        <v>2588</v>
      </c>
      <c r="C632" s="216"/>
      <c r="D632" s="216"/>
      <c r="E632" s="216"/>
      <c r="F632" s="216"/>
      <c r="G632" s="216" t="s">
        <v>327</v>
      </c>
      <c r="H632" s="216">
        <v>2021</v>
      </c>
      <c r="I632" s="216"/>
      <c r="J632" s="216">
        <v>2023</v>
      </c>
      <c r="K632" s="216"/>
      <c r="L632" s="216"/>
      <c r="M632" s="1607"/>
      <c r="N632" s="216">
        <v>7000</v>
      </c>
      <c r="O632" s="216"/>
      <c r="P632" s="216">
        <v>7000</v>
      </c>
      <c r="Q632" s="216"/>
      <c r="R632" s="216"/>
      <c r="S632" s="216"/>
      <c r="T632" s="216"/>
      <c r="U632" s="216"/>
      <c r="V632" s="216"/>
      <c r="W632" s="1207"/>
      <c r="X632" s="1207"/>
      <c r="Y632" s="1207"/>
      <c r="Z632" s="1207"/>
      <c r="AA632" s="216"/>
      <c r="AB632" s="216"/>
      <c r="AC632" s="216"/>
      <c r="AD632" s="216"/>
      <c r="AE632" s="216"/>
      <c r="AF632" s="1207"/>
      <c r="AG632" s="1207"/>
      <c r="AH632" s="1207"/>
      <c r="AI632" s="1207"/>
      <c r="AJ632" s="1207"/>
      <c r="AK632" s="1207"/>
      <c r="AL632" s="1207"/>
      <c r="AM632" s="1207"/>
      <c r="AN632" s="216"/>
      <c r="AO632" s="216"/>
      <c r="AP632" s="216"/>
      <c r="AQ632" s="216"/>
      <c r="AR632" s="216"/>
      <c r="AS632" s="216"/>
      <c r="AT632" s="216"/>
      <c r="AU632" s="216" t="s">
        <v>2590</v>
      </c>
    </row>
    <row r="633" spans="1:47" ht="31.5">
      <c r="A633" s="216"/>
      <c r="B633" s="1532" t="s">
        <v>2589</v>
      </c>
      <c r="C633" s="216"/>
      <c r="D633" s="216"/>
      <c r="E633" s="216"/>
      <c r="F633" s="216"/>
      <c r="G633" s="216" t="s">
        <v>373</v>
      </c>
      <c r="H633" s="216">
        <v>2021</v>
      </c>
      <c r="I633" s="216"/>
      <c r="J633" s="216">
        <v>2023</v>
      </c>
      <c r="K633" s="216"/>
      <c r="L633" s="216"/>
      <c r="M633" s="1607"/>
      <c r="N633" s="216">
        <v>3500</v>
      </c>
      <c r="O633" s="216"/>
      <c r="P633" s="216">
        <v>3500</v>
      </c>
      <c r="Q633" s="216"/>
      <c r="R633" s="216"/>
      <c r="S633" s="216"/>
      <c r="T633" s="216"/>
      <c r="U633" s="216"/>
      <c r="V633" s="216"/>
      <c r="W633" s="1207"/>
      <c r="X633" s="1207"/>
      <c r="Y633" s="1207"/>
      <c r="Z633" s="1207"/>
      <c r="AA633" s="216"/>
      <c r="AB633" s="216"/>
      <c r="AC633" s="216"/>
      <c r="AD633" s="216"/>
      <c r="AE633" s="216"/>
      <c r="AF633" s="1207"/>
      <c r="AG633" s="1207"/>
      <c r="AH633" s="1207"/>
      <c r="AI633" s="1207"/>
      <c r="AJ633" s="1207"/>
      <c r="AK633" s="1207"/>
      <c r="AL633" s="1207"/>
      <c r="AM633" s="1207"/>
      <c r="AN633" s="216"/>
      <c r="AO633" s="216"/>
      <c r="AP633" s="216"/>
      <c r="AQ633" s="216"/>
      <c r="AR633" s="216"/>
      <c r="AS633" s="216"/>
      <c r="AT633" s="216"/>
      <c r="AU633" s="216" t="s">
        <v>2312</v>
      </c>
    </row>
  </sheetData>
  <mergeCells count="56">
    <mergeCell ref="Q2:S3"/>
    <mergeCell ref="R4:S5"/>
    <mergeCell ref="A2:A5"/>
    <mergeCell ref="B2:B5"/>
    <mergeCell ref="C2:D2"/>
    <mergeCell ref="E2:E5"/>
    <mergeCell ref="F2:F5"/>
    <mergeCell ref="G2:G5"/>
    <mergeCell ref="Q4:Q5"/>
    <mergeCell ref="C3:C5"/>
    <mergeCell ref="D3:D5"/>
    <mergeCell ref="L3:L5"/>
    <mergeCell ref="M3:M5"/>
    <mergeCell ref="N3:P3"/>
    <mergeCell ref="N4:N5"/>
    <mergeCell ref="O4:P5"/>
    <mergeCell ref="Z2:Z5"/>
    <mergeCell ref="T4:T5"/>
    <mergeCell ref="U4:U5"/>
    <mergeCell ref="AA2:AC3"/>
    <mergeCell ref="AD2:AE3"/>
    <mergeCell ref="T2:U3"/>
    <mergeCell ref="V2:V5"/>
    <mergeCell ref="W2:W5"/>
    <mergeCell ref="X2:X5"/>
    <mergeCell ref="Y2:Y5"/>
    <mergeCell ref="AJ2:AK3"/>
    <mergeCell ref="AL2:AM3"/>
    <mergeCell ref="AN2:AN5"/>
    <mergeCell ref="AQ2:AQ5"/>
    <mergeCell ref="AJ4:AJ5"/>
    <mergeCell ref="AK4:AK5"/>
    <mergeCell ref="AL4:AL5"/>
    <mergeCell ref="AM4:AM5"/>
    <mergeCell ref="AF2:AF5"/>
    <mergeCell ref="AG2:AG5"/>
    <mergeCell ref="AH2:AH5"/>
    <mergeCell ref="AI2:AI5"/>
    <mergeCell ref="AA4:AA5"/>
    <mergeCell ref="AB4:AC5"/>
    <mergeCell ref="AD4:AD5"/>
    <mergeCell ref="AE4:AE5"/>
    <mergeCell ref="H2:H5"/>
    <mergeCell ref="I2:I5"/>
    <mergeCell ref="J2:J5"/>
    <mergeCell ref="K2:K5"/>
    <mergeCell ref="L2:P2"/>
    <mergeCell ref="AV2:AX4"/>
    <mergeCell ref="AY2:BA4"/>
    <mergeCell ref="AN284:AN286"/>
    <mergeCell ref="AN363:AN365"/>
    <mergeCell ref="AN382:AN383"/>
    <mergeCell ref="AT2:AT5"/>
    <mergeCell ref="AU2:AU5"/>
    <mergeCell ref="AR2:AR5"/>
    <mergeCell ref="AS2:AS5"/>
  </mergeCells>
  <pageMargins left="0.7" right="0.7" top="0.75" bottom="0.75" header="0.3" footer="0.3"/>
  <legacy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C000"/>
    <pageSetUpPr fitToPage="1"/>
  </sheetPr>
  <dimension ref="A1:Q431"/>
  <sheetViews>
    <sheetView zoomScalePageLayoutView="50" workbookViewId="0">
      <selection activeCell="A2" sqref="A2:I2"/>
    </sheetView>
  </sheetViews>
  <sheetFormatPr defaultColWidth="9.140625" defaultRowHeight="18.75"/>
  <cols>
    <col min="1" max="1" width="5.140625" style="137" customWidth="1"/>
    <col min="2" max="2" width="51.5703125" style="41" customWidth="1"/>
    <col min="3" max="3" width="13.42578125" style="44" customWidth="1"/>
    <col min="4" max="4" width="13.7109375" style="44" customWidth="1"/>
    <col min="5" max="5" width="13.42578125" style="44" customWidth="1"/>
    <col min="6" max="6" width="13.42578125" style="3" customWidth="1"/>
    <col min="7" max="8" width="11.7109375" style="3" customWidth="1"/>
    <col min="9" max="10" width="14" style="3" customWidth="1"/>
    <col min="11" max="11" width="14.140625" style="3" customWidth="1"/>
    <col min="12" max="12" width="18.5703125" style="13" customWidth="1"/>
    <col min="13" max="14" width="14.42578125" style="13" customWidth="1"/>
    <col min="15" max="15" width="13.85546875" style="13" customWidth="1"/>
    <col min="16" max="16" width="11.85546875" style="13" customWidth="1"/>
    <col min="17" max="18" width="13.7109375" style="13" customWidth="1"/>
    <col min="19" max="20" width="15.28515625" style="13" customWidth="1"/>
    <col min="21" max="16384" width="9.140625" style="13"/>
  </cols>
  <sheetData>
    <row r="1" spans="1:17" ht="31.9" customHeight="1">
      <c r="A1" s="1728" t="s">
        <v>208</v>
      </c>
      <c r="B1" s="1728"/>
      <c r="C1" s="1728"/>
      <c r="D1" s="1728"/>
      <c r="E1" s="1728"/>
      <c r="F1" s="1728"/>
      <c r="G1" s="1728"/>
      <c r="H1" s="1728"/>
      <c r="I1" s="1728"/>
      <c r="J1" s="190"/>
      <c r="K1" s="1831" t="s">
        <v>0</v>
      </c>
      <c r="L1" s="1831"/>
      <c r="M1" s="1831"/>
      <c r="N1" s="1831"/>
      <c r="O1" s="1831"/>
      <c r="P1" s="1831"/>
      <c r="Q1" s="139"/>
    </row>
    <row r="2" spans="1:17" ht="31.9" customHeight="1">
      <c r="A2" s="1821" t="s">
        <v>1</v>
      </c>
      <c r="B2" s="1821"/>
      <c r="C2" s="1821"/>
      <c r="D2" s="1821"/>
      <c r="E2" s="1821"/>
      <c r="F2" s="1821"/>
      <c r="G2" s="1821"/>
      <c r="H2" s="1821"/>
      <c r="I2" s="1821"/>
      <c r="J2" s="191"/>
      <c r="K2" s="1832" t="s">
        <v>2</v>
      </c>
      <c r="L2" s="1832"/>
      <c r="M2" s="1832"/>
      <c r="N2" s="1832"/>
      <c r="O2" s="1832"/>
      <c r="P2" s="1832"/>
      <c r="Q2" s="142"/>
    </row>
    <row r="3" spans="1:17" s="14" customFormat="1" ht="42" customHeight="1">
      <c r="A3" s="1783" t="s">
        <v>157</v>
      </c>
      <c r="B3" s="1783"/>
      <c r="C3" s="1783"/>
      <c r="D3" s="1783"/>
      <c r="E3" s="1783"/>
      <c r="F3" s="1783"/>
      <c r="G3" s="1783"/>
      <c r="H3" s="1783"/>
      <c r="I3" s="1783"/>
      <c r="J3" s="1783"/>
      <c r="K3" s="1783"/>
      <c r="L3" s="1783"/>
      <c r="M3" s="1783"/>
      <c r="N3" s="1783"/>
      <c r="O3" s="1783"/>
      <c r="P3" s="1783"/>
    </row>
    <row r="4" spans="1:17" s="14" customFormat="1" ht="32.25" customHeight="1">
      <c r="A4" s="1838" t="s">
        <v>196</v>
      </c>
      <c r="B4" s="1838"/>
      <c r="C4" s="1838"/>
      <c r="D4" s="1838"/>
      <c r="E4" s="1838"/>
      <c r="F4" s="1838"/>
      <c r="G4" s="1838"/>
      <c r="H4" s="1838"/>
      <c r="I4" s="1838"/>
      <c r="J4" s="1838"/>
      <c r="K4" s="1838"/>
      <c r="L4" s="1838"/>
      <c r="M4" s="1838"/>
      <c r="N4" s="1838"/>
      <c r="O4" s="1838"/>
      <c r="P4" s="1838"/>
    </row>
    <row r="5" spans="1:17" ht="45.75" customHeight="1">
      <c r="A5" s="1728" t="s">
        <v>209</v>
      </c>
      <c r="B5" s="1728"/>
      <c r="C5" s="1728"/>
      <c r="D5" s="1728"/>
      <c r="E5" s="1728"/>
      <c r="F5" s="1728"/>
      <c r="G5" s="1728"/>
      <c r="H5" s="1728"/>
      <c r="I5" s="1728"/>
      <c r="J5" s="1728"/>
      <c r="K5" s="1728"/>
      <c r="L5" s="1728"/>
      <c r="M5" s="1728"/>
      <c r="N5" s="1728"/>
      <c r="O5" s="1728"/>
      <c r="P5" s="1728"/>
    </row>
    <row r="6" spans="1:17" ht="29.25" customHeight="1">
      <c r="A6" s="1835"/>
      <c r="B6" s="1835"/>
      <c r="C6" s="1835"/>
      <c r="D6" s="1835"/>
      <c r="E6" s="1835"/>
      <c r="F6" s="1835"/>
      <c r="G6" s="1835"/>
      <c r="H6" s="1835"/>
      <c r="I6" s="1835"/>
      <c r="J6" s="1835"/>
      <c r="K6" s="1835"/>
      <c r="L6" s="1835"/>
      <c r="M6" s="1835"/>
      <c r="N6" s="1835"/>
      <c r="O6" s="1835"/>
      <c r="P6" s="1835"/>
    </row>
    <row r="7" spans="1:17" s="15" customFormat="1" ht="35.65" customHeight="1">
      <c r="A7" s="1836" t="s">
        <v>3</v>
      </c>
      <c r="B7" s="1836"/>
      <c r="C7" s="1836"/>
      <c r="D7" s="1836"/>
      <c r="E7" s="1836"/>
      <c r="F7" s="1836"/>
      <c r="G7" s="1836"/>
      <c r="H7" s="1836"/>
      <c r="I7" s="1836"/>
      <c r="J7" s="1836"/>
      <c r="K7" s="1836"/>
      <c r="L7" s="1836"/>
      <c r="M7" s="1836"/>
      <c r="N7" s="1836"/>
      <c r="O7" s="1836"/>
      <c r="P7" s="1836"/>
    </row>
    <row r="8" spans="1:17" s="18" customFormat="1" ht="66" customHeight="1">
      <c r="A8" s="1837" t="s">
        <v>22</v>
      </c>
      <c r="B8" s="1741" t="s">
        <v>23</v>
      </c>
      <c r="C8" s="1741" t="s">
        <v>24</v>
      </c>
      <c r="D8" s="1741" t="s">
        <v>26</v>
      </c>
      <c r="E8" s="1738" t="s">
        <v>27</v>
      </c>
      <c r="F8" s="1739"/>
      <c r="G8" s="1739"/>
      <c r="H8" s="1740"/>
      <c r="I8" s="1746" t="s">
        <v>210</v>
      </c>
      <c r="J8" s="1746"/>
      <c r="K8" s="1747"/>
      <c r="L8" s="1735" t="s">
        <v>211</v>
      </c>
      <c r="M8" s="1751" t="s">
        <v>212</v>
      </c>
      <c r="N8" s="1752"/>
      <c r="O8" s="1752"/>
      <c r="P8" s="1741" t="s">
        <v>7</v>
      </c>
    </row>
    <row r="9" spans="1:17" s="18" customFormat="1" ht="36" customHeight="1">
      <c r="A9" s="1837"/>
      <c r="B9" s="1741"/>
      <c r="C9" s="1741"/>
      <c r="D9" s="1741"/>
      <c r="E9" s="1743" t="s">
        <v>213</v>
      </c>
      <c r="F9" s="1743" t="s">
        <v>31</v>
      </c>
      <c r="G9" s="1743"/>
      <c r="H9" s="1743"/>
      <c r="I9" s="1741" t="s">
        <v>9</v>
      </c>
      <c r="J9" s="1741" t="s">
        <v>14</v>
      </c>
      <c r="K9" s="1741"/>
      <c r="L9" s="1736"/>
      <c r="M9" s="1741" t="s">
        <v>9</v>
      </c>
      <c r="N9" s="1751" t="s">
        <v>14</v>
      </c>
      <c r="O9" s="1752"/>
      <c r="P9" s="1741"/>
    </row>
    <row r="10" spans="1:17" s="18" customFormat="1" ht="36" customHeight="1">
      <c r="A10" s="1837"/>
      <c r="B10" s="1741"/>
      <c r="C10" s="1741"/>
      <c r="D10" s="1741"/>
      <c r="E10" s="1743"/>
      <c r="F10" s="1743" t="s">
        <v>214</v>
      </c>
      <c r="G10" s="1743" t="s">
        <v>14</v>
      </c>
      <c r="H10" s="1743"/>
      <c r="I10" s="1741"/>
      <c r="J10" s="1741" t="s">
        <v>197</v>
      </c>
      <c r="K10" s="1741" t="s">
        <v>198</v>
      </c>
      <c r="L10" s="1736"/>
      <c r="M10" s="1741"/>
      <c r="N10" s="1741" t="s">
        <v>197</v>
      </c>
      <c r="O10" s="1751" t="s">
        <v>198</v>
      </c>
      <c r="P10" s="1741"/>
    </row>
    <row r="11" spans="1:17" s="18" customFormat="1" ht="40.5" customHeight="1">
      <c r="A11" s="1837"/>
      <c r="B11" s="1741"/>
      <c r="C11" s="1741"/>
      <c r="D11" s="1741"/>
      <c r="E11" s="1743"/>
      <c r="F11" s="1834"/>
      <c r="G11" s="192" t="s">
        <v>215</v>
      </c>
      <c r="H11" s="193" t="s">
        <v>216</v>
      </c>
      <c r="I11" s="1741"/>
      <c r="J11" s="1741"/>
      <c r="K11" s="1741"/>
      <c r="L11" s="1737"/>
      <c r="M11" s="1741"/>
      <c r="N11" s="1741"/>
      <c r="O11" s="1751"/>
      <c r="P11" s="1741"/>
    </row>
    <row r="12" spans="1:17" s="20" customFormat="1" ht="30.75" customHeight="1">
      <c r="A12" s="194">
        <v>1</v>
      </c>
      <c r="B12" s="19">
        <v>2</v>
      </c>
      <c r="C12" s="194">
        <v>3</v>
      </c>
      <c r="D12" s="19">
        <v>4</v>
      </c>
      <c r="E12" s="194">
        <v>5</v>
      </c>
      <c r="F12" s="19">
        <v>6</v>
      </c>
      <c r="G12" s="194">
        <v>7</v>
      </c>
      <c r="H12" s="19">
        <v>8</v>
      </c>
      <c r="I12" s="194">
        <v>9</v>
      </c>
      <c r="J12" s="19">
        <v>10</v>
      </c>
      <c r="K12" s="194">
        <v>11</v>
      </c>
      <c r="L12" s="19">
        <v>12</v>
      </c>
      <c r="M12" s="194">
        <v>13</v>
      </c>
      <c r="N12" s="19">
        <v>14</v>
      </c>
      <c r="O12" s="194">
        <v>15</v>
      </c>
      <c r="P12" s="19">
        <v>16</v>
      </c>
    </row>
    <row r="13" spans="1:17" s="20" customFormat="1" ht="39" customHeight="1">
      <c r="A13" s="194"/>
      <c r="B13" s="21" t="s">
        <v>13</v>
      </c>
      <c r="C13" s="194"/>
      <c r="D13" s="19"/>
      <c r="E13" s="194"/>
      <c r="F13" s="19"/>
      <c r="G13" s="19"/>
      <c r="H13" s="194"/>
      <c r="I13" s="194"/>
      <c r="J13" s="194"/>
      <c r="K13" s="194"/>
      <c r="L13" s="194"/>
      <c r="M13" s="194"/>
      <c r="N13" s="194"/>
      <c r="O13" s="194"/>
      <c r="P13" s="194"/>
    </row>
    <row r="14" spans="1:17" ht="39" customHeight="1">
      <c r="A14" s="22" t="s">
        <v>33</v>
      </c>
      <c r="B14" s="23" t="s">
        <v>217</v>
      </c>
      <c r="C14" s="34"/>
      <c r="D14" s="34"/>
      <c r="E14" s="34"/>
      <c r="F14" s="35"/>
      <c r="G14" s="35"/>
      <c r="H14" s="35"/>
      <c r="I14" s="35"/>
      <c r="J14" s="35"/>
      <c r="K14" s="35"/>
      <c r="L14" s="48"/>
      <c r="M14" s="48"/>
      <c r="N14" s="48"/>
      <c r="O14" s="48"/>
      <c r="P14" s="48"/>
    </row>
    <row r="15" spans="1:17" ht="39" customHeight="1">
      <c r="A15" s="22" t="s">
        <v>38</v>
      </c>
      <c r="B15" s="23" t="s">
        <v>170</v>
      </c>
      <c r="C15" s="34"/>
      <c r="D15" s="34"/>
      <c r="E15" s="34"/>
      <c r="F15" s="35"/>
      <c r="G15" s="35"/>
      <c r="H15" s="35"/>
      <c r="I15" s="35"/>
      <c r="J15" s="35"/>
      <c r="K15" s="35"/>
      <c r="L15" s="48"/>
      <c r="M15" s="48"/>
      <c r="N15" s="48"/>
      <c r="O15" s="48"/>
      <c r="P15" s="48"/>
    </row>
    <row r="16" spans="1:17" ht="30" customHeight="1">
      <c r="A16" s="30" t="s">
        <v>34</v>
      </c>
      <c r="B16" s="31" t="s">
        <v>39</v>
      </c>
      <c r="C16" s="34"/>
      <c r="D16" s="34"/>
      <c r="E16" s="34"/>
      <c r="F16" s="35"/>
      <c r="G16" s="35"/>
      <c r="H16" s="35"/>
      <c r="I16" s="35"/>
      <c r="J16" s="35"/>
      <c r="K16" s="35"/>
      <c r="L16" s="48"/>
      <c r="M16" s="48"/>
      <c r="N16" s="48"/>
      <c r="O16" s="48"/>
      <c r="P16" s="48"/>
    </row>
    <row r="17" spans="1:16" ht="30" customHeight="1">
      <c r="A17" s="30" t="s">
        <v>41</v>
      </c>
      <c r="B17" s="32" t="s">
        <v>42</v>
      </c>
      <c r="C17" s="34"/>
      <c r="D17" s="34"/>
      <c r="E17" s="34"/>
      <c r="F17" s="35"/>
      <c r="G17" s="35"/>
      <c r="H17" s="35"/>
      <c r="I17" s="35"/>
      <c r="J17" s="35"/>
      <c r="K17" s="35"/>
      <c r="L17" s="48"/>
      <c r="M17" s="48"/>
      <c r="N17" s="48"/>
      <c r="O17" s="48"/>
      <c r="P17" s="48"/>
    </row>
    <row r="18" spans="1:16" ht="39" customHeight="1">
      <c r="A18" s="22" t="s">
        <v>40</v>
      </c>
      <c r="B18" s="23" t="s">
        <v>171</v>
      </c>
      <c r="C18" s="34"/>
      <c r="D18" s="34"/>
      <c r="E18" s="34"/>
      <c r="F18" s="35"/>
      <c r="G18" s="35"/>
      <c r="H18" s="35"/>
      <c r="I18" s="35"/>
      <c r="J18" s="35"/>
      <c r="K18" s="35"/>
      <c r="L18" s="48"/>
      <c r="M18" s="48"/>
      <c r="N18" s="48"/>
      <c r="O18" s="48"/>
      <c r="P18" s="48"/>
    </row>
    <row r="19" spans="1:16" s="26" customFormat="1" ht="61.5" customHeight="1">
      <c r="A19" s="22" t="s">
        <v>199</v>
      </c>
      <c r="B19" s="27" t="s">
        <v>200</v>
      </c>
      <c r="C19" s="24"/>
      <c r="D19" s="24"/>
      <c r="E19" s="24"/>
      <c r="F19" s="25"/>
      <c r="G19" s="25"/>
      <c r="H19" s="25"/>
      <c r="I19" s="25"/>
      <c r="J19" s="25"/>
      <c r="K19" s="25"/>
      <c r="L19" s="195"/>
      <c r="M19" s="195"/>
      <c r="N19" s="195"/>
      <c r="O19" s="195"/>
      <c r="P19" s="195"/>
    </row>
    <row r="20" spans="1:16" ht="30" customHeight="1">
      <c r="A20" s="30" t="s">
        <v>34</v>
      </c>
      <c r="B20" s="31" t="s">
        <v>39</v>
      </c>
      <c r="C20" s="34"/>
      <c r="D20" s="34"/>
      <c r="E20" s="34"/>
      <c r="F20" s="35"/>
      <c r="G20" s="35"/>
      <c r="H20" s="35"/>
      <c r="I20" s="35"/>
      <c r="J20" s="35"/>
      <c r="K20" s="35"/>
      <c r="L20" s="48"/>
      <c r="M20" s="48"/>
      <c r="N20" s="48"/>
      <c r="O20" s="48"/>
      <c r="P20" s="48"/>
    </row>
    <row r="21" spans="1:16" ht="30" customHeight="1">
      <c r="A21" s="30" t="s">
        <v>41</v>
      </c>
      <c r="B21" s="32" t="s">
        <v>42</v>
      </c>
      <c r="C21" s="34"/>
      <c r="D21" s="34"/>
      <c r="E21" s="34"/>
      <c r="F21" s="35"/>
      <c r="G21" s="35"/>
      <c r="H21" s="35"/>
      <c r="I21" s="35"/>
      <c r="J21" s="35"/>
      <c r="K21" s="35"/>
      <c r="L21" s="48"/>
      <c r="M21" s="48"/>
      <c r="N21" s="48"/>
      <c r="O21" s="48"/>
      <c r="P21" s="48"/>
    </row>
    <row r="22" spans="1:16" s="26" customFormat="1" ht="57" customHeight="1">
      <c r="A22" s="22" t="s">
        <v>201</v>
      </c>
      <c r="B22" s="27" t="s">
        <v>202</v>
      </c>
      <c r="C22" s="24"/>
      <c r="D22" s="24"/>
      <c r="E22" s="24"/>
      <c r="F22" s="25"/>
      <c r="G22" s="25"/>
      <c r="H22" s="25"/>
      <c r="I22" s="25"/>
      <c r="J22" s="25"/>
      <c r="K22" s="25"/>
      <c r="L22" s="195"/>
      <c r="M22" s="195"/>
      <c r="N22" s="195"/>
      <c r="O22" s="195"/>
      <c r="P22" s="195"/>
    </row>
    <row r="23" spans="1:16" ht="30" customHeight="1">
      <c r="A23" s="30" t="s">
        <v>34</v>
      </c>
      <c r="B23" s="31" t="s">
        <v>39</v>
      </c>
      <c r="C23" s="34"/>
      <c r="D23" s="34"/>
      <c r="E23" s="34"/>
      <c r="F23" s="35"/>
      <c r="G23" s="35"/>
      <c r="H23" s="35"/>
      <c r="I23" s="35"/>
      <c r="J23" s="35"/>
      <c r="K23" s="35"/>
      <c r="L23" s="48"/>
      <c r="M23" s="48"/>
      <c r="N23" s="48"/>
      <c r="O23" s="48"/>
      <c r="P23" s="48"/>
    </row>
    <row r="24" spans="1:16" ht="30" customHeight="1">
      <c r="A24" s="30" t="s">
        <v>41</v>
      </c>
      <c r="B24" s="32" t="s">
        <v>42</v>
      </c>
      <c r="C24" s="34"/>
      <c r="D24" s="34"/>
      <c r="E24" s="34"/>
      <c r="F24" s="35"/>
      <c r="G24" s="35"/>
      <c r="H24" s="35"/>
      <c r="I24" s="35"/>
      <c r="J24" s="35"/>
      <c r="K24" s="35"/>
      <c r="L24" s="48"/>
      <c r="M24" s="48"/>
      <c r="N24" s="48"/>
      <c r="O24" s="48"/>
      <c r="P24" s="48"/>
    </row>
    <row r="25" spans="1:16" ht="45.75" customHeight="1">
      <c r="A25" s="22" t="s">
        <v>203</v>
      </c>
      <c r="B25" s="27" t="s">
        <v>218</v>
      </c>
      <c r="C25" s="34"/>
      <c r="D25" s="34"/>
      <c r="E25" s="34"/>
      <c r="F25" s="35"/>
      <c r="G25" s="35"/>
      <c r="H25" s="35"/>
      <c r="I25" s="35"/>
      <c r="J25" s="35"/>
      <c r="K25" s="35"/>
      <c r="L25" s="48"/>
      <c r="M25" s="48"/>
      <c r="N25" s="48"/>
      <c r="O25" s="48"/>
      <c r="P25" s="48"/>
    </row>
    <row r="26" spans="1:16" ht="33.75" customHeight="1">
      <c r="A26" s="30" t="s">
        <v>34</v>
      </c>
      <c r="B26" s="31" t="s">
        <v>39</v>
      </c>
      <c r="C26" s="34"/>
      <c r="D26" s="34"/>
      <c r="E26" s="34"/>
      <c r="F26" s="35"/>
      <c r="G26" s="35"/>
      <c r="H26" s="35"/>
      <c r="I26" s="35"/>
      <c r="J26" s="35"/>
      <c r="K26" s="35"/>
      <c r="L26" s="48"/>
      <c r="M26" s="48"/>
      <c r="N26" s="48"/>
      <c r="O26" s="48"/>
      <c r="P26" s="48"/>
    </row>
    <row r="27" spans="1:16" ht="34.5" customHeight="1">
      <c r="A27" s="30"/>
      <c r="B27" s="32" t="s">
        <v>219</v>
      </c>
      <c r="C27" s="34"/>
      <c r="D27" s="34"/>
      <c r="E27" s="34"/>
      <c r="F27" s="35"/>
      <c r="G27" s="35"/>
      <c r="H27" s="35"/>
      <c r="I27" s="35"/>
      <c r="J27" s="35"/>
      <c r="K27" s="35"/>
      <c r="L27" s="48"/>
      <c r="M27" s="48"/>
      <c r="N27" s="48"/>
      <c r="O27" s="48"/>
      <c r="P27" s="48"/>
    </row>
    <row r="28" spans="1:16" s="26" customFormat="1" ht="53.25" customHeight="1">
      <c r="A28" s="22" t="s">
        <v>204</v>
      </c>
      <c r="B28" s="27" t="s">
        <v>205</v>
      </c>
      <c r="C28" s="24"/>
      <c r="D28" s="24"/>
      <c r="E28" s="24"/>
      <c r="F28" s="25"/>
      <c r="G28" s="25"/>
      <c r="H28" s="25"/>
      <c r="I28" s="25"/>
      <c r="J28" s="25"/>
      <c r="K28" s="25"/>
      <c r="L28" s="195"/>
      <c r="M28" s="195"/>
      <c r="N28" s="195"/>
      <c r="O28" s="195"/>
      <c r="P28" s="195"/>
    </row>
    <row r="29" spans="1:16" ht="37.5" customHeight="1">
      <c r="A29" s="30" t="s">
        <v>34</v>
      </c>
      <c r="B29" s="31" t="s">
        <v>39</v>
      </c>
      <c r="C29" s="34"/>
      <c r="D29" s="34"/>
      <c r="E29" s="34"/>
      <c r="F29" s="35"/>
      <c r="G29" s="35"/>
      <c r="H29" s="35"/>
      <c r="I29" s="35"/>
      <c r="J29" s="35"/>
      <c r="K29" s="35"/>
      <c r="L29" s="48"/>
      <c r="M29" s="48"/>
      <c r="N29" s="48"/>
      <c r="O29" s="48"/>
      <c r="P29" s="48"/>
    </row>
    <row r="30" spans="1:16" ht="39" customHeight="1">
      <c r="A30" s="30"/>
      <c r="B30" s="31" t="s">
        <v>220</v>
      </c>
      <c r="C30" s="34"/>
      <c r="D30" s="34"/>
      <c r="E30" s="34"/>
      <c r="F30" s="35"/>
      <c r="G30" s="35"/>
      <c r="H30" s="35"/>
      <c r="I30" s="35"/>
      <c r="J30" s="35"/>
      <c r="K30" s="35"/>
      <c r="L30" s="48"/>
      <c r="M30" s="48"/>
      <c r="N30" s="48"/>
      <c r="O30" s="48"/>
      <c r="P30" s="48"/>
    </row>
    <row r="31" spans="1:16" s="26" customFormat="1" ht="63" customHeight="1">
      <c r="A31" s="22" t="s">
        <v>206</v>
      </c>
      <c r="B31" s="27" t="s">
        <v>207</v>
      </c>
      <c r="C31" s="24"/>
      <c r="D31" s="24"/>
      <c r="E31" s="24"/>
      <c r="F31" s="25"/>
      <c r="G31" s="25"/>
      <c r="H31" s="25"/>
      <c r="I31" s="25"/>
      <c r="J31" s="25"/>
      <c r="K31" s="25"/>
      <c r="L31" s="195"/>
      <c r="M31" s="195"/>
      <c r="N31" s="195"/>
      <c r="O31" s="195"/>
      <c r="P31" s="195"/>
    </row>
    <row r="32" spans="1:16" ht="37.5" customHeight="1">
      <c r="A32" s="30" t="s">
        <v>34</v>
      </c>
      <c r="B32" s="31" t="s">
        <v>39</v>
      </c>
      <c r="C32" s="34"/>
      <c r="D32" s="34"/>
      <c r="E32" s="34"/>
      <c r="F32" s="35"/>
      <c r="G32" s="35"/>
      <c r="H32" s="35"/>
      <c r="I32" s="35"/>
      <c r="J32" s="35"/>
      <c r="K32" s="35"/>
      <c r="L32" s="48"/>
      <c r="M32" s="48"/>
      <c r="N32" s="48"/>
      <c r="O32" s="48"/>
      <c r="P32" s="48"/>
    </row>
    <row r="33" spans="1:16" ht="39" customHeight="1">
      <c r="A33" s="30"/>
      <c r="B33" s="31" t="s">
        <v>220</v>
      </c>
      <c r="C33" s="34"/>
      <c r="D33" s="34"/>
      <c r="E33" s="34"/>
      <c r="F33" s="35"/>
      <c r="G33" s="35"/>
      <c r="H33" s="35"/>
      <c r="I33" s="35"/>
      <c r="J33" s="35"/>
      <c r="K33" s="35"/>
      <c r="L33" s="48"/>
      <c r="M33" s="48"/>
      <c r="N33" s="48"/>
      <c r="O33" s="48"/>
      <c r="P33" s="48"/>
    </row>
    <row r="34" spans="1:16" ht="50.25" customHeight="1">
      <c r="A34" s="22" t="s">
        <v>49</v>
      </c>
      <c r="B34" s="23" t="s">
        <v>221</v>
      </c>
      <c r="C34" s="34"/>
      <c r="D34" s="34"/>
      <c r="E34" s="34"/>
      <c r="F34" s="35"/>
      <c r="G34" s="35"/>
      <c r="H34" s="35"/>
      <c r="I34" s="35"/>
      <c r="J34" s="35"/>
      <c r="K34" s="35"/>
      <c r="L34" s="48"/>
      <c r="M34" s="48"/>
      <c r="N34" s="48"/>
      <c r="O34" s="48"/>
      <c r="P34" s="48"/>
    </row>
    <row r="35" spans="1:16" ht="45.75" customHeight="1">
      <c r="A35" s="30"/>
      <c r="B35" s="27" t="s">
        <v>222</v>
      </c>
      <c r="C35" s="34"/>
      <c r="D35" s="34"/>
      <c r="E35" s="34"/>
      <c r="F35" s="35"/>
      <c r="G35" s="35"/>
      <c r="H35" s="35"/>
      <c r="I35" s="35"/>
      <c r="J35" s="35"/>
      <c r="K35" s="35"/>
      <c r="L35" s="48"/>
      <c r="M35" s="48"/>
      <c r="N35" s="48"/>
      <c r="O35" s="48"/>
      <c r="P35" s="48"/>
    </row>
    <row r="36" spans="1:16" ht="30" customHeight="1">
      <c r="A36" s="131"/>
      <c r="B36" s="173"/>
      <c r="C36" s="38"/>
      <c r="D36" s="38"/>
      <c r="E36" s="38"/>
      <c r="F36" s="39"/>
      <c r="G36" s="39"/>
      <c r="H36" s="39"/>
      <c r="I36" s="39"/>
      <c r="J36" s="39"/>
      <c r="K36" s="39"/>
    </row>
    <row r="37" spans="1:16" ht="30" customHeight="1">
      <c r="A37" s="131"/>
      <c r="B37" s="173" t="s">
        <v>19</v>
      </c>
      <c r="C37" s="38"/>
      <c r="D37" s="38"/>
      <c r="E37" s="38"/>
      <c r="F37" s="39"/>
      <c r="G37" s="39"/>
      <c r="H37" s="39"/>
      <c r="I37" s="39"/>
      <c r="J37" s="39"/>
      <c r="K37" s="39"/>
    </row>
    <row r="38" spans="1:16" ht="30" customHeight="1">
      <c r="A38" s="131"/>
      <c r="B38" s="174" t="s">
        <v>20</v>
      </c>
      <c r="C38" s="38"/>
      <c r="D38" s="38"/>
      <c r="E38" s="38"/>
      <c r="F38" s="39"/>
      <c r="G38" s="39"/>
      <c r="H38" s="39"/>
      <c r="I38" s="39"/>
      <c r="J38" s="39"/>
      <c r="K38" s="39"/>
    </row>
    <row r="39" spans="1:16" ht="30" customHeight="1">
      <c r="A39" s="131"/>
      <c r="B39" s="37"/>
      <c r="C39" s="38"/>
      <c r="D39" s="38"/>
      <c r="E39" s="38"/>
      <c r="F39" s="39"/>
      <c r="G39" s="39"/>
      <c r="H39" s="39"/>
      <c r="I39" s="39"/>
      <c r="J39" s="39"/>
      <c r="K39" s="39"/>
    </row>
    <row r="40" spans="1:16" ht="30" customHeight="1">
      <c r="A40" s="131"/>
      <c r="B40" s="37"/>
      <c r="C40" s="38"/>
      <c r="D40" s="38"/>
      <c r="E40" s="38"/>
      <c r="F40" s="39"/>
      <c r="G40" s="39"/>
      <c r="H40" s="39"/>
      <c r="I40" s="39"/>
      <c r="J40" s="39"/>
      <c r="K40" s="39"/>
    </row>
    <row r="41" spans="1:16" ht="30" customHeight="1">
      <c r="A41" s="131"/>
      <c r="B41" s="37"/>
      <c r="C41" s="38"/>
      <c r="D41" s="38"/>
      <c r="E41" s="38"/>
      <c r="F41" s="39"/>
      <c r="G41" s="39"/>
      <c r="H41" s="39"/>
      <c r="I41" s="39"/>
      <c r="J41" s="39"/>
      <c r="K41" s="39"/>
    </row>
    <row r="42" spans="1:16" ht="30" customHeight="1">
      <c r="A42" s="131"/>
      <c r="B42" s="37"/>
      <c r="C42" s="38"/>
      <c r="D42" s="38"/>
      <c r="E42" s="38"/>
      <c r="F42" s="39"/>
      <c r="G42" s="39"/>
      <c r="H42" s="39"/>
      <c r="I42" s="39"/>
      <c r="J42" s="39"/>
      <c r="K42" s="39"/>
    </row>
    <row r="43" spans="1:16" ht="30" customHeight="1">
      <c r="A43" s="131"/>
      <c r="B43" s="37"/>
      <c r="C43" s="38"/>
      <c r="D43" s="38"/>
      <c r="E43" s="38"/>
      <c r="F43" s="39"/>
      <c r="G43" s="39"/>
      <c r="H43" s="39"/>
      <c r="I43" s="39"/>
      <c r="J43" s="39"/>
      <c r="K43" s="39"/>
    </row>
    <row r="44" spans="1:16" ht="30" customHeight="1">
      <c r="A44" s="131"/>
      <c r="B44" s="37"/>
      <c r="C44" s="38"/>
      <c r="D44" s="38"/>
      <c r="E44" s="38"/>
      <c r="F44" s="39"/>
      <c r="G44" s="39"/>
      <c r="H44" s="39"/>
      <c r="I44" s="39"/>
      <c r="J44" s="39"/>
      <c r="K44" s="39"/>
    </row>
    <row r="45" spans="1:16" ht="30" customHeight="1">
      <c r="A45" s="131"/>
      <c r="B45" s="37"/>
      <c r="C45" s="38"/>
      <c r="D45" s="38"/>
      <c r="E45" s="38"/>
      <c r="F45" s="39"/>
      <c r="G45" s="39"/>
      <c r="H45" s="39"/>
      <c r="I45" s="39"/>
      <c r="J45" s="39"/>
      <c r="K45" s="39"/>
    </row>
    <row r="46" spans="1:16" ht="30" customHeight="1">
      <c r="B46" s="1814"/>
      <c r="C46" s="1814"/>
      <c r="D46" s="1814"/>
      <c r="E46" s="1814"/>
      <c r="F46" s="1814"/>
      <c r="G46" s="1814"/>
      <c r="H46" s="1814"/>
      <c r="I46" s="138"/>
      <c r="J46" s="138"/>
      <c r="K46" s="138"/>
    </row>
    <row r="47" spans="1:16" ht="19.899999999999999" customHeight="1"/>
    <row r="48" spans="1:16" s="26" customFormat="1" ht="25.5" customHeight="1">
      <c r="A48" s="196"/>
      <c r="B48" s="61" t="s">
        <v>223</v>
      </c>
      <c r="C48" s="196"/>
      <c r="D48" s="196"/>
      <c r="E48" s="196"/>
      <c r="F48" s="60"/>
      <c r="G48" s="60"/>
      <c r="H48" s="60"/>
    </row>
    <row r="49" spans="1:8" s="134" customFormat="1" ht="25.5" customHeight="1">
      <c r="A49" s="131"/>
      <c r="B49" s="197" t="s">
        <v>224</v>
      </c>
      <c r="C49" s="131"/>
      <c r="D49" s="131"/>
      <c r="E49" s="131"/>
      <c r="F49" s="198"/>
      <c r="G49" s="198"/>
      <c r="H49" s="198"/>
    </row>
    <row r="50" spans="1:8" s="134" customFormat="1" ht="25.5" customHeight="1">
      <c r="A50" s="131"/>
      <c r="B50" s="136" t="s">
        <v>225</v>
      </c>
      <c r="C50" s="131"/>
      <c r="D50" s="131"/>
      <c r="E50" s="131"/>
      <c r="F50" s="198"/>
      <c r="G50" s="198"/>
      <c r="H50" s="198"/>
    </row>
    <row r="51" spans="1:8" s="134" customFormat="1" ht="25.5" customHeight="1">
      <c r="A51" s="131"/>
      <c r="B51" s="136" t="s">
        <v>226</v>
      </c>
      <c r="C51" s="131"/>
      <c r="D51" s="131"/>
      <c r="E51" s="131"/>
      <c r="F51" s="198"/>
      <c r="G51" s="198"/>
      <c r="H51" s="198"/>
    </row>
    <row r="52" spans="1:8" s="134" customFormat="1" ht="25.5" customHeight="1">
      <c r="A52" s="131"/>
      <c r="B52" s="136" t="s">
        <v>227</v>
      </c>
      <c r="C52" s="131"/>
      <c r="D52" s="131"/>
      <c r="E52" s="131"/>
      <c r="F52" s="198"/>
      <c r="G52" s="198"/>
      <c r="H52" s="198"/>
    </row>
    <row r="53" spans="1:8" s="134" customFormat="1" ht="25.5" customHeight="1">
      <c r="A53" s="131"/>
      <c r="B53" s="136" t="s">
        <v>228</v>
      </c>
      <c r="C53" s="131"/>
      <c r="D53" s="131"/>
      <c r="E53" s="131"/>
      <c r="F53" s="198"/>
      <c r="G53" s="198"/>
      <c r="H53" s="198"/>
    </row>
    <row r="54" spans="1:8" s="134" customFormat="1" ht="25.5" customHeight="1">
      <c r="A54" s="137"/>
      <c r="B54" s="134" t="s">
        <v>229</v>
      </c>
    </row>
    <row r="55" spans="1:8" s="134" customFormat="1" ht="25.5" customHeight="1">
      <c r="A55" s="137"/>
      <c r="B55" s="134" t="s">
        <v>230</v>
      </c>
      <c r="C55" s="137"/>
      <c r="D55" s="137"/>
      <c r="E55" s="137"/>
      <c r="F55" s="199"/>
      <c r="G55" s="199"/>
      <c r="H55" s="199"/>
    </row>
    <row r="56" spans="1:8" s="134" customFormat="1" ht="25.5" customHeight="1">
      <c r="A56" s="137"/>
      <c r="B56" s="134" t="s">
        <v>231</v>
      </c>
      <c r="C56" s="137"/>
      <c r="D56" s="137"/>
      <c r="E56" s="137"/>
      <c r="F56" s="199"/>
      <c r="G56" s="199"/>
      <c r="H56" s="199"/>
    </row>
    <row r="57" spans="1:8" s="134" customFormat="1" ht="25.5" customHeight="1">
      <c r="A57" s="137"/>
      <c r="B57" s="134" t="s">
        <v>232</v>
      </c>
      <c r="C57" s="137"/>
      <c r="D57" s="137"/>
      <c r="E57" s="137"/>
      <c r="F57" s="199"/>
      <c r="G57" s="199"/>
      <c r="H57" s="199"/>
    </row>
    <row r="58" spans="1:8" s="134" customFormat="1" ht="25.5" customHeight="1">
      <c r="A58" s="137"/>
      <c r="B58" s="134" t="s">
        <v>233</v>
      </c>
      <c r="C58" s="137"/>
      <c r="D58" s="137"/>
      <c r="E58" s="137"/>
      <c r="F58" s="199"/>
      <c r="G58" s="199"/>
      <c r="H58" s="199"/>
    </row>
    <row r="59" spans="1:8" s="134" customFormat="1" ht="25.5" customHeight="1">
      <c r="A59" s="137"/>
      <c r="B59" s="134" t="s">
        <v>234</v>
      </c>
      <c r="C59" s="137"/>
      <c r="D59" s="137"/>
      <c r="E59" s="137"/>
      <c r="F59" s="199"/>
      <c r="G59" s="199"/>
      <c r="H59" s="199"/>
    </row>
    <row r="60" spans="1:8" s="134" customFormat="1" ht="25.5" customHeight="1">
      <c r="A60" s="137"/>
      <c r="B60" s="134" t="s">
        <v>235</v>
      </c>
      <c r="C60" s="137"/>
      <c r="D60" s="137"/>
      <c r="E60" s="137"/>
      <c r="F60" s="199"/>
      <c r="G60" s="199"/>
      <c r="H60" s="199"/>
    </row>
    <row r="61" spans="1:8" s="134" customFormat="1" ht="25.5" customHeight="1">
      <c r="B61" s="134" t="s">
        <v>236</v>
      </c>
    </row>
    <row r="62" spans="1:8" s="134" customFormat="1" ht="25.5" customHeight="1">
      <c r="B62" s="134" t="s">
        <v>237</v>
      </c>
    </row>
    <row r="63" spans="1:8" s="134" customFormat="1" ht="25.5" customHeight="1">
      <c r="B63" s="134" t="s">
        <v>238</v>
      </c>
    </row>
    <row r="64" spans="1:8" s="134" customFormat="1" ht="25.5" customHeight="1">
      <c r="B64" s="134" t="s">
        <v>239</v>
      </c>
    </row>
    <row r="65" spans="1:8" s="134" customFormat="1" ht="25.5" customHeight="1">
      <c r="B65" s="134" t="s">
        <v>240</v>
      </c>
    </row>
    <row r="66" spans="1:8" s="134" customFormat="1" ht="25.5" customHeight="1">
      <c r="B66" s="134" t="s">
        <v>241</v>
      </c>
    </row>
    <row r="67" spans="1:8" s="134" customFormat="1" ht="25.5" customHeight="1">
      <c r="B67" s="134" t="s">
        <v>242</v>
      </c>
    </row>
    <row r="68" spans="1:8" s="134" customFormat="1" ht="25.5" customHeight="1">
      <c r="B68" s="134" t="s">
        <v>243</v>
      </c>
    </row>
    <row r="69" spans="1:8" s="134" customFormat="1" ht="25.5" customHeight="1">
      <c r="B69" s="134" t="s">
        <v>244</v>
      </c>
    </row>
    <row r="70" spans="1:8" s="134" customFormat="1" ht="25.5" customHeight="1">
      <c r="B70" s="134" t="s">
        <v>245</v>
      </c>
    </row>
    <row r="71" spans="1:8" s="134" customFormat="1" ht="25.5" customHeight="1">
      <c r="B71" s="134" t="s">
        <v>246</v>
      </c>
    </row>
    <row r="72" spans="1:8" s="134" customFormat="1" ht="25.5" customHeight="1">
      <c r="A72" s="137"/>
      <c r="B72" s="134" t="s">
        <v>247</v>
      </c>
      <c r="C72" s="137"/>
      <c r="D72" s="137"/>
      <c r="E72" s="137"/>
      <c r="F72" s="199"/>
      <c r="G72" s="199"/>
      <c r="H72" s="199"/>
    </row>
    <row r="73" spans="1:8" s="134" customFormat="1" ht="25.5" customHeight="1">
      <c r="B73" s="134" t="s">
        <v>248</v>
      </c>
    </row>
    <row r="74" spans="1:8" s="134" customFormat="1" ht="25.5" customHeight="1">
      <c r="B74" s="134" t="s">
        <v>249</v>
      </c>
    </row>
    <row r="75" spans="1:8" s="134" customFormat="1" ht="25.5" customHeight="1">
      <c r="B75" s="134" t="s">
        <v>250</v>
      </c>
    </row>
    <row r="76" spans="1:8" s="134" customFormat="1" ht="25.5" customHeight="1">
      <c r="B76" s="134" t="s">
        <v>251</v>
      </c>
    </row>
    <row r="77" spans="1:8" s="134" customFormat="1" ht="25.5" customHeight="1">
      <c r="B77" s="134" t="s">
        <v>252</v>
      </c>
    </row>
    <row r="78" spans="1:8" s="134" customFormat="1" ht="25.5" customHeight="1">
      <c r="B78" s="134" t="s">
        <v>253</v>
      </c>
    </row>
    <row r="79" spans="1:8" s="134" customFormat="1" ht="25.5" customHeight="1">
      <c r="B79" s="134" t="s">
        <v>254</v>
      </c>
    </row>
    <row r="80" spans="1:8" s="134" customFormat="1" ht="25.5" customHeight="1">
      <c r="B80" s="134" t="s">
        <v>255</v>
      </c>
    </row>
    <row r="81" spans="2:2" s="134" customFormat="1" ht="25.5" customHeight="1">
      <c r="B81" s="134" t="s">
        <v>256</v>
      </c>
    </row>
    <row r="82" spans="2:2" s="134" customFormat="1" ht="25.5" customHeight="1">
      <c r="B82" s="134" t="s">
        <v>257</v>
      </c>
    </row>
    <row r="83" spans="2:2" s="134" customFormat="1" ht="25.5" customHeight="1">
      <c r="B83" s="134" t="s">
        <v>258</v>
      </c>
    </row>
    <row r="84" spans="2:2" s="134" customFormat="1" ht="25.5" customHeight="1"/>
    <row r="85" spans="2:2" s="134" customFormat="1" ht="25.5" customHeight="1"/>
    <row r="86" spans="2:2" s="134" customFormat="1" ht="25.5" customHeight="1">
      <c r="B86" s="134" t="s">
        <v>259</v>
      </c>
    </row>
    <row r="87" spans="2:2" s="134" customFormat="1" ht="25.5" customHeight="1">
      <c r="B87" s="134" t="s">
        <v>260</v>
      </c>
    </row>
    <row r="88" spans="2:2" s="134" customFormat="1" ht="25.5" customHeight="1">
      <c r="B88" s="134" t="s">
        <v>261</v>
      </c>
    </row>
    <row r="89" spans="2:2" s="134" customFormat="1" ht="25.5" customHeight="1">
      <c r="B89" s="134" t="s">
        <v>262</v>
      </c>
    </row>
    <row r="90" spans="2:2" s="134" customFormat="1" ht="25.5" customHeight="1">
      <c r="B90" s="134" t="s">
        <v>263</v>
      </c>
    </row>
    <row r="91" spans="2:2" s="134" customFormat="1" ht="25.5" customHeight="1">
      <c r="B91" s="134" t="s">
        <v>264</v>
      </c>
    </row>
    <row r="92" spans="2:2" s="134" customFormat="1" ht="25.5" customHeight="1">
      <c r="B92" s="134" t="s">
        <v>265</v>
      </c>
    </row>
    <row r="93" spans="2:2" s="134" customFormat="1" ht="25.5" customHeight="1">
      <c r="B93" s="134" t="s">
        <v>266</v>
      </c>
    </row>
    <row r="94" spans="2:2" s="134" customFormat="1" ht="25.5" customHeight="1">
      <c r="B94" s="134" t="s">
        <v>267</v>
      </c>
    </row>
    <row r="95" spans="2:2" s="134" customFormat="1" ht="25.5" customHeight="1">
      <c r="B95" s="134" t="s">
        <v>268</v>
      </c>
    </row>
    <row r="96" spans="2:2" s="134" customFormat="1" ht="25.5" customHeight="1">
      <c r="B96" s="134" t="s">
        <v>269</v>
      </c>
    </row>
    <row r="97" spans="1:11" ht="19.899999999999999" customHeight="1"/>
    <row r="98" spans="1:11" ht="19.899999999999999" customHeight="1"/>
    <row r="99" spans="1:11" ht="19.899999999999999" customHeight="1"/>
    <row r="100" spans="1:11" ht="19.899999999999999" customHeight="1">
      <c r="A100" s="134"/>
      <c r="B100" s="13"/>
      <c r="C100" s="13"/>
      <c r="D100" s="13"/>
      <c r="E100" s="13"/>
      <c r="F100" s="13"/>
      <c r="G100" s="13"/>
      <c r="H100" s="13"/>
      <c r="I100" s="13"/>
      <c r="J100" s="13"/>
      <c r="K100" s="13"/>
    </row>
    <row r="101" spans="1:11" ht="19.899999999999999" customHeight="1">
      <c r="A101" s="134"/>
      <c r="B101" s="13"/>
      <c r="C101" s="13"/>
      <c r="D101" s="13"/>
      <c r="E101" s="13"/>
      <c r="F101" s="13"/>
      <c r="G101" s="13"/>
      <c r="H101" s="13"/>
      <c r="I101" s="13"/>
      <c r="J101" s="13"/>
      <c r="K101" s="13"/>
    </row>
    <row r="102" spans="1:11" ht="19.899999999999999" customHeight="1">
      <c r="A102" s="134"/>
      <c r="B102" s="13"/>
      <c r="C102" s="13"/>
      <c r="D102" s="13"/>
      <c r="E102" s="13"/>
      <c r="F102" s="13"/>
      <c r="G102" s="13"/>
      <c r="H102" s="13"/>
      <c r="I102" s="13"/>
      <c r="J102" s="13"/>
      <c r="K102" s="13"/>
    </row>
    <row r="103" spans="1:11" ht="19.899999999999999" customHeight="1">
      <c r="A103" s="134"/>
      <c r="B103" s="13"/>
      <c r="C103" s="13"/>
      <c r="D103" s="13"/>
      <c r="E103" s="13"/>
      <c r="F103" s="13"/>
      <c r="G103" s="13"/>
      <c r="H103" s="13"/>
      <c r="I103" s="13"/>
      <c r="J103" s="13"/>
      <c r="K103" s="13"/>
    </row>
    <row r="104" spans="1:11" ht="19.899999999999999" customHeight="1">
      <c r="A104" s="134"/>
      <c r="B104" s="13"/>
      <c r="C104" s="13"/>
      <c r="D104" s="13"/>
      <c r="E104" s="13"/>
      <c r="F104" s="13"/>
      <c r="G104" s="13"/>
      <c r="H104" s="13"/>
      <c r="I104" s="13"/>
      <c r="J104" s="13"/>
      <c r="K104" s="13"/>
    </row>
    <row r="105" spans="1:11" ht="19.899999999999999" customHeight="1">
      <c r="A105" s="134"/>
      <c r="B105" s="13"/>
      <c r="C105" s="13"/>
      <c r="D105" s="13"/>
      <c r="E105" s="13"/>
      <c r="F105" s="13"/>
      <c r="G105" s="13"/>
      <c r="H105" s="13"/>
      <c r="I105" s="13"/>
      <c r="J105" s="13"/>
      <c r="K105" s="13"/>
    </row>
    <row r="106" spans="1:11" ht="19.899999999999999" customHeight="1">
      <c r="A106" s="134"/>
      <c r="B106" s="13"/>
      <c r="C106" s="13"/>
      <c r="D106" s="13"/>
      <c r="E106" s="13"/>
      <c r="F106" s="13"/>
      <c r="G106" s="13"/>
      <c r="H106" s="13"/>
      <c r="I106" s="13"/>
      <c r="J106" s="13"/>
      <c r="K106" s="13"/>
    </row>
    <row r="107" spans="1:11" ht="19.899999999999999" customHeight="1">
      <c r="A107" s="134"/>
      <c r="B107" s="13"/>
      <c r="C107" s="13"/>
      <c r="D107" s="13"/>
      <c r="E107" s="13"/>
      <c r="F107" s="13"/>
      <c r="G107" s="13"/>
      <c r="H107" s="13"/>
      <c r="I107" s="13"/>
      <c r="J107" s="13"/>
      <c r="K107" s="13"/>
    </row>
    <row r="108" spans="1:11" ht="19.899999999999999" customHeight="1">
      <c r="A108" s="134"/>
      <c r="B108" s="13"/>
      <c r="C108" s="13"/>
      <c r="D108" s="13"/>
      <c r="E108" s="13"/>
      <c r="F108" s="13"/>
      <c r="G108" s="13"/>
      <c r="H108" s="13"/>
      <c r="I108" s="13"/>
      <c r="J108" s="13"/>
      <c r="K108" s="13"/>
    </row>
    <row r="109" spans="1:11" ht="19.899999999999999" customHeight="1">
      <c r="A109" s="134"/>
      <c r="B109" s="13"/>
      <c r="C109" s="13"/>
      <c r="D109" s="13"/>
      <c r="E109" s="13"/>
      <c r="F109" s="13"/>
      <c r="G109" s="13"/>
      <c r="H109" s="13"/>
      <c r="I109" s="13"/>
      <c r="J109" s="13"/>
      <c r="K109" s="13"/>
    </row>
    <row r="110" spans="1:11">
      <c r="A110" s="134"/>
      <c r="B110" s="13"/>
      <c r="C110" s="13"/>
      <c r="D110" s="13"/>
      <c r="E110" s="13"/>
      <c r="F110" s="13"/>
      <c r="G110" s="13"/>
      <c r="H110" s="13"/>
      <c r="I110" s="13"/>
      <c r="J110" s="13"/>
      <c r="K110" s="13"/>
    </row>
    <row r="111" spans="1:11">
      <c r="A111" s="134"/>
      <c r="B111" s="13"/>
      <c r="C111" s="13"/>
      <c r="D111" s="13"/>
      <c r="E111" s="13"/>
      <c r="F111" s="13"/>
      <c r="G111" s="13"/>
      <c r="H111" s="13"/>
      <c r="I111" s="13"/>
      <c r="J111" s="13"/>
      <c r="K111" s="13"/>
    </row>
    <row r="112" spans="1:11">
      <c r="A112" s="134"/>
      <c r="B112" s="13"/>
      <c r="C112" s="13"/>
      <c r="D112" s="13"/>
      <c r="E112" s="13"/>
      <c r="F112" s="13"/>
      <c r="G112" s="13"/>
      <c r="H112" s="13"/>
      <c r="I112" s="13"/>
      <c r="J112" s="13"/>
      <c r="K112" s="13"/>
    </row>
    <row r="113" spans="1:11">
      <c r="A113" s="134"/>
      <c r="B113" s="13"/>
      <c r="C113" s="13"/>
      <c r="D113" s="13"/>
      <c r="E113" s="13"/>
      <c r="F113" s="13"/>
      <c r="G113" s="13"/>
      <c r="H113" s="13"/>
      <c r="I113" s="13"/>
      <c r="J113" s="13"/>
      <c r="K113" s="13"/>
    </row>
    <row r="114" spans="1:11">
      <c r="A114" s="134"/>
      <c r="B114" s="13"/>
      <c r="C114" s="13"/>
      <c r="D114" s="13"/>
      <c r="E114" s="13"/>
      <c r="F114" s="13"/>
      <c r="G114" s="13"/>
      <c r="H114" s="13"/>
      <c r="I114" s="13"/>
      <c r="J114" s="13"/>
      <c r="K114" s="13"/>
    </row>
    <row r="115" spans="1:11">
      <c r="A115" s="134"/>
      <c r="B115" s="13"/>
      <c r="C115" s="13"/>
      <c r="D115" s="13"/>
      <c r="E115" s="13"/>
      <c r="F115" s="13"/>
      <c r="G115" s="13"/>
      <c r="H115" s="13"/>
      <c r="I115" s="13"/>
      <c r="J115" s="13"/>
      <c r="K115" s="13"/>
    </row>
    <row r="116" spans="1:11">
      <c r="A116" s="134"/>
      <c r="B116" s="13"/>
      <c r="C116" s="13"/>
      <c r="D116" s="13"/>
      <c r="E116" s="13"/>
      <c r="F116" s="13"/>
      <c r="G116" s="13"/>
      <c r="H116" s="13"/>
      <c r="I116" s="13"/>
      <c r="J116" s="13"/>
      <c r="K116" s="13"/>
    </row>
    <row r="117" spans="1:11">
      <c r="A117" s="134"/>
      <c r="B117" s="13"/>
      <c r="C117" s="13"/>
      <c r="D117" s="13"/>
      <c r="E117" s="13"/>
      <c r="F117" s="13"/>
      <c r="G117" s="13"/>
      <c r="H117" s="13"/>
      <c r="I117" s="13"/>
      <c r="J117" s="13"/>
      <c r="K117" s="13"/>
    </row>
    <row r="118" spans="1:11">
      <c r="A118" s="134"/>
      <c r="B118" s="13"/>
      <c r="C118" s="13"/>
      <c r="D118" s="13"/>
      <c r="E118" s="13"/>
      <c r="F118" s="13"/>
      <c r="G118" s="13"/>
      <c r="H118" s="13"/>
      <c r="I118" s="13"/>
      <c r="J118" s="13"/>
      <c r="K118" s="13"/>
    </row>
    <row r="119" spans="1:11">
      <c r="A119" s="134"/>
      <c r="B119" s="13"/>
      <c r="C119" s="13"/>
      <c r="D119" s="13"/>
      <c r="E119" s="13"/>
      <c r="F119" s="13"/>
      <c r="G119" s="13"/>
      <c r="H119" s="13"/>
      <c r="I119" s="13"/>
      <c r="J119" s="13"/>
      <c r="K119" s="13"/>
    </row>
    <row r="120" spans="1:11">
      <c r="A120" s="134"/>
      <c r="B120" s="13"/>
      <c r="C120" s="13"/>
      <c r="D120" s="13"/>
      <c r="E120" s="13"/>
      <c r="F120" s="13"/>
      <c r="G120" s="13"/>
      <c r="H120" s="13"/>
      <c r="I120" s="13"/>
      <c r="J120" s="13"/>
      <c r="K120" s="13"/>
    </row>
    <row r="121" spans="1:11">
      <c r="A121" s="134"/>
      <c r="B121" s="13"/>
      <c r="C121" s="13"/>
      <c r="D121" s="13"/>
      <c r="E121" s="13"/>
      <c r="F121" s="13"/>
      <c r="G121" s="13"/>
      <c r="H121" s="13"/>
      <c r="I121" s="13"/>
      <c r="J121" s="13"/>
      <c r="K121" s="13"/>
    </row>
    <row r="122" spans="1:11">
      <c r="A122" s="134"/>
      <c r="B122" s="13"/>
      <c r="C122" s="13"/>
      <c r="D122" s="13"/>
      <c r="E122" s="13"/>
      <c r="F122" s="13"/>
      <c r="G122" s="13"/>
      <c r="H122" s="13"/>
      <c r="I122" s="13"/>
      <c r="J122" s="13"/>
      <c r="K122" s="13"/>
    </row>
    <row r="123" spans="1:11">
      <c r="A123" s="134"/>
      <c r="B123" s="13"/>
      <c r="C123" s="13"/>
      <c r="D123" s="13"/>
      <c r="E123" s="13"/>
      <c r="F123" s="13"/>
      <c r="G123" s="13"/>
      <c r="H123" s="13"/>
      <c r="I123" s="13"/>
      <c r="J123" s="13"/>
      <c r="K123" s="13"/>
    </row>
    <row r="124" spans="1:11">
      <c r="A124" s="134"/>
      <c r="B124" s="13"/>
      <c r="C124" s="13"/>
      <c r="D124" s="13"/>
      <c r="E124" s="13"/>
      <c r="F124" s="13"/>
      <c r="G124" s="13"/>
      <c r="H124" s="13"/>
      <c r="I124" s="13"/>
      <c r="J124" s="13"/>
      <c r="K124" s="13"/>
    </row>
    <row r="125" spans="1:11">
      <c r="A125" s="134"/>
      <c r="B125" s="13"/>
      <c r="C125" s="13"/>
      <c r="D125" s="13"/>
      <c r="E125" s="13"/>
      <c r="F125" s="13"/>
      <c r="G125" s="13"/>
      <c r="H125" s="13"/>
      <c r="I125" s="13"/>
      <c r="J125" s="13"/>
      <c r="K125" s="13"/>
    </row>
    <row r="126" spans="1:11">
      <c r="A126" s="134"/>
      <c r="B126" s="13"/>
      <c r="C126" s="13"/>
      <c r="D126" s="13"/>
      <c r="E126" s="13"/>
      <c r="F126" s="13"/>
      <c r="G126" s="13"/>
      <c r="H126" s="13"/>
      <c r="I126" s="13"/>
      <c r="J126" s="13"/>
      <c r="K126" s="13"/>
    </row>
    <row r="127" spans="1:11">
      <c r="A127" s="134"/>
      <c r="B127" s="13"/>
      <c r="C127" s="13"/>
      <c r="D127" s="13"/>
      <c r="E127" s="13"/>
      <c r="F127" s="13"/>
      <c r="G127" s="13"/>
      <c r="H127" s="13"/>
      <c r="I127" s="13"/>
      <c r="J127" s="13"/>
      <c r="K127" s="13"/>
    </row>
    <row r="128" spans="1:11">
      <c r="A128" s="134"/>
      <c r="B128" s="13"/>
      <c r="C128" s="13"/>
      <c r="D128" s="13"/>
      <c r="E128" s="13"/>
      <c r="F128" s="13"/>
      <c r="G128" s="13"/>
      <c r="H128" s="13"/>
      <c r="I128" s="13"/>
      <c r="J128" s="13"/>
      <c r="K128" s="13"/>
    </row>
    <row r="129" spans="1:11">
      <c r="A129" s="134"/>
      <c r="B129" s="13"/>
      <c r="C129" s="13"/>
      <c r="D129" s="13"/>
      <c r="E129" s="13"/>
      <c r="F129" s="13"/>
      <c r="G129" s="13"/>
      <c r="H129" s="13"/>
      <c r="I129" s="13"/>
      <c r="J129" s="13"/>
      <c r="K129" s="13"/>
    </row>
    <row r="130" spans="1:11">
      <c r="A130" s="134"/>
      <c r="B130" s="13"/>
      <c r="C130" s="13"/>
      <c r="D130" s="13"/>
      <c r="E130" s="13"/>
      <c r="F130" s="13"/>
      <c r="G130" s="13"/>
      <c r="H130" s="13"/>
      <c r="I130" s="13"/>
      <c r="J130" s="13"/>
      <c r="K130" s="13"/>
    </row>
    <row r="131" spans="1:11">
      <c r="A131" s="134"/>
      <c r="B131" s="13"/>
      <c r="C131" s="13"/>
      <c r="D131" s="13"/>
      <c r="E131" s="13"/>
      <c r="F131" s="13"/>
      <c r="G131" s="13"/>
      <c r="H131" s="13"/>
      <c r="I131" s="13"/>
      <c r="J131" s="13"/>
      <c r="K131" s="13"/>
    </row>
    <row r="132" spans="1:11">
      <c r="A132" s="134"/>
      <c r="B132" s="13"/>
      <c r="C132" s="13"/>
      <c r="D132" s="13"/>
      <c r="E132" s="13"/>
      <c r="F132" s="13"/>
      <c r="G132" s="13"/>
      <c r="H132" s="13"/>
      <c r="I132" s="13"/>
      <c r="J132" s="13"/>
      <c r="K132" s="13"/>
    </row>
    <row r="133" spans="1:11">
      <c r="A133" s="134"/>
      <c r="B133" s="13"/>
      <c r="C133" s="13"/>
      <c r="D133" s="13"/>
      <c r="E133" s="13"/>
      <c r="F133" s="13"/>
      <c r="G133" s="13"/>
      <c r="H133" s="13"/>
      <c r="I133" s="13"/>
      <c r="J133" s="13"/>
      <c r="K133" s="13"/>
    </row>
    <row r="134" spans="1:11">
      <c r="A134" s="134"/>
      <c r="B134" s="13"/>
      <c r="C134" s="13"/>
      <c r="D134" s="13"/>
      <c r="E134" s="13"/>
      <c r="F134" s="13"/>
      <c r="G134" s="13"/>
      <c r="H134" s="13"/>
      <c r="I134" s="13"/>
      <c r="J134" s="13"/>
      <c r="K134" s="13"/>
    </row>
    <row r="135" spans="1:11">
      <c r="A135" s="134"/>
      <c r="B135" s="13"/>
      <c r="C135" s="13"/>
      <c r="D135" s="13"/>
      <c r="E135" s="13"/>
      <c r="F135" s="13"/>
      <c r="G135" s="13"/>
      <c r="H135" s="13"/>
      <c r="I135" s="13"/>
      <c r="J135" s="13"/>
      <c r="K135" s="13"/>
    </row>
    <row r="136" spans="1:11">
      <c r="A136" s="134"/>
      <c r="B136" s="13"/>
      <c r="C136" s="13"/>
      <c r="D136" s="13"/>
      <c r="E136" s="13"/>
      <c r="F136" s="13"/>
      <c r="G136" s="13"/>
      <c r="H136" s="13"/>
      <c r="I136" s="13"/>
      <c r="J136" s="13"/>
      <c r="K136" s="13"/>
    </row>
    <row r="137" spans="1:11">
      <c r="A137" s="134"/>
      <c r="B137" s="13"/>
      <c r="C137" s="13"/>
      <c r="D137" s="13"/>
      <c r="E137" s="13"/>
      <c r="F137" s="13"/>
      <c r="G137" s="13"/>
      <c r="H137" s="13"/>
      <c r="I137" s="13"/>
      <c r="J137" s="13"/>
      <c r="K137" s="13"/>
    </row>
    <row r="138" spans="1:11">
      <c r="A138" s="134"/>
      <c r="B138" s="13"/>
      <c r="C138" s="13"/>
      <c r="D138" s="13"/>
      <c r="E138" s="13"/>
      <c r="F138" s="13"/>
      <c r="G138" s="13"/>
      <c r="H138" s="13"/>
      <c r="I138" s="13"/>
      <c r="J138" s="13"/>
      <c r="K138" s="13"/>
    </row>
    <row r="139" spans="1:11">
      <c r="A139" s="134"/>
      <c r="B139" s="13"/>
      <c r="C139" s="13"/>
      <c r="D139" s="13"/>
      <c r="E139" s="13"/>
      <c r="F139" s="13"/>
      <c r="G139" s="13"/>
      <c r="H139" s="13"/>
      <c r="I139" s="13"/>
      <c r="J139" s="13"/>
      <c r="K139" s="13"/>
    </row>
    <row r="140" spans="1:11">
      <c r="A140" s="134"/>
      <c r="B140" s="13"/>
      <c r="C140" s="13"/>
      <c r="D140" s="13"/>
      <c r="E140" s="13"/>
      <c r="F140" s="13"/>
      <c r="G140" s="13"/>
      <c r="H140" s="13"/>
      <c r="I140" s="13"/>
      <c r="J140" s="13"/>
      <c r="K140" s="13"/>
    </row>
    <row r="141" spans="1:11">
      <c r="A141" s="134"/>
      <c r="B141" s="13"/>
      <c r="C141" s="13"/>
      <c r="D141" s="13"/>
      <c r="E141" s="13"/>
      <c r="F141" s="13"/>
      <c r="G141" s="13"/>
      <c r="H141" s="13"/>
      <c r="I141" s="13"/>
      <c r="J141" s="13"/>
      <c r="K141" s="13"/>
    </row>
    <row r="142" spans="1:11">
      <c r="A142" s="134"/>
      <c r="B142" s="13"/>
      <c r="C142" s="13"/>
      <c r="D142" s="13"/>
      <c r="E142" s="13"/>
      <c r="F142" s="13"/>
      <c r="G142" s="13"/>
      <c r="H142" s="13"/>
      <c r="I142" s="13"/>
      <c r="J142" s="13"/>
      <c r="K142" s="13"/>
    </row>
    <row r="143" spans="1:11">
      <c r="A143" s="134"/>
      <c r="B143" s="13"/>
      <c r="C143" s="13"/>
      <c r="D143" s="13"/>
      <c r="E143" s="13"/>
      <c r="F143" s="13"/>
      <c r="G143" s="13"/>
      <c r="H143" s="13"/>
      <c r="I143" s="13"/>
      <c r="J143" s="13"/>
      <c r="K143" s="13"/>
    </row>
    <row r="144" spans="1:11">
      <c r="A144" s="134"/>
      <c r="B144" s="13"/>
      <c r="C144" s="13"/>
      <c r="D144" s="13"/>
      <c r="E144" s="13"/>
      <c r="F144" s="13"/>
      <c r="G144" s="13"/>
      <c r="H144" s="13"/>
      <c r="I144" s="13"/>
      <c r="J144" s="13"/>
      <c r="K144" s="13"/>
    </row>
    <row r="145" spans="1:11">
      <c r="A145" s="134"/>
      <c r="B145" s="13"/>
      <c r="C145" s="13"/>
      <c r="D145" s="13"/>
      <c r="E145" s="13"/>
      <c r="F145" s="13"/>
      <c r="G145" s="13"/>
      <c r="H145" s="13"/>
      <c r="I145" s="13"/>
      <c r="J145" s="13"/>
      <c r="K145" s="13"/>
    </row>
    <row r="146" spans="1:11">
      <c r="A146" s="134"/>
      <c r="B146" s="13"/>
      <c r="C146" s="13"/>
      <c r="D146" s="13"/>
      <c r="E146" s="13"/>
      <c r="F146" s="13"/>
      <c r="G146" s="13"/>
      <c r="H146" s="13"/>
      <c r="I146" s="13"/>
      <c r="J146" s="13"/>
      <c r="K146" s="13"/>
    </row>
    <row r="147" spans="1:11">
      <c r="A147" s="134"/>
      <c r="B147" s="13"/>
      <c r="C147" s="13"/>
      <c r="D147" s="13"/>
      <c r="E147" s="13"/>
      <c r="F147" s="13"/>
      <c r="G147" s="13"/>
      <c r="H147" s="13"/>
      <c r="I147" s="13"/>
      <c r="J147" s="13"/>
      <c r="K147" s="13"/>
    </row>
    <row r="148" spans="1:11">
      <c r="A148" s="134"/>
      <c r="B148" s="13"/>
      <c r="C148" s="13"/>
      <c r="D148" s="13"/>
      <c r="E148" s="13"/>
      <c r="F148" s="13"/>
      <c r="G148" s="13"/>
      <c r="H148" s="13"/>
      <c r="I148" s="13"/>
      <c r="J148" s="13"/>
      <c r="K148" s="13"/>
    </row>
    <row r="149" spans="1:11">
      <c r="A149" s="134"/>
      <c r="B149" s="13"/>
      <c r="C149" s="13"/>
      <c r="D149" s="13"/>
      <c r="E149" s="13"/>
      <c r="F149" s="13"/>
      <c r="G149" s="13"/>
      <c r="H149" s="13"/>
      <c r="I149" s="13"/>
      <c r="J149" s="13"/>
      <c r="K149" s="13"/>
    </row>
    <row r="150" spans="1:11">
      <c r="A150" s="134"/>
      <c r="B150" s="13"/>
      <c r="C150" s="13"/>
      <c r="D150" s="13"/>
      <c r="E150" s="13"/>
      <c r="F150" s="13"/>
      <c r="G150" s="13"/>
      <c r="H150" s="13"/>
      <c r="I150" s="13"/>
      <c r="J150" s="13"/>
      <c r="K150" s="13"/>
    </row>
    <row r="151" spans="1:11">
      <c r="A151" s="134"/>
      <c r="B151" s="13"/>
      <c r="C151" s="13"/>
      <c r="D151" s="13"/>
      <c r="E151" s="13"/>
      <c r="F151" s="13"/>
      <c r="G151" s="13"/>
      <c r="H151" s="13"/>
      <c r="I151" s="13"/>
      <c r="J151" s="13"/>
      <c r="K151" s="13"/>
    </row>
    <row r="152" spans="1:11">
      <c r="A152" s="134"/>
      <c r="B152" s="13"/>
      <c r="C152" s="13"/>
      <c r="D152" s="13"/>
      <c r="E152" s="13"/>
      <c r="F152" s="13"/>
      <c r="G152" s="13"/>
      <c r="H152" s="13"/>
      <c r="I152" s="13"/>
      <c r="J152" s="13"/>
      <c r="K152" s="13"/>
    </row>
    <row r="153" spans="1:11">
      <c r="A153" s="134"/>
      <c r="B153" s="13"/>
      <c r="C153" s="13"/>
      <c r="D153" s="13"/>
      <c r="E153" s="13"/>
      <c r="F153" s="13"/>
      <c r="G153" s="13"/>
      <c r="H153" s="13"/>
      <c r="I153" s="13"/>
      <c r="J153" s="13"/>
      <c r="K153" s="13"/>
    </row>
    <row r="154" spans="1:11">
      <c r="A154" s="134"/>
      <c r="B154" s="13"/>
      <c r="C154" s="13"/>
      <c r="D154" s="13"/>
      <c r="E154" s="13"/>
      <c r="F154" s="13"/>
      <c r="G154" s="13"/>
      <c r="H154" s="13"/>
      <c r="I154" s="13"/>
      <c r="J154" s="13"/>
      <c r="K154" s="13"/>
    </row>
    <row r="155" spans="1:11">
      <c r="A155" s="134"/>
      <c r="B155" s="13"/>
      <c r="C155" s="13"/>
      <c r="D155" s="13"/>
      <c r="E155" s="13"/>
      <c r="F155" s="13"/>
      <c r="G155" s="13"/>
      <c r="H155" s="13"/>
      <c r="I155" s="13"/>
      <c r="J155" s="13"/>
      <c r="K155" s="13"/>
    </row>
    <row r="156" spans="1:11">
      <c r="A156" s="134"/>
      <c r="B156" s="13"/>
      <c r="C156" s="13"/>
      <c r="D156" s="13"/>
      <c r="E156" s="13"/>
      <c r="F156" s="13"/>
      <c r="G156" s="13"/>
      <c r="H156" s="13"/>
      <c r="I156" s="13"/>
      <c r="J156" s="13"/>
      <c r="K156" s="13"/>
    </row>
    <row r="157" spans="1:11">
      <c r="A157" s="134"/>
      <c r="B157" s="13"/>
      <c r="C157" s="13"/>
      <c r="D157" s="13"/>
      <c r="E157" s="13"/>
      <c r="F157" s="13"/>
      <c r="G157" s="13"/>
      <c r="H157" s="13"/>
      <c r="I157" s="13"/>
      <c r="J157" s="13"/>
      <c r="K157" s="13"/>
    </row>
    <row r="158" spans="1:11">
      <c r="A158" s="134"/>
      <c r="B158" s="13"/>
      <c r="C158" s="13"/>
      <c r="D158" s="13"/>
      <c r="E158" s="13"/>
      <c r="F158" s="13"/>
      <c r="G158" s="13"/>
      <c r="H158" s="13"/>
      <c r="I158" s="13"/>
      <c r="J158" s="13"/>
      <c r="K158" s="13"/>
    </row>
    <row r="159" spans="1:11">
      <c r="A159" s="134"/>
      <c r="B159" s="13"/>
      <c r="C159" s="13"/>
      <c r="D159" s="13"/>
      <c r="E159" s="13"/>
      <c r="F159" s="13"/>
      <c r="G159" s="13"/>
      <c r="H159" s="13"/>
      <c r="I159" s="13"/>
      <c r="J159" s="13"/>
      <c r="K159" s="13"/>
    </row>
    <row r="160" spans="1:11">
      <c r="A160" s="134"/>
      <c r="B160" s="13"/>
      <c r="C160" s="13"/>
      <c r="D160" s="13"/>
      <c r="E160" s="13"/>
      <c r="F160" s="13"/>
      <c r="G160" s="13"/>
      <c r="H160" s="13"/>
      <c r="I160" s="13"/>
      <c r="J160" s="13"/>
      <c r="K160" s="13"/>
    </row>
    <row r="161" spans="1:11">
      <c r="A161" s="134"/>
      <c r="B161" s="13"/>
      <c r="C161" s="13"/>
      <c r="D161" s="13"/>
      <c r="E161" s="13"/>
      <c r="F161" s="13"/>
      <c r="G161" s="13"/>
      <c r="H161" s="13"/>
      <c r="I161" s="13"/>
      <c r="J161" s="13"/>
      <c r="K161" s="13"/>
    </row>
    <row r="162" spans="1:11">
      <c r="A162" s="134"/>
      <c r="B162" s="13"/>
      <c r="C162" s="13"/>
      <c r="D162" s="13"/>
      <c r="E162" s="13"/>
      <c r="F162" s="13"/>
      <c r="G162" s="13"/>
      <c r="H162" s="13"/>
      <c r="I162" s="13"/>
      <c r="J162" s="13"/>
      <c r="K162" s="13"/>
    </row>
    <row r="163" spans="1:11">
      <c r="A163" s="134"/>
      <c r="B163" s="13"/>
      <c r="C163" s="13"/>
      <c r="D163" s="13"/>
      <c r="E163" s="13"/>
      <c r="F163" s="13"/>
      <c r="G163" s="13"/>
      <c r="H163" s="13"/>
      <c r="I163" s="13"/>
      <c r="J163" s="13"/>
      <c r="K163" s="13"/>
    </row>
    <row r="164" spans="1:11">
      <c r="A164" s="134"/>
      <c r="B164" s="13"/>
      <c r="C164" s="13"/>
      <c r="D164" s="13"/>
      <c r="E164" s="13"/>
      <c r="F164" s="13"/>
      <c r="G164" s="13"/>
      <c r="H164" s="13"/>
      <c r="I164" s="13"/>
      <c r="J164" s="13"/>
      <c r="K164" s="13"/>
    </row>
    <row r="165" spans="1:11">
      <c r="A165" s="134"/>
      <c r="B165" s="13"/>
      <c r="C165" s="13"/>
      <c r="D165" s="13"/>
      <c r="E165" s="13"/>
      <c r="F165" s="13"/>
      <c r="G165" s="13"/>
      <c r="H165" s="13"/>
      <c r="I165" s="13"/>
      <c r="J165" s="13"/>
      <c r="K165" s="13"/>
    </row>
    <row r="166" spans="1:11">
      <c r="A166" s="134"/>
      <c r="B166" s="13"/>
      <c r="C166" s="13"/>
      <c r="D166" s="13"/>
      <c r="E166" s="13"/>
      <c r="F166" s="13"/>
      <c r="G166" s="13"/>
      <c r="H166" s="13"/>
      <c r="I166" s="13"/>
      <c r="J166" s="13"/>
      <c r="K166" s="13"/>
    </row>
    <row r="167" spans="1:11">
      <c r="A167" s="134"/>
      <c r="B167" s="13"/>
      <c r="C167" s="13"/>
      <c r="D167" s="13"/>
      <c r="E167" s="13"/>
      <c r="F167" s="13"/>
      <c r="G167" s="13"/>
      <c r="H167" s="13"/>
      <c r="I167" s="13"/>
      <c r="J167" s="13"/>
      <c r="K167" s="13"/>
    </row>
    <row r="168" spans="1:11">
      <c r="A168" s="134"/>
      <c r="B168" s="13"/>
      <c r="C168" s="13"/>
      <c r="D168" s="13"/>
      <c r="E168" s="13"/>
      <c r="F168" s="13"/>
      <c r="G168" s="13"/>
      <c r="H168" s="13"/>
      <c r="I168" s="13"/>
      <c r="J168" s="13"/>
      <c r="K168" s="13"/>
    </row>
    <row r="169" spans="1:11">
      <c r="A169" s="134"/>
      <c r="B169" s="13"/>
      <c r="C169" s="13"/>
      <c r="D169" s="13"/>
      <c r="E169" s="13"/>
      <c r="F169" s="13"/>
      <c r="G169" s="13"/>
      <c r="H169" s="13"/>
      <c r="I169" s="13"/>
      <c r="J169" s="13"/>
      <c r="K169" s="13"/>
    </row>
    <row r="170" spans="1:11">
      <c r="A170" s="134"/>
      <c r="B170" s="13"/>
      <c r="C170" s="13"/>
      <c r="D170" s="13"/>
      <c r="E170" s="13"/>
      <c r="F170" s="13"/>
      <c r="G170" s="13"/>
      <c r="H170" s="13"/>
      <c r="I170" s="13"/>
      <c r="J170" s="13"/>
      <c r="K170" s="13"/>
    </row>
    <row r="171" spans="1:11">
      <c r="A171" s="134"/>
      <c r="B171" s="13"/>
      <c r="C171" s="13"/>
      <c r="D171" s="13"/>
      <c r="E171" s="13"/>
      <c r="F171" s="13"/>
      <c r="G171" s="13"/>
      <c r="H171" s="13"/>
      <c r="I171" s="13"/>
      <c r="J171" s="13"/>
      <c r="K171" s="13"/>
    </row>
    <row r="172" spans="1:11">
      <c r="A172" s="134"/>
      <c r="B172" s="13"/>
      <c r="C172" s="13"/>
      <c r="D172" s="13"/>
      <c r="E172" s="13"/>
      <c r="F172" s="13"/>
      <c r="G172" s="13"/>
      <c r="H172" s="13"/>
      <c r="I172" s="13"/>
      <c r="J172" s="13"/>
      <c r="K172" s="13"/>
    </row>
    <row r="173" spans="1:11">
      <c r="A173" s="134"/>
      <c r="B173" s="13"/>
      <c r="C173" s="13"/>
      <c r="D173" s="13"/>
      <c r="E173" s="13"/>
      <c r="F173" s="13"/>
      <c r="G173" s="13"/>
      <c r="H173" s="13"/>
      <c r="I173" s="13"/>
      <c r="J173" s="13"/>
      <c r="K173" s="13"/>
    </row>
    <row r="174" spans="1:11">
      <c r="A174" s="134"/>
      <c r="B174" s="13"/>
      <c r="C174" s="13"/>
      <c r="D174" s="13"/>
      <c r="E174" s="13"/>
      <c r="F174" s="13"/>
      <c r="G174" s="13"/>
      <c r="H174" s="13"/>
      <c r="I174" s="13"/>
      <c r="J174" s="13"/>
      <c r="K174" s="13"/>
    </row>
    <row r="175" spans="1:11">
      <c r="A175" s="134"/>
      <c r="B175" s="13"/>
      <c r="C175" s="13"/>
      <c r="D175" s="13"/>
      <c r="E175" s="13"/>
      <c r="F175" s="13"/>
      <c r="G175" s="13"/>
      <c r="H175" s="13"/>
      <c r="I175" s="13"/>
      <c r="J175" s="13"/>
      <c r="K175" s="13"/>
    </row>
    <row r="176" spans="1:11">
      <c r="A176" s="134"/>
      <c r="B176" s="13"/>
      <c r="C176" s="13"/>
      <c r="D176" s="13"/>
      <c r="E176" s="13"/>
      <c r="F176" s="13"/>
      <c r="G176" s="13"/>
      <c r="H176" s="13"/>
      <c r="I176" s="13"/>
      <c r="J176" s="13"/>
      <c r="K176" s="13"/>
    </row>
    <row r="177" spans="1:11">
      <c r="A177" s="134"/>
      <c r="B177" s="13"/>
      <c r="C177" s="13"/>
      <c r="D177" s="13"/>
      <c r="E177" s="13"/>
      <c r="F177" s="13"/>
      <c r="G177" s="13"/>
      <c r="H177" s="13"/>
      <c r="I177" s="13"/>
      <c r="J177" s="13"/>
      <c r="K177" s="13"/>
    </row>
    <row r="178" spans="1:11">
      <c r="A178" s="134"/>
      <c r="B178" s="13"/>
      <c r="C178" s="13"/>
      <c r="D178" s="13"/>
      <c r="E178" s="13"/>
      <c r="F178" s="13"/>
      <c r="G178" s="13"/>
      <c r="H178" s="13"/>
      <c r="I178" s="13"/>
      <c r="J178" s="13"/>
      <c r="K178" s="13"/>
    </row>
    <row r="179" spans="1:11">
      <c r="A179" s="134"/>
      <c r="B179" s="13"/>
      <c r="C179" s="13"/>
      <c r="D179" s="13"/>
      <c r="E179" s="13"/>
      <c r="F179" s="13"/>
      <c r="G179" s="13"/>
      <c r="H179" s="13"/>
      <c r="I179" s="13"/>
      <c r="J179" s="13"/>
      <c r="K179" s="13"/>
    </row>
    <row r="180" spans="1:11">
      <c r="A180" s="134"/>
      <c r="B180" s="13"/>
      <c r="C180" s="13"/>
      <c r="D180" s="13"/>
      <c r="E180" s="13"/>
      <c r="F180" s="13"/>
      <c r="G180" s="13"/>
      <c r="H180" s="13"/>
      <c r="I180" s="13"/>
      <c r="J180" s="13"/>
      <c r="K180" s="13"/>
    </row>
    <row r="181" spans="1:11">
      <c r="A181" s="134"/>
      <c r="B181" s="13"/>
      <c r="C181" s="13"/>
      <c r="D181" s="13"/>
      <c r="E181" s="13"/>
      <c r="F181" s="13"/>
      <c r="G181" s="13"/>
      <c r="H181" s="13"/>
      <c r="I181" s="13"/>
      <c r="J181" s="13"/>
      <c r="K181" s="13"/>
    </row>
    <row r="182" spans="1:11">
      <c r="A182" s="134"/>
      <c r="B182" s="13"/>
      <c r="C182" s="13"/>
      <c r="D182" s="13"/>
      <c r="E182" s="13"/>
      <c r="F182" s="13"/>
      <c r="G182" s="13"/>
      <c r="H182" s="13"/>
      <c r="I182" s="13"/>
      <c r="J182" s="13"/>
      <c r="K182" s="13"/>
    </row>
    <row r="183" spans="1:11">
      <c r="A183" s="134"/>
      <c r="B183" s="13"/>
      <c r="C183" s="13"/>
      <c r="D183" s="13"/>
      <c r="E183" s="13"/>
      <c r="F183" s="13"/>
      <c r="G183" s="13"/>
      <c r="H183" s="13"/>
      <c r="I183" s="13"/>
      <c r="J183" s="13"/>
      <c r="K183" s="13"/>
    </row>
    <row r="184" spans="1:11">
      <c r="A184" s="134"/>
      <c r="B184" s="13"/>
      <c r="C184" s="13"/>
      <c r="D184" s="13"/>
      <c r="E184" s="13"/>
      <c r="F184" s="13"/>
      <c r="G184" s="13"/>
      <c r="H184" s="13"/>
      <c r="I184" s="13"/>
      <c r="J184" s="13"/>
      <c r="K184" s="13"/>
    </row>
    <row r="185" spans="1:11">
      <c r="A185" s="134"/>
      <c r="B185" s="13"/>
      <c r="C185" s="13"/>
      <c r="D185" s="13"/>
      <c r="E185" s="13"/>
      <c r="F185" s="13"/>
      <c r="G185" s="13"/>
      <c r="H185" s="13"/>
      <c r="I185" s="13"/>
      <c r="J185" s="13"/>
      <c r="K185" s="13"/>
    </row>
    <row r="186" spans="1:11">
      <c r="A186" s="134"/>
      <c r="B186" s="13"/>
      <c r="C186" s="13"/>
      <c r="D186" s="13"/>
      <c r="E186" s="13"/>
      <c r="F186" s="13"/>
      <c r="G186" s="13"/>
      <c r="H186" s="13"/>
      <c r="I186" s="13"/>
      <c r="J186" s="13"/>
      <c r="K186" s="13"/>
    </row>
    <row r="187" spans="1:11">
      <c r="A187" s="134"/>
      <c r="B187" s="13"/>
      <c r="C187" s="13"/>
      <c r="D187" s="13"/>
      <c r="E187" s="13"/>
      <c r="F187" s="13"/>
      <c r="G187" s="13"/>
      <c r="H187" s="13"/>
      <c r="I187" s="13"/>
      <c r="J187" s="13"/>
      <c r="K187" s="13"/>
    </row>
    <row r="188" spans="1:11">
      <c r="A188" s="134"/>
      <c r="B188" s="13"/>
      <c r="C188" s="13"/>
      <c r="D188" s="13"/>
      <c r="E188" s="13"/>
      <c r="F188" s="13"/>
      <c r="G188" s="13"/>
      <c r="H188" s="13"/>
      <c r="I188" s="13"/>
      <c r="J188" s="13"/>
      <c r="K188" s="13"/>
    </row>
    <row r="189" spans="1:11">
      <c r="A189" s="134"/>
      <c r="B189" s="13"/>
      <c r="C189" s="13"/>
      <c r="D189" s="13"/>
      <c r="E189" s="13"/>
      <c r="F189" s="13"/>
      <c r="G189" s="13"/>
      <c r="H189" s="13"/>
      <c r="I189" s="13"/>
      <c r="J189" s="13"/>
      <c r="K189" s="13"/>
    </row>
    <row r="190" spans="1:11">
      <c r="A190" s="134"/>
      <c r="B190" s="13"/>
      <c r="C190" s="13"/>
      <c r="D190" s="13"/>
      <c r="E190" s="13"/>
      <c r="F190" s="13"/>
      <c r="G190" s="13"/>
      <c r="H190" s="13"/>
      <c r="I190" s="13"/>
      <c r="J190" s="13"/>
      <c r="K190" s="13"/>
    </row>
    <row r="191" spans="1:11">
      <c r="A191" s="134"/>
      <c r="B191" s="13"/>
      <c r="C191" s="13"/>
      <c r="D191" s="13"/>
      <c r="E191" s="13"/>
      <c r="F191" s="13"/>
      <c r="G191" s="13"/>
      <c r="H191" s="13"/>
      <c r="I191" s="13"/>
      <c r="J191" s="13"/>
      <c r="K191" s="13"/>
    </row>
    <row r="192" spans="1:11">
      <c r="A192" s="134"/>
      <c r="B192" s="13"/>
      <c r="C192" s="13"/>
      <c r="D192" s="13"/>
      <c r="E192" s="13"/>
      <c r="F192" s="13"/>
      <c r="G192" s="13"/>
      <c r="H192" s="13"/>
      <c r="I192" s="13"/>
      <c r="J192" s="13"/>
      <c r="K192" s="13"/>
    </row>
    <row r="193" spans="1:11">
      <c r="A193" s="134"/>
      <c r="B193" s="13"/>
      <c r="C193" s="13"/>
      <c r="D193" s="13"/>
      <c r="E193" s="13"/>
      <c r="F193" s="13"/>
      <c r="G193" s="13"/>
      <c r="H193" s="13"/>
      <c r="I193" s="13"/>
      <c r="J193" s="13"/>
      <c r="K193" s="13"/>
    </row>
    <row r="194" spans="1:11">
      <c r="A194" s="134"/>
      <c r="B194" s="13"/>
      <c r="C194" s="13"/>
      <c r="D194" s="13"/>
      <c r="E194" s="13"/>
      <c r="F194" s="13"/>
      <c r="G194" s="13"/>
      <c r="H194" s="13"/>
      <c r="I194" s="13"/>
      <c r="J194" s="13"/>
      <c r="K194" s="13"/>
    </row>
    <row r="195" spans="1:11">
      <c r="A195" s="134"/>
      <c r="B195" s="13"/>
      <c r="C195" s="13"/>
      <c r="D195" s="13"/>
      <c r="E195" s="13"/>
      <c r="F195" s="13"/>
      <c r="G195" s="13"/>
      <c r="H195" s="13"/>
      <c r="I195" s="13"/>
      <c r="J195" s="13"/>
      <c r="K195" s="13"/>
    </row>
    <row r="196" spans="1:11">
      <c r="A196" s="134"/>
      <c r="B196" s="13"/>
      <c r="C196" s="13"/>
      <c r="D196" s="13"/>
      <c r="E196" s="13"/>
      <c r="F196" s="13"/>
      <c r="G196" s="13"/>
      <c r="H196" s="13"/>
      <c r="I196" s="13"/>
      <c r="J196" s="13"/>
      <c r="K196" s="13"/>
    </row>
    <row r="197" spans="1:11">
      <c r="A197" s="134"/>
      <c r="B197" s="13"/>
      <c r="C197" s="13"/>
      <c r="D197" s="13"/>
      <c r="E197" s="13"/>
      <c r="F197" s="13"/>
      <c r="G197" s="13"/>
      <c r="H197" s="13"/>
      <c r="I197" s="13"/>
      <c r="J197" s="13"/>
      <c r="K197" s="13"/>
    </row>
    <row r="198" spans="1:11">
      <c r="A198" s="134"/>
      <c r="B198" s="13"/>
      <c r="C198" s="13"/>
      <c r="D198" s="13"/>
      <c r="E198" s="13"/>
      <c r="F198" s="13"/>
      <c r="G198" s="13"/>
      <c r="H198" s="13"/>
      <c r="I198" s="13"/>
      <c r="J198" s="13"/>
      <c r="K198" s="13"/>
    </row>
    <row r="199" spans="1:11">
      <c r="A199" s="134"/>
      <c r="B199" s="13"/>
      <c r="C199" s="13"/>
      <c r="D199" s="13"/>
      <c r="E199" s="13"/>
      <c r="F199" s="13"/>
      <c r="G199" s="13"/>
      <c r="H199" s="13"/>
      <c r="I199" s="13"/>
      <c r="J199" s="13"/>
      <c r="K199" s="13"/>
    </row>
    <row r="200" spans="1:11">
      <c r="A200" s="134"/>
      <c r="B200" s="13"/>
      <c r="C200" s="13"/>
      <c r="D200" s="13"/>
      <c r="E200" s="13"/>
      <c r="F200" s="13"/>
      <c r="G200" s="13"/>
      <c r="H200" s="13"/>
      <c r="I200" s="13"/>
      <c r="J200" s="13"/>
      <c r="K200" s="13"/>
    </row>
    <row r="201" spans="1:11">
      <c r="A201" s="134"/>
      <c r="B201" s="13"/>
      <c r="C201" s="13"/>
      <c r="D201" s="13"/>
      <c r="E201" s="13"/>
      <c r="F201" s="13"/>
      <c r="G201" s="13"/>
      <c r="H201" s="13"/>
      <c r="I201" s="13"/>
      <c r="J201" s="13"/>
      <c r="K201" s="13"/>
    </row>
    <row r="202" spans="1:11">
      <c r="A202" s="134"/>
      <c r="B202" s="13"/>
      <c r="C202" s="13"/>
      <c r="D202" s="13"/>
      <c r="E202" s="13"/>
      <c r="F202" s="13"/>
      <c r="G202" s="13"/>
      <c r="H202" s="13"/>
      <c r="I202" s="13"/>
      <c r="J202" s="13"/>
      <c r="K202" s="13"/>
    </row>
    <row r="203" spans="1:11">
      <c r="A203" s="134"/>
      <c r="B203" s="13"/>
      <c r="C203" s="13"/>
      <c r="D203" s="13"/>
      <c r="E203" s="13"/>
      <c r="F203" s="13"/>
      <c r="G203" s="13"/>
      <c r="H203" s="13"/>
      <c r="I203" s="13"/>
      <c r="J203" s="13"/>
      <c r="K203" s="13"/>
    </row>
    <row r="204" spans="1:11">
      <c r="A204" s="134"/>
      <c r="B204" s="13"/>
      <c r="C204" s="13"/>
      <c r="D204" s="13"/>
      <c r="E204" s="13"/>
      <c r="F204" s="13"/>
      <c r="G204" s="13"/>
      <c r="H204" s="13"/>
      <c r="I204" s="13"/>
      <c r="J204" s="13"/>
      <c r="K204" s="13"/>
    </row>
    <row r="205" spans="1:11">
      <c r="A205" s="134"/>
      <c r="B205" s="13"/>
      <c r="C205" s="13"/>
      <c r="D205" s="13"/>
      <c r="E205" s="13"/>
      <c r="F205" s="13"/>
      <c r="G205" s="13"/>
      <c r="H205" s="13"/>
      <c r="I205" s="13"/>
      <c r="J205" s="13"/>
      <c r="K205" s="13"/>
    </row>
    <row r="206" spans="1:11">
      <c r="A206" s="134"/>
      <c r="B206" s="13"/>
      <c r="C206" s="13"/>
      <c r="D206" s="13"/>
      <c r="E206" s="13"/>
      <c r="F206" s="13"/>
      <c r="G206" s="13"/>
      <c r="H206" s="13"/>
      <c r="I206" s="13"/>
      <c r="J206" s="13"/>
      <c r="K206" s="13"/>
    </row>
    <row r="207" spans="1:11">
      <c r="A207" s="134"/>
      <c r="B207" s="13"/>
      <c r="C207" s="13"/>
      <c r="D207" s="13"/>
      <c r="E207" s="13"/>
      <c r="F207" s="13"/>
      <c r="G207" s="13"/>
      <c r="H207" s="13"/>
      <c r="I207" s="13"/>
      <c r="J207" s="13"/>
      <c r="K207" s="13"/>
    </row>
    <row r="208" spans="1:11">
      <c r="A208" s="134"/>
      <c r="B208" s="13"/>
      <c r="C208" s="13"/>
      <c r="D208" s="13"/>
      <c r="E208" s="13"/>
      <c r="F208" s="13"/>
      <c r="G208" s="13"/>
      <c r="H208" s="13"/>
      <c r="I208" s="13"/>
      <c r="J208" s="13"/>
      <c r="K208" s="13"/>
    </row>
    <row r="209" spans="1:11">
      <c r="A209" s="134"/>
      <c r="B209" s="13"/>
      <c r="C209" s="13"/>
      <c r="D209" s="13"/>
      <c r="E209" s="13"/>
      <c r="F209" s="13"/>
      <c r="G209" s="13"/>
      <c r="H209" s="13"/>
      <c r="I209" s="13"/>
      <c r="J209" s="13"/>
      <c r="K209" s="13"/>
    </row>
    <row r="210" spans="1:11">
      <c r="A210" s="134"/>
      <c r="B210" s="13"/>
      <c r="C210" s="13"/>
      <c r="D210" s="13"/>
      <c r="E210" s="13"/>
      <c r="F210" s="13"/>
      <c r="G210" s="13"/>
      <c r="H210" s="13"/>
      <c r="I210" s="13"/>
      <c r="J210" s="13"/>
      <c r="K210" s="13"/>
    </row>
    <row r="211" spans="1:11">
      <c r="A211" s="134"/>
      <c r="B211" s="13"/>
      <c r="C211" s="13"/>
      <c r="D211" s="13"/>
      <c r="E211" s="13"/>
      <c r="F211" s="13"/>
      <c r="G211" s="13"/>
      <c r="H211" s="13"/>
      <c r="I211" s="13"/>
      <c r="J211" s="13"/>
      <c r="K211" s="13"/>
    </row>
    <row r="212" spans="1:11">
      <c r="A212" s="134"/>
      <c r="B212" s="13"/>
      <c r="C212" s="13"/>
      <c r="D212" s="13"/>
      <c r="E212" s="13"/>
      <c r="F212" s="13"/>
      <c r="G212" s="13"/>
      <c r="H212" s="13"/>
      <c r="I212" s="13"/>
      <c r="J212" s="13"/>
      <c r="K212" s="13"/>
    </row>
    <row r="213" spans="1:11">
      <c r="A213" s="134"/>
      <c r="B213" s="13"/>
      <c r="C213" s="13"/>
      <c r="D213" s="13"/>
      <c r="E213" s="13"/>
      <c r="F213" s="13"/>
      <c r="G213" s="13"/>
      <c r="H213" s="13"/>
      <c r="I213" s="13"/>
      <c r="J213" s="13"/>
      <c r="K213" s="13"/>
    </row>
    <row r="214" spans="1:11">
      <c r="A214" s="134"/>
      <c r="B214" s="13"/>
      <c r="C214" s="13"/>
      <c r="D214" s="13"/>
      <c r="E214" s="13"/>
      <c r="F214" s="13"/>
      <c r="G214" s="13"/>
      <c r="H214" s="13"/>
      <c r="I214" s="13"/>
      <c r="J214" s="13"/>
      <c r="K214" s="13"/>
    </row>
    <row r="215" spans="1:11">
      <c r="A215" s="134"/>
      <c r="B215" s="13"/>
      <c r="C215" s="13"/>
      <c r="D215" s="13"/>
      <c r="E215" s="13"/>
      <c r="F215" s="13"/>
      <c r="G215" s="13"/>
      <c r="H215" s="13"/>
      <c r="I215" s="13"/>
      <c r="J215" s="13"/>
      <c r="K215" s="13"/>
    </row>
    <row r="216" spans="1:11">
      <c r="A216" s="134"/>
      <c r="B216" s="13"/>
      <c r="C216" s="13"/>
      <c r="D216" s="13"/>
      <c r="E216" s="13"/>
      <c r="F216" s="13"/>
      <c r="G216" s="13"/>
      <c r="H216" s="13"/>
      <c r="I216" s="13"/>
      <c r="J216" s="13"/>
      <c r="K216" s="13"/>
    </row>
    <row r="217" spans="1:11">
      <c r="A217" s="134"/>
      <c r="B217" s="13"/>
      <c r="C217" s="13"/>
      <c r="D217" s="13"/>
      <c r="E217" s="13"/>
      <c r="F217" s="13"/>
      <c r="G217" s="13"/>
      <c r="H217" s="13"/>
      <c r="I217" s="13"/>
      <c r="J217" s="13"/>
      <c r="K217" s="13"/>
    </row>
    <row r="218" spans="1:11">
      <c r="A218" s="134"/>
      <c r="B218" s="13"/>
      <c r="C218" s="13"/>
      <c r="D218" s="13"/>
      <c r="E218" s="13"/>
      <c r="F218" s="13"/>
      <c r="G218" s="13"/>
      <c r="H218" s="13"/>
      <c r="I218" s="13"/>
      <c r="J218" s="13"/>
      <c r="K218" s="13"/>
    </row>
    <row r="219" spans="1:11">
      <c r="A219" s="134"/>
      <c r="B219" s="13"/>
      <c r="C219" s="13"/>
      <c r="D219" s="13"/>
      <c r="E219" s="13"/>
      <c r="F219" s="13"/>
      <c r="G219" s="13"/>
      <c r="H219" s="13"/>
      <c r="I219" s="13"/>
      <c r="J219" s="13"/>
      <c r="K219" s="13"/>
    </row>
    <row r="220" spans="1:11">
      <c r="A220" s="134"/>
      <c r="B220" s="13"/>
      <c r="C220" s="13"/>
      <c r="D220" s="13"/>
      <c r="E220" s="13"/>
      <c r="F220" s="13"/>
      <c r="G220" s="13"/>
      <c r="H220" s="13"/>
      <c r="I220" s="13"/>
      <c r="J220" s="13"/>
      <c r="K220" s="13"/>
    </row>
    <row r="221" spans="1:11">
      <c r="A221" s="134"/>
      <c r="B221" s="13"/>
      <c r="C221" s="13"/>
      <c r="D221" s="13"/>
      <c r="E221" s="13"/>
      <c r="F221" s="13"/>
      <c r="G221" s="13"/>
      <c r="H221" s="13"/>
      <c r="I221" s="13"/>
      <c r="J221" s="13"/>
      <c r="K221" s="13"/>
    </row>
    <row r="222" spans="1:11">
      <c r="A222" s="134"/>
      <c r="B222" s="13"/>
      <c r="C222" s="13"/>
      <c r="D222" s="13"/>
      <c r="E222" s="13"/>
      <c r="F222" s="13"/>
      <c r="G222" s="13"/>
      <c r="H222" s="13"/>
      <c r="I222" s="13"/>
      <c r="J222" s="13"/>
      <c r="K222" s="13"/>
    </row>
    <row r="223" spans="1:11">
      <c r="A223" s="134"/>
      <c r="B223" s="13"/>
      <c r="C223" s="13"/>
      <c r="D223" s="13"/>
      <c r="E223" s="13"/>
      <c r="F223" s="13"/>
      <c r="G223" s="13"/>
      <c r="H223" s="13"/>
      <c r="I223" s="13"/>
      <c r="J223" s="13"/>
      <c r="K223" s="13"/>
    </row>
    <row r="224" spans="1:11">
      <c r="A224" s="134"/>
      <c r="B224" s="13"/>
      <c r="C224" s="13"/>
      <c r="D224" s="13"/>
      <c r="E224" s="13"/>
      <c r="F224" s="13"/>
      <c r="G224" s="13"/>
      <c r="H224" s="13"/>
      <c r="I224" s="13"/>
      <c r="J224" s="13"/>
      <c r="K224" s="13"/>
    </row>
    <row r="225" spans="1:11">
      <c r="A225" s="134"/>
      <c r="B225" s="13"/>
      <c r="C225" s="13"/>
      <c r="D225" s="13"/>
      <c r="E225" s="13"/>
      <c r="F225" s="13"/>
      <c r="G225" s="13"/>
      <c r="H225" s="13"/>
      <c r="I225" s="13"/>
      <c r="J225" s="13"/>
      <c r="K225" s="13"/>
    </row>
    <row r="226" spans="1:11">
      <c r="A226" s="134"/>
      <c r="B226" s="13"/>
      <c r="C226" s="13"/>
      <c r="D226" s="13"/>
      <c r="E226" s="13"/>
      <c r="F226" s="13"/>
      <c r="G226" s="13"/>
      <c r="H226" s="13"/>
      <c r="I226" s="13"/>
      <c r="J226" s="13"/>
      <c r="K226" s="13"/>
    </row>
    <row r="227" spans="1:11">
      <c r="A227" s="134"/>
      <c r="B227" s="13"/>
      <c r="C227" s="13"/>
      <c r="D227" s="13"/>
      <c r="E227" s="13"/>
      <c r="F227" s="13"/>
      <c r="G227" s="13"/>
      <c r="H227" s="13"/>
      <c r="I227" s="13"/>
      <c r="J227" s="13"/>
      <c r="K227" s="13"/>
    </row>
    <row r="228" spans="1:11">
      <c r="A228" s="134"/>
      <c r="B228" s="13"/>
      <c r="C228" s="13"/>
      <c r="D228" s="13"/>
      <c r="E228" s="13"/>
      <c r="F228" s="13"/>
      <c r="G228" s="13"/>
      <c r="H228" s="13"/>
      <c r="I228" s="13"/>
      <c r="J228" s="13"/>
      <c r="K228" s="13"/>
    </row>
    <row r="229" spans="1:11">
      <c r="A229" s="134"/>
      <c r="B229" s="13"/>
      <c r="C229" s="13"/>
      <c r="D229" s="13"/>
      <c r="E229" s="13"/>
      <c r="F229" s="13"/>
      <c r="G229" s="13"/>
      <c r="H229" s="13"/>
      <c r="I229" s="13"/>
      <c r="J229" s="13"/>
      <c r="K229" s="13"/>
    </row>
    <row r="230" spans="1:11">
      <c r="A230" s="134"/>
      <c r="B230" s="13"/>
      <c r="C230" s="13"/>
      <c r="D230" s="13"/>
      <c r="E230" s="13"/>
      <c r="F230" s="13"/>
      <c r="G230" s="13"/>
      <c r="H230" s="13"/>
      <c r="I230" s="13"/>
      <c r="J230" s="13"/>
      <c r="K230" s="13"/>
    </row>
    <row r="231" spans="1:11">
      <c r="A231" s="134"/>
      <c r="B231" s="13"/>
      <c r="C231" s="13"/>
      <c r="D231" s="13"/>
      <c r="E231" s="13"/>
      <c r="F231" s="13"/>
      <c r="G231" s="13"/>
      <c r="H231" s="13"/>
      <c r="I231" s="13"/>
      <c r="J231" s="13"/>
      <c r="K231" s="13"/>
    </row>
    <row r="232" spans="1:11">
      <c r="A232" s="134"/>
      <c r="B232" s="13"/>
      <c r="C232" s="13"/>
      <c r="D232" s="13"/>
      <c r="E232" s="13"/>
      <c r="F232" s="13"/>
      <c r="G232" s="13"/>
      <c r="H232" s="13"/>
      <c r="I232" s="13"/>
      <c r="J232" s="13"/>
      <c r="K232" s="13"/>
    </row>
    <row r="233" spans="1:11">
      <c r="A233" s="134"/>
      <c r="B233" s="13"/>
      <c r="C233" s="13"/>
      <c r="D233" s="13"/>
      <c r="E233" s="13"/>
      <c r="F233" s="13"/>
      <c r="G233" s="13"/>
      <c r="H233" s="13"/>
      <c r="I233" s="13"/>
      <c r="J233" s="13"/>
      <c r="K233" s="13"/>
    </row>
    <row r="234" spans="1:11">
      <c r="A234" s="134"/>
      <c r="B234" s="13"/>
      <c r="C234" s="13"/>
      <c r="D234" s="13"/>
      <c r="E234" s="13"/>
      <c r="F234" s="13"/>
      <c r="G234" s="13"/>
      <c r="H234" s="13"/>
      <c r="I234" s="13"/>
      <c r="J234" s="13"/>
      <c r="K234" s="13"/>
    </row>
    <row r="235" spans="1:11">
      <c r="A235" s="134"/>
      <c r="B235" s="13"/>
      <c r="C235" s="13"/>
      <c r="D235" s="13"/>
      <c r="E235" s="13"/>
      <c r="F235" s="13"/>
      <c r="G235" s="13"/>
      <c r="H235" s="13"/>
      <c r="I235" s="13"/>
      <c r="J235" s="13"/>
      <c r="K235" s="13"/>
    </row>
    <row r="236" spans="1:11">
      <c r="A236" s="134"/>
      <c r="B236" s="13"/>
      <c r="C236" s="13"/>
      <c r="D236" s="13"/>
      <c r="E236" s="13"/>
      <c r="F236" s="13"/>
      <c r="G236" s="13"/>
      <c r="H236" s="13"/>
      <c r="I236" s="13"/>
      <c r="J236" s="13"/>
      <c r="K236" s="13"/>
    </row>
    <row r="237" spans="1:11">
      <c r="A237" s="134"/>
      <c r="B237" s="13"/>
      <c r="C237" s="13"/>
      <c r="D237" s="13"/>
      <c r="E237" s="13"/>
      <c r="F237" s="13"/>
      <c r="G237" s="13"/>
      <c r="H237" s="13"/>
      <c r="I237" s="13"/>
      <c r="J237" s="13"/>
      <c r="K237" s="13"/>
    </row>
    <row r="238" spans="1:11">
      <c r="A238" s="134"/>
      <c r="B238" s="13"/>
      <c r="C238" s="13"/>
      <c r="D238" s="13"/>
      <c r="E238" s="13"/>
      <c r="F238" s="13"/>
      <c r="G238" s="13"/>
      <c r="H238" s="13"/>
      <c r="I238" s="13"/>
      <c r="J238" s="13"/>
      <c r="K238" s="13"/>
    </row>
    <row r="239" spans="1:11">
      <c r="A239" s="134"/>
      <c r="B239" s="13"/>
      <c r="C239" s="13"/>
      <c r="D239" s="13"/>
      <c r="E239" s="13"/>
      <c r="F239" s="13"/>
      <c r="G239" s="13"/>
      <c r="H239" s="13"/>
      <c r="I239" s="13"/>
      <c r="J239" s="13"/>
      <c r="K239" s="13"/>
    </row>
    <row r="240" spans="1:11">
      <c r="A240" s="134"/>
      <c r="B240" s="13"/>
      <c r="C240" s="13"/>
      <c r="D240" s="13"/>
      <c r="E240" s="13"/>
      <c r="F240" s="13"/>
      <c r="G240" s="13"/>
      <c r="H240" s="13"/>
      <c r="I240" s="13"/>
      <c r="J240" s="13"/>
      <c r="K240" s="13"/>
    </row>
    <row r="241" spans="1:11">
      <c r="A241" s="134"/>
      <c r="B241" s="13"/>
      <c r="C241" s="13"/>
      <c r="D241" s="13"/>
      <c r="E241" s="13"/>
      <c r="F241" s="13"/>
      <c r="G241" s="13"/>
      <c r="H241" s="13"/>
      <c r="I241" s="13"/>
      <c r="J241" s="13"/>
      <c r="K241" s="13"/>
    </row>
    <row r="242" spans="1:11">
      <c r="A242" s="134"/>
      <c r="B242" s="13"/>
      <c r="C242" s="13"/>
      <c r="D242" s="13"/>
      <c r="E242" s="13"/>
      <c r="F242" s="13"/>
      <c r="G242" s="13"/>
      <c r="H242" s="13"/>
      <c r="I242" s="13"/>
      <c r="J242" s="13"/>
      <c r="K242" s="13"/>
    </row>
    <row r="243" spans="1:11">
      <c r="A243" s="134"/>
      <c r="B243" s="13"/>
      <c r="C243" s="13"/>
      <c r="D243" s="13"/>
      <c r="E243" s="13"/>
      <c r="F243" s="13"/>
      <c r="G243" s="13"/>
      <c r="H243" s="13"/>
      <c r="I243" s="13"/>
      <c r="J243" s="13"/>
      <c r="K243" s="13"/>
    </row>
    <row r="244" spans="1:11">
      <c r="A244" s="134"/>
      <c r="B244" s="13"/>
      <c r="C244" s="13"/>
      <c r="D244" s="13"/>
      <c r="E244" s="13"/>
      <c r="F244" s="13"/>
      <c r="G244" s="13"/>
      <c r="H244" s="13"/>
      <c r="I244" s="13"/>
      <c r="J244" s="13"/>
      <c r="K244" s="13"/>
    </row>
    <row r="245" spans="1:11">
      <c r="A245" s="134"/>
      <c r="B245" s="13"/>
      <c r="C245" s="13"/>
      <c r="D245" s="13"/>
      <c r="E245" s="13"/>
      <c r="F245" s="13"/>
      <c r="G245" s="13"/>
      <c r="H245" s="13"/>
      <c r="I245" s="13"/>
      <c r="J245" s="13"/>
      <c r="K245" s="13"/>
    </row>
    <row r="246" spans="1:11">
      <c r="A246" s="134"/>
      <c r="B246" s="13"/>
      <c r="C246" s="13"/>
      <c r="D246" s="13"/>
      <c r="E246" s="13"/>
      <c r="F246" s="13"/>
      <c r="G246" s="13"/>
      <c r="H246" s="13"/>
      <c r="I246" s="13"/>
      <c r="J246" s="13"/>
      <c r="K246" s="13"/>
    </row>
    <row r="247" spans="1:11">
      <c r="A247" s="134"/>
      <c r="B247" s="13"/>
      <c r="C247" s="13"/>
      <c r="D247" s="13"/>
      <c r="E247" s="13"/>
      <c r="F247" s="13"/>
      <c r="G247" s="13"/>
      <c r="H247" s="13"/>
      <c r="I247" s="13"/>
      <c r="J247" s="13"/>
      <c r="K247" s="13"/>
    </row>
    <row r="248" spans="1:11">
      <c r="A248" s="134"/>
      <c r="B248" s="13"/>
      <c r="C248" s="13"/>
      <c r="D248" s="13"/>
      <c r="E248" s="13"/>
      <c r="F248" s="13"/>
      <c r="G248" s="13"/>
      <c r="H248" s="13"/>
      <c r="I248" s="13"/>
      <c r="J248" s="13"/>
      <c r="K248" s="13"/>
    </row>
    <row r="249" spans="1:11">
      <c r="A249" s="134"/>
      <c r="B249" s="13"/>
      <c r="C249" s="13"/>
      <c r="D249" s="13"/>
      <c r="E249" s="13"/>
      <c r="F249" s="13"/>
      <c r="G249" s="13"/>
      <c r="H249" s="13"/>
      <c r="I249" s="13"/>
      <c r="J249" s="13"/>
      <c r="K249" s="13"/>
    </row>
    <row r="250" spans="1:11">
      <c r="A250" s="134"/>
      <c r="B250" s="13"/>
      <c r="C250" s="13"/>
      <c r="D250" s="13"/>
      <c r="E250" s="13"/>
      <c r="F250" s="13"/>
      <c r="G250" s="13"/>
      <c r="H250" s="13"/>
      <c r="I250" s="13"/>
      <c r="J250" s="13"/>
      <c r="K250" s="13"/>
    </row>
    <row r="251" spans="1:11">
      <c r="A251" s="134"/>
      <c r="B251" s="13"/>
      <c r="C251" s="13"/>
      <c r="D251" s="13"/>
      <c r="E251" s="13"/>
      <c r="F251" s="13"/>
      <c r="G251" s="13"/>
      <c r="H251" s="13"/>
      <c r="I251" s="13"/>
      <c r="J251" s="13"/>
      <c r="K251" s="13"/>
    </row>
    <row r="252" spans="1:11">
      <c r="A252" s="134"/>
      <c r="B252" s="13"/>
      <c r="C252" s="13"/>
      <c r="D252" s="13"/>
      <c r="E252" s="13"/>
      <c r="F252" s="13"/>
      <c r="G252" s="13"/>
      <c r="H252" s="13"/>
      <c r="I252" s="13"/>
      <c r="J252" s="13"/>
      <c r="K252" s="13"/>
    </row>
    <row r="253" spans="1:11">
      <c r="A253" s="134"/>
      <c r="B253" s="13"/>
      <c r="C253" s="13"/>
      <c r="D253" s="13"/>
      <c r="E253" s="13"/>
      <c r="F253" s="13"/>
      <c r="G253" s="13"/>
      <c r="H253" s="13"/>
      <c r="I253" s="13"/>
      <c r="J253" s="13"/>
      <c r="K253" s="13"/>
    </row>
    <row r="254" spans="1:11">
      <c r="A254" s="134"/>
      <c r="B254" s="13"/>
      <c r="C254" s="13"/>
      <c r="D254" s="13"/>
      <c r="E254" s="13"/>
      <c r="F254" s="13"/>
      <c r="G254" s="13"/>
      <c r="H254" s="13"/>
      <c r="I254" s="13"/>
      <c r="J254" s="13"/>
      <c r="K254" s="13"/>
    </row>
    <row r="255" spans="1:11">
      <c r="A255" s="134"/>
      <c r="B255" s="13"/>
      <c r="C255" s="13"/>
      <c r="D255" s="13"/>
      <c r="E255" s="13"/>
      <c r="F255" s="13"/>
      <c r="G255" s="13"/>
      <c r="H255" s="13"/>
      <c r="I255" s="13"/>
      <c r="J255" s="13"/>
      <c r="K255" s="13"/>
    </row>
    <row r="256" spans="1:11">
      <c r="A256" s="134"/>
      <c r="B256" s="13"/>
      <c r="C256" s="13"/>
      <c r="D256" s="13"/>
      <c r="E256" s="13"/>
      <c r="F256" s="13"/>
      <c r="G256" s="13"/>
      <c r="H256" s="13"/>
      <c r="I256" s="13"/>
      <c r="J256" s="13"/>
      <c r="K256" s="13"/>
    </row>
    <row r="257" spans="1:11">
      <c r="A257" s="134"/>
      <c r="B257" s="13"/>
      <c r="C257" s="13"/>
      <c r="D257" s="13"/>
      <c r="E257" s="13"/>
      <c r="F257" s="13"/>
      <c r="G257" s="13"/>
      <c r="H257" s="13"/>
      <c r="I257" s="13"/>
      <c r="J257" s="13"/>
      <c r="K257" s="13"/>
    </row>
    <row r="258" spans="1:11">
      <c r="A258" s="134"/>
      <c r="B258" s="13"/>
      <c r="C258" s="13"/>
      <c r="D258" s="13"/>
      <c r="E258" s="13"/>
      <c r="F258" s="13"/>
      <c r="G258" s="13"/>
      <c r="H258" s="13"/>
      <c r="I258" s="13"/>
      <c r="J258" s="13"/>
      <c r="K258" s="13"/>
    </row>
    <row r="259" spans="1:11">
      <c r="A259" s="134"/>
      <c r="B259" s="13"/>
      <c r="C259" s="13"/>
      <c r="D259" s="13"/>
      <c r="E259" s="13"/>
      <c r="F259" s="13"/>
      <c r="G259" s="13"/>
      <c r="H259" s="13"/>
      <c r="I259" s="13"/>
      <c r="J259" s="13"/>
      <c r="K259" s="13"/>
    </row>
    <row r="260" spans="1:11">
      <c r="A260" s="134"/>
      <c r="B260" s="13"/>
      <c r="C260" s="13"/>
      <c r="D260" s="13"/>
      <c r="E260" s="13"/>
      <c r="F260" s="13"/>
      <c r="G260" s="13"/>
      <c r="H260" s="13"/>
      <c r="I260" s="13"/>
      <c r="J260" s="13"/>
      <c r="K260" s="13"/>
    </row>
    <row r="261" spans="1:11">
      <c r="A261" s="134"/>
      <c r="B261" s="13"/>
      <c r="C261" s="13"/>
      <c r="D261" s="13"/>
      <c r="E261" s="13"/>
      <c r="F261" s="13"/>
      <c r="G261" s="13"/>
      <c r="H261" s="13"/>
      <c r="I261" s="13"/>
      <c r="J261" s="13"/>
      <c r="K261" s="13"/>
    </row>
    <row r="262" spans="1:11">
      <c r="A262" s="134"/>
      <c r="B262" s="13"/>
      <c r="C262" s="13"/>
      <c r="D262" s="13"/>
      <c r="E262" s="13"/>
      <c r="F262" s="13"/>
      <c r="G262" s="13"/>
      <c r="H262" s="13"/>
      <c r="I262" s="13"/>
      <c r="J262" s="13"/>
      <c r="K262" s="13"/>
    </row>
    <row r="263" spans="1:11">
      <c r="A263" s="134"/>
      <c r="B263" s="13"/>
      <c r="C263" s="13"/>
      <c r="D263" s="13"/>
      <c r="E263" s="13"/>
      <c r="F263" s="13"/>
      <c r="G263" s="13"/>
      <c r="H263" s="13"/>
      <c r="I263" s="13"/>
      <c r="J263" s="13"/>
      <c r="K263" s="13"/>
    </row>
    <row r="264" spans="1:11">
      <c r="A264" s="134"/>
      <c r="B264" s="13"/>
      <c r="C264" s="13"/>
      <c r="D264" s="13"/>
      <c r="E264" s="13"/>
      <c r="F264" s="13"/>
      <c r="G264" s="13"/>
      <c r="H264" s="13"/>
      <c r="I264" s="13"/>
      <c r="J264" s="13"/>
      <c r="K264" s="13"/>
    </row>
    <row r="265" spans="1:11">
      <c r="A265" s="134"/>
      <c r="B265" s="13"/>
      <c r="C265" s="13"/>
      <c r="D265" s="13"/>
      <c r="E265" s="13"/>
      <c r="F265" s="13"/>
      <c r="G265" s="13"/>
      <c r="H265" s="13"/>
      <c r="I265" s="13"/>
      <c r="J265" s="13"/>
      <c r="K265" s="13"/>
    </row>
    <row r="266" spans="1:11">
      <c r="A266" s="134"/>
      <c r="B266" s="13"/>
      <c r="C266" s="13"/>
      <c r="D266" s="13"/>
      <c r="E266" s="13"/>
      <c r="F266" s="13"/>
      <c r="G266" s="13"/>
      <c r="H266" s="13"/>
      <c r="I266" s="13"/>
      <c r="J266" s="13"/>
      <c r="K266" s="13"/>
    </row>
    <row r="267" spans="1:11">
      <c r="A267" s="134"/>
      <c r="B267" s="13"/>
      <c r="C267" s="13"/>
      <c r="D267" s="13"/>
      <c r="E267" s="13"/>
      <c r="F267" s="13"/>
      <c r="G267" s="13"/>
      <c r="H267" s="13"/>
      <c r="I267" s="13"/>
      <c r="J267" s="13"/>
      <c r="K267" s="13"/>
    </row>
    <row r="268" spans="1:11">
      <c r="A268" s="134"/>
      <c r="B268" s="13"/>
      <c r="C268" s="13"/>
      <c r="D268" s="13"/>
      <c r="E268" s="13"/>
      <c r="F268" s="13"/>
      <c r="G268" s="13"/>
      <c r="H268" s="13"/>
      <c r="I268" s="13"/>
      <c r="J268" s="13"/>
      <c r="K268" s="13"/>
    </row>
    <row r="269" spans="1:11">
      <c r="A269" s="134"/>
      <c r="B269" s="13"/>
      <c r="C269" s="13"/>
      <c r="D269" s="13"/>
      <c r="E269" s="13"/>
      <c r="F269" s="13"/>
      <c r="G269" s="13"/>
      <c r="H269" s="13"/>
      <c r="I269" s="13"/>
      <c r="J269" s="13"/>
      <c r="K269" s="13"/>
    </row>
    <row r="270" spans="1:11">
      <c r="A270" s="134"/>
      <c r="B270" s="13"/>
      <c r="C270" s="13"/>
      <c r="D270" s="13"/>
      <c r="E270" s="13"/>
      <c r="F270" s="13"/>
      <c r="G270" s="13"/>
      <c r="H270" s="13"/>
      <c r="I270" s="13"/>
      <c r="J270" s="13"/>
      <c r="K270" s="13"/>
    </row>
    <row r="271" spans="1:11">
      <c r="A271" s="134"/>
      <c r="B271" s="13"/>
      <c r="C271" s="13"/>
      <c r="D271" s="13"/>
      <c r="E271" s="13"/>
      <c r="F271" s="13"/>
      <c r="G271" s="13"/>
      <c r="H271" s="13"/>
      <c r="I271" s="13"/>
      <c r="J271" s="13"/>
      <c r="K271" s="13"/>
    </row>
    <row r="272" spans="1:11">
      <c r="A272" s="134"/>
      <c r="B272" s="13"/>
      <c r="C272" s="13"/>
      <c r="D272" s="13"/>
      <c r="E272" s="13"/>
      <c r="F272" s="13"/>
      <c r="G272" s="13"/>
      <c r="H272" s="13"/>
      <c r="I272" s="13"/>
      <c r="J272" s="13"/>
      <c r="K272" s="13"/>
    </row>
    <row r="273" spans="1:11">
      <c r="A273" s="134"/>
      <c r="B273" s="13"/>
      <c r="C273" s="13"/>
      <c r="D273" s="13"/>
      <c r="E273" s="13"/>
      <c r="F273" s="13"/>
      <c r="G273" s="13"/>
      <c r="H273" s="13"/>
      <c r="I273" s="13"/>
      <c r="J273" s="13"/>
      <c r="K273" s="13"/>
    </row>
    <row r="274" spans="1:11">
      <c r="A274" s="134"/>
      <c r="B274" s="13"/>
      <c r="C274" s="13"/>
      <c r="D274" s="13"/>
      <c r="E274" s="13"/>
      <c r="F274" s="13"/>
      <c r="G274" s="13"/>
      <c r="H274" s="13"/>
      <c r="I274" s="13"/>
      <c r="J274" s="13"/>
      <c r="K274" s="13"/>
    </row>
    <row r="275" spans="1:11">
      <c r="A275" s="134"/>
      <c r="B275" s="13"/>
      <c r="C275" s="13"/>
      <c r="D275" s="13"/>
      <c r="E275" s="13"/>
      <c r="F275" s="13"/>
      <c r="G275" s="13"/>
      <c r="H275" s="13"/>
      <c r="I275" s="13"/>
      <c r="J275" s="13"/>
      <c r="K275" s="13"/>
    </row>
    <row r="276" spans="1:11">
      <c r="A276" s="134"/>
      <c r="B276" s="13"/>
      <c r="C276" s="13"/>
      <c r="D276" s="13"/>
      <c r="E276" s="13"/>
      <c r="F276" s="13"/>
      <c r="G276" s="13"/>
      <c r="H276" s="13"/>
      <c r="I276" s="13"/>
      <c r="J276" s="13"/>
      <c r="K276" s="13"/>
    </row>
    <row r="277" spans="1:11">
      <c r="A277" s="134"/>
      <c r="B277" s="13"/>
      <c r="C277" s="13"/>
      <c r="D277" s="13"/>
      <c r="E277" s="13"/>
      <c r="F277" s="13"/>
      <c r="G277" s="13"/>
      <c r="H277" s="13"/>
      <c r="I277" s="13"/>
      <c r="J277" s="13"/>
      <c r="K277" s="13"/>
    </row>
    <row r="278" spans="1:11">
      <c r="A278" s="134"/>
      <c r="B278" s="13"/>
      <c r="C278" s="13"/>
      <c r="D278" s="13"/>
      <c r="E278" s="13"/>
      <c r="F278" s="13"/>
      <c r="G278" s="13"/>
      <c r="H278" s="13"/>
      <c r="I278" s="13"/>
      <c r="J278" s="13"/>
      <c r="K278" s="13"/>
    </row>
    <row r="279" spans="1:11">
      <c r="A279" s="134"/>
      <c r="B279" s="13"/>
      <c r="C279" s="13"/>
      <c r="D279" s="13"/>
      <c r="E279" s="13"/>
      <c r="F279" s="13"/>
      <c r="G279" s="13"/>
      <c r="H279" s="13"/>
      <c r="I279" s="13"/>
      <c r="J279" s="13"/>
      <c r="K279" s="13"/>
    </row>
    <row r="280" spans="1:11">
      <c r="A280" s="134"/>
      <c r="B280" s="13"/>
      <c r="C280" s="13"/>
      <c r="D280" s="13"/>
      <c r="E280" s="13"/>
      <c r="F280" s="13"/>
      <c r="G280" s="13"/>
      <c r="H280" s="13"/>
      <c r="I280" s="13"/>
      <c r="J280" s="13"/>
      <c r="K280" s="13"/>
    </row>
    <row r="281" spans="1:11">
      <c r="A281" s="134"/>
      <c r="B281" s="13"/>
      <c r="C281" s="13"/>
      <c r="D281" s="13"/>
      <c r="E281" s="13"/>
      <c r="F281" s="13"/>
      <c r="G281" s="13"/>
      <c r="H281" s="13"/>
      <c r="I281" s="13"/>
      <c r="J281" s="13"/>
      <c r="K281" s="13"/>
    </row>
    <row r="282" spans="1:11">
      <c r="A282" s="134"/>
      <c r="B282" s="13"/>
      <c r="C282" s="13"/>
      <c r="D282" s="13"/>
      <c r="E282" s="13"/>
      <c r="F282" s="13"/>
      <c r="G282" s="13"/>
      <c r="H282" s="13"/>
      <c r="I282" s="13"/>
      <c r="J282" s="13"/>
      <c r="K282" s="13"/>
    </row>
    <row r="283" spans="1:11">
      <c r="A283" s="134"/>
      <c r="B283" s="13"/>
      <c r="C283" s="13"/>
      <c r="D283" s="13"/>
      <c r="E283" s="13"/>
      <c r="F283" s="13"/>
      <c r="G283" s="13"/>
      <c r="H283" s="13"/>
      <c r="I283" s="13"/>
      <c r="J283" s="13"/>
      <c r="K283" s="13"/>
    </row>
    <row r="284" spans="1:11">
      <c r="A284" s="134"/>
      <c r="B284" s="13"/>
      <c r="C284" s="13"/>
      <c r="D284" s="13"/>
      <c r="E284" s="13"/>
      <c r="F284" s="13"/>
      <c r="G284" s="13"/>
      <c r="H284" s="13"/>
      <c r="I284" s="13"/>
      <c r="J284" s="13"/>
      <c r="K284" s="13"/>
    </row>
    <row r="285" spans="1:11">
      <c r="A285" s="134"/>
      <c r="B285" s="13"/>
      <c r="C285" s="13"/>
      <c r="D285" s="13"/>
      <c r="E285" s="13"/>
      <c r="F285" s="13"/>
      <c r="G285" s="13"/>
      <c r="H285" s="13"/>
      <c r="I285" s="13"/>
      <c r="J285" s="13"/>
      <c r="K285" s="13"/>
    </row>
    <row r="286" spans="1:11">
      <c r="A286" s="134"/>
      <c r="B286" s="13"/>
      <c r="C286" s="13"/>
      <c r="D286" s="13"/>
      <c r="E286" s="13"/>
      <c r="F286" s="13"/>
      <c r="G286" s="13"/>
      <c r="H286" s="13"/>
      <c r="I286" s="13"/>
      <c r="J286" s="13"/>
      <c r="K286" s="13"/>
    </row>
    <row r="287" spans="1:11">
      <c r="A287" s="134"/>
      <c r="B287" s="13"/>
      <c r="C287" s="13"/>
      <c r="D287" s="13"/>
      <c r="E287" s="13"/>
      <c r="F287" s="13"/>
      <c r="G287" s="13"/>
      <c r="H287" s="13"/>
      <c r="I287" s="13"/>
      <c r="J287" s="13"/>
      <c r="K287" s="13"/>
    </row>
    <row r="288" spans="1:11">
      <c r="A288" s="134"/>
      <c r="B288" s="13"/>
      <c r="C288" s="13"/>
      <c r="D288" s="13"/>
      <c r="E288" s="13"/>
      <c r="F288" s="13"/>
      <c r="G288" s="13"/>
      <c r="H288" s="13"/>
      <c r="I288" s="13"/>
      <c r="J288" s="13"/>
      <c r="K288" s="13"/>
    </row>
    <row r="289" spans="1:11">
      <c r="A289" s="134"/>
      <c r="B289" s="13"/>
      <c r="C289" s="13"/>
      <c r="D289" s="13"/>
      <c r="E289" s="13"/>
      <c r="F289" s="13"/>
      <c r="G289" s="13"/>
      <c r="H289" s="13"/>
      <c r="I289" s="13"/>
      <c r="J289" s="13"/>
      <c r="K289" s="13"/>
    </row>
    <row r="290" spans="1:11">
      <c r="A290" s="134"/>
      <c r="B290" s="13"/>
      <c r="C290" s="13"/>
      <c r="D290" s="13"/>
      <c r="E290" s="13"/>
      <c r="F290" s="13"/>
      <c r="G290" s="13"/>
      <c r="H290" s="13"/>
      <c r="I290" s="13"/>
      <c r="J290" s="13"/>
      <c r="K290" s="13"/>
    </row>
    <row r="291" spans="1:11">
      <c r="A291" s="134"/>
      <c r="B291" s="13"/>
      <c r="C291" s="13"/>
      <c r="D291" s="13"/>
      <c r="E291" s="13"/>
      <c r="F291" s="13"/>
      <c r="G291" s="13"/>
      <c r="H291" s="13"/>
      <c r="I291" s="13"/>
      <c r="J291" s="13"/>
      <c r="K291" s="13"/>
    </row>
    <row r="292" spans="1:11">
      <c r="A292" s="134"/>
      <c r="B292" s="13"/>
      <c r="C292" s="13"/>
      <c r="D292" s="13"/>
      <c r="E292" s="13"/>
      <c r="F292" s="13"/>
      <c r="G292" s="13"/>
      <c r="H292" s="13"/>
      <c r="I292" s="13"/>
      <c r="J292" s="13"/>
      <c r="K292" s="13"/>
    </row>
    <row r="293" spans="1:11">
      <c r="A293" s="134"/>
      <c r="B293" s="13"/>
      <c r="C293" s="13"/>
      <c r="D293" s="13"/>
      <c r="E293" s="13"/>
      <c r="F293" s="13"/>
      <c r="G293" s="13"/>
      <c r="H293" s="13"/>
      <c r="I293" s="13"/>
      <c r="J293" s="13"/>
      <c r="K293" s="13"/>
    </row>
    <row r="294" spans="1:11">
      <c r="A294" s="134"/>
      <c r="B294" s="13"/>
      <c r="C294" s="13"/>
      <c r="D294" s="13"/>
      <c r="E294" s="13"/>
      <c r="F294" s="13"/>
      <c r="G294" s="13"/>
      <c r="H294" s="13"/>
      <c r="I294" s="13"/>
      <c r="J294" s="13"/>
      <c r="K294" s="13"/>
    </row>
    <row r="295" spans="1:11">
      <c r="A295" s="134"/>
      <c r="B295" s="13"/>
      <c r="C295" s="13"/>
      <c r="D295" s="13"/>
      <c r="E295" s="13"/>
      <c r="F295" s="13"/>
      <c r="G295" s="13"/>
      <c r="H295" s="13"/>
      <c r="I295" s="13"/>
      <c r="J295" s="13"/>
      <c r="K295" s="13"/>
    </row>
    <row r="296" spans="1:11">
      <c r="A296" s="134"/>
      <c r="B296" s="13"/>
      <c r="C296" s="13"/>
      <c r="D296" s="13"/>
      <c r="E296" s="13"/>
      <c r="F296" s="13"/>
      <c r="G296" s="13"/>
      <c r="H296" s="13"/>
      <c r="I296" s="13"/>
      <c r="J296" s="13"/>
      <c r="K296" s="13"/>
    </row>
    <row r="297" spans="1:11">
      <c r="A297" s="134"/>
      <c r="B297" s="13"/>
      <c r="C297" s="13"/>
      <c r="D297" s="13"/>
      <c r="E297" s="13"/>
      <c r="F297" s="13"/>
      <c r="G297" s="13"/>
      <c r="H297" s="13"/>
      <c r="I297" s="13"/>
      <c r="J297" s="13"/>
      <c r="K297" s="13"/>
    </row>
    <row r="298" spans="1:11">
      <c r="A298" s="134"/>
      <c r="B298" s="13"/>
      <c r="C298" s="13"/>
      <c r="D298" s="13"/>
      <c r="E298" s="13"/>
      <c r="F298" s="13"/>
      <c r="G298" s="13"/>
      <c r="H298" s="13"/>
      <c r="I298" s="13"/>
      <c r="J298" s="13"/>
      <c r="K298" s="13"/>
    </row>
    <row r="299" spans="1:11">
      <c r="A299" s="134"/>
      <c r="B299" s="13"/>
      <c r="C299" s="13"/>
      <c r="D299" s="13"/>
      <c r="E299" s="13"/>
      <c r="F299" s="13"/>
      <c r="G299" s="13"/>
      <c r="H299" s="13"/>
      <c r="I299" s="13"/>
      <c r="J299" s="13"/>
      <c r="K299" s="13"/>
    </row>
    <row r="300" spans="1:11">
      <c r="A300" s="134"/>
      <c r="B300" s="13"/>
      <c r="C300" s="13"/>
      <c r="D300" s="13"/>
      <c r="E300" s="13"/>
      <c r="F300" s="13"/>
      <c r="G300" s="13"/>
      <c r="H300" s="13"/>
      <c r="I300" s="13"/>
      <c r="J300" s="13"/>
      <c r="K300" s="13"/>
    </row>
    <row r="301" spans="1:11">
      <c r="A301" s="134"/>
      <c r="B301" s="13"/>
      <c r="C301" s="13"/>
      <c r="D301" s="13"/>
      <c r="E301" s="13"/>
      <c r="F301" s="13"/>
      <c r="G301" s="13"/>
      <c r="H301" s="13"/>
      <c r="I301" s="13"/>
      <c r="J301" s="13"/>
      <c r="K301" s="13"/>
    </row>
    <row r="302" spans="1:11">
      <c r="A302" s="134"/>
      <c r="B302" s="13"/>
      <c r="C302" s="13"/>
      <c r="D302" s="13"/>
      <c r="E302" s="13"/>
      <c r="F302" s="13"/>
      <c r="G302" s="13"/>
      <c r="H302" s="13"/>
      <c r="I302" s="13"/>
      <c r="J302" s="13"/>
      <c r="K302" s="13"/>
    </row>
    <row r="303" spans="1:11">
      <c r="A303" s="134"/>
      <c r="B303" s="13"/>
      <c r="C303" s="13"/>
      <c r="D303" s="13"/>
      <c r="E303" s="13"/>
      <c r="F303" s="13"/>
      <c r="G303" s="13"/>
      <c r="H303" s="13"/>
      <c r="I303" s="13"/>
      <c r="J303" s="13"/>
      <c r="K303" s="13"/>
    </row>
    <row r="304" spans="1:11">
      <c r="A304" s="134"/>
      <c r="B304" s="13"/>
      <c r="C304" s="13"/>
      <c r="D304" s="13"/>
      <c r="E304" s="13"/>
      <c r="F304" s="13"/>
      <c r="G304" s="13"/>
      <c r="H304" s="13"/>
      <c r="I304" s="13"/>
      <c r="J304" s="13"/>
      <c r="K304" s="13"/>
    </row>
    <row r="305" spans="1:11">
      <c r="A305" s="134"/>
      <c r="B305" s="13"/>
      <c r="C305" s="13"/>
      <c r="D305" s="13"/>
      <c r="E305" s="13"/>
      <c r="F305" s="13"/>
      <c r="G305" s="13"/>
      <c r="H305" s="13"/>
      <c r="I305" s="13"/>
      <c r="J305" s="13"/>
      <c r="K305" s="13"/>
    </row>
    <row r="306" spans="1:11">
      <c r="A306" s="134"/>
      <c r="B306" s="13"/>
      <c r="C306" s="13"/>
      <c r="D306" s="13"/>
      <c r="E306" s="13"/>
      <c r="F306" s="13"/>
      <c r="G306" s="13"/>
      <c r="H306" s="13"/>
      <c r="I306" s="13"/>
      <c r="J306" s="13"/>
      <c r="K306" s="13"/>
    </row>
    <row r="307" spans="1:11">
      <c r="A307" s="134"/>
      <c r="B307" s="13"/>
      <c r="C307" s="13"/>
      <c r="D307" s="13"/>
      <c r="E307" s="13"/>
      <c r="F307" s="13"/>
      <c r="G307" s="13"/>
      <c r="H307" s="13"/>
      <c r="I307" s="13"/>
      <c r="J307" s="13"/>
      <c r="K307" s="13"/>
    </row>
    <row r="308" spans="1:11">
      <c r="A308" s="134"/>
      <c r="B308" s="13"/>
      <c r="C308" s="13"/>
      <c r="D308" s="13"/>
      <c r="E308" s="13"/>
      <c r="F308" s="13"/>
      <c r="G308" s="13"/>
      <c r="H308" s="13"/>
      <c r="I308" s="13"/>
      <c r="J308" s="13"/>
      <c r="K308" s="13"/>
    </row>
    <row r="309" spans="1:11">
      <c r="A309" s="134"/>
      <c r="B309" s="13"/>
      <c r="C309" s="13"/>
      <c r="D309" s="13"/>
      <c r="E309" s="13"/>
      <c r="F309" s="13"/>
      <c r="G309" s="13"/>
      <c r="H309" s="13"/>
      <c r="I309" s="13"/>
      <c r="J309" s="13"/>
      <c r="K309" s="13"/>
    </row>
    <row r="310" spans="1:11">
      <c r="A310" s="134"/>
      <c r="B310" s="13"/>
      <c r="C310" s="13"/>
      <c r="D310" s="13"/>
      <c r="E310" s="13"/>
      <c r="F310" s="13"/>
      <c r="G310" s="13"/>
      <c r="H310" s="13"/>
      <c r="I310" s="13"/>
      <c r="J310" s="13"/>
      <c r="K310" s="13"/>
    </row>
    <row r="311" spans="1:11">
      <c r="A311" s="134"/>
      <c r="B311" s="13"/>
      <c r="C311" s="13"/>
      <c r="D311" s="13"/>
      <c r="E311" s="13"/>
      <c r="F311" s="13"/>
      <c r="G311" s="13"/>
      <c r="H311" s="13"/>
      <c r="I311" s="13"/>
      <c r="J311" s="13"/>
      <c r="K311" s="13"/>
    </row>
    <row r="312" spans="1:11">
      <c r="A312" s="134"/>
      <c r="B312" s="13"/>
      <c r="C312" s="13"/>
      <c r="D312" s="13"/>
      <c r="E312" s="13"/>
      <c r="F312" s="13"/>
      <c r="G312" s="13"/>
      <c r="H312" s="13"/>
      <c r="I312" s="13"/>
      <c r="J312" s="13"/>
      <c r="K312" s="13"/>
    </row>
    <row r="313" spans="1:11">
      <c r="A313" s="134"/>
      <c r="B313" s="13"/>
      <c r="C313" s="13"/>
      <c r="D313" s="13"/>
      <c r="E313" s="13"/>
      <c r="F313" s="13"/>
      <c r="G313" s="13"/>
      <c r="H313" s="13"/>
      <c r="I313" s="13"/>
      <c r="J313" s="13"/>
      <c r="K313" s="13"/>
    </row>
    <row r="314" spans="1:11">
      <c r="A314" s="134"/>
      <c r="B314" s="13"/>
      <c r="C314" s="13"/>
      <c r="D314" s="13"/>
      <c r="E314" s="13"/>
      <c r="F314" s="13"/>
      <c r="G314" s="13"/>
      <c r="H314" s="13"/>
      <c r="I314" s="13"/>
      <c r="J314" s="13"/>
      <c r="K314" s="13"/>
    </row>
    <row r="315" spans="1:11">
      <c r="A315" s="134"/>
      <c r="B315" s="13"/>
      <c r="C315" s="13"/>
      <c r="D315" s="13"/>
      <c r="E315" s="13"/>
      <c r="F315" s="13"/>
      <c r="G315" s="13"/>
      <c r="H315" s="13"/>
      <c r="I315" s="13"/>
      <c r="J315" s="13"/>
      <c r="K315" s="13"/>
    </row>
    <row r="316" spans="1:11">
      <c r="A316" s="134"/>
      <c r="B316" s="13"/>
      <c r="C316" s="13"/>
      <c r="D316" s="13"/>
      <c r="E316" s="13"/>
      <c r="F316" s="13"/>
      <c r="G316" s="13"/>
      <c r="H316" s="13"/>
      <c r="I316" s="13"/>
      <c r="J316" s="13"/>
      <c r="K316" s="13"/>
    </row>
    <row r="317" spans="1:11">
      <c r="A317" s="134"/>
      <c r="B317" s="13"/>
      <c r="C317" s="13"/>
      <c r="D317" s="13"/>
      <c r="E317" s="13"/>
      <c r="F317" s="13"/>
      <c r="G317" s="13"/>
      <c r="H317" s="13"/>
      <c r="I317" s="13"/>
      <c r="J317" s="13"/>
      <c r="K317" s="13"/>
    </row>
    <row r="318" spans="1:11">
      <c r="A318" s="134"/>
      <c r="B318" s="13"/>
      <c r="C318" s="13"/>
      <c r="D318" s="13"/>
      <c r="E318" s="13"/>
      <c r="F318" s="13"/>
      <c r="G318" s="13"/>
      <c r="H318" s="13"/>
      <c r="I318" s="13"/>
      <c r="J318" s="13"/>
      <c r="K318" s="13"/>
    </row>
    <row r="319" spans="1:11">
      <c r="A319" s="134"/>
      <c r="B319" s="13"/>
      <c r="C319" s="13"/>
      <c r="D319" s="13"/>
      <c r="E319" s="13"/>
      <c r="F319" s="13"/>
      <c r="G319" s="13"/>
      <c r="H319" s="13"/>
      <c r="I319" s="13"/>
      <c r="J319" s="13"/>
      <c r="K319" s="13"/>
    </row>
    <row r="320" spans="1:11">
      <c r="A320" s="134"/>
      <c r="B320" s="13"/>
      <c r="C320" s="13"/>
      <c r="D320" s="13"/>
      <c r="E320" s="13"/>
      <c r="F320" s="13"/>
      <c r="G320" s="13"/>
      <c r="H320" s="13"/>
      <c r="I320" s="13"/>
      <c r="J320" s="13"/>
      <c r="K320" s="13"/>
    </row>
    <row r="321" spans="1:11">
      <c r="A321" s="134"/>
      <c r="B321" s="13"/>
      <c r="C321" s="13"/>
      <c r="D321" s="13"/>
      <c r="E321" s="13"/>
      <c r="F321" s="13"/>
      <c r="G321" s="13"/>
      <c r="H321" s="13"/>
      <c r="I321" s="13"/>
      <c r="J321" s="13"/>
      <c r="K321" s="13"/>
    </row>
    <row r="322" spans="1:11">
      <c r="A322" s="134"/>
      <c r="B322" s="13"/>
      <c r="C322" s="13"/>
      <c r="D322" s="13"/>
      <c r="E322" s="13"/>
      <c r="F322" s="13"/>
      <c r="G322" s="13"/>
      <c r="H322" s="13"/>
      <c r="I322" s="13"/>
      <c r="J322" s="13"/>
      <c r="K322" s="13"/>
    </row>
    <row r="323" spans="1:11">
      <c r="A323" s="134"/>
      <c r="B323" s="13"/>
      <c r="C323" s="13"/>
      <c r="D323" s="13"/>
      <c r="E323" s="13"/>
      <c r="F323" s="13"/>
      <c r="G323" s="13"/>
      <c r="H323" s="13"/>
      <c r="I323" s="13"/>
      <c r="J323" s="13"/>
      <c r="K323" s="13"/>
    </row>
    <row r="324" spans="1:11">
      <c r="A324" s="134"/>
      <c r="B324" s="13"/>
      <c r="C324" s="13"/>
      <c r="D324" s="13"/>
      <c r="E324" s="13"/>
      <c r="F324" s="13"/>
      <c r="G324" s="13"/>
      <c r="H324" s="13"/>
      <c r="I324" s="13"/>
      <c r="J324" s="13"/>
      <c r="K324" s="13"/>
    </row>
    <row r="325" spans="1:11">
      <c r="A325" s="134"/>
      <c r="B325" s="13"/>
      <c r="C325" s="13"/>
      <c r="D325" s="13"/>
      <c r="E325" s="13"/>
      <c r="F325" s="13"/>
      <c r="G325" s="13"/>
      <c r="H325" s="13"/>
      <c r="I325" s="13"/>
      <c r="J325" s="13"/>
      <c r="K325" s="13"/>
    </row>
    <row r="326" spans="1:11">
      <c r="A326" s="134"/>
      <c r="B326" s="13"/>
      <c r="C326" s="13"/>
      <c r="D326" s="13"/>
      <c r="E326" s="13"/>
      <c r="F326" s="13"/>
      <c r="G326" s="13"/>
      <c r="H326" s="13"/>
      <c r="I326" s="13"/>
      <c r="J326" s="13"/>
      <c r="K326" s="13"/>
    </row>
    <row r="327" spans="1:11">
      <c r="A327" s="134"/>
      <c r="B327" s="13"/>
      <c r="C327" s="13"/>
      <c r="D327" s="13"/>
      <c r="E327" s="13"/>
      <c r="F327" s="13"/>
      <c r="G327" s="13"/>
      <c r="H327" s="13"/>
      <c r="I327" s="13"/>
      <c r="J327" s="13"/>
      <c r="K327" s="13"/>
    </row>
    <row r="328" spans="1:11">
      <c r="A328" s="134"/>
      <c r="B328" s="13"/>
      <c r="C328" s="13"/>
      <c r="D328" s="13"/>
      <c r="E328" s="13"/>
      <c r="F328" s="13"/>
      <c r="G328" s="13"/>
      <c r="H328" s="13"/>
      <c r="I328" s="13"/>
      <c r="J328" s="13"/>
      <c r="K328" s="13"/>
    </row>
    <row r="329" spans="1:11">
      <c r="A329" s="134"/>
      <c r="B329" s="13"/>
      <c r="C329" s="13"/>
      <c r="D329" s="13"/>
      <c r="E329" s="13"/>
      <c r="F329" s="13"/>
      <c r="G329" s="13"/>
      <c r="H329" s="13"/>
      <c r="I329" s="13"/>
      <c r="J329" s="13"/>
      <c r="K329" s="13"/>
    </row>
    <row r="330" spans="1:11">
      <c r="A330" s="134"/>
      <c r="B330" s="13"/>
      <c r="C330" s="13"/>
      <c r="D330" s="13"/>
      <c r="E330" s="13"/>
      <c r="F330" s="13"/>
      <c r="G330" s="13"/>
      <c r="H330" s="13"/>
      <c r="I330" s="13"/>
      <c r="J330" s="13"/>
      <c r="K330" s="13"/>
    </row>
    <row r="331" spans="1:11">
      <c r="A331" s="134"/>
      <c r="B331" s="13"/>
      <c r="C331" s="13"/>
      <c r="D331" s="13"/>
      <c r="E331" s="13"/>
      <c r="F331" s="13"/>
      <c r="G331" s="13"/>
      <c r="H331" s="13"/>
      <c r="I331" s="13"/>
      <c r="J331" s="13"/>
      <c r="K331" s="13"/>
    </row>
    <row r="332" spans="1:11">
      <c r="A332" s="134"/>
      <c r="B332" s="13"/>
      <c r="C332" s="13"/>
      <c r="D332" s="13"/>
      <c r="E332" s="13"/>
      <c r="F332" s="13"/>
      <c r="G332" s="13"/>
      <c r="H332" s="13"/>
      <c r="I332" s="13"/>
      <c r="J332" s="13"/>
      <c r="K332" s="13"/>
    </row>
    <row r="333" spans="1:11">
      <c r="A333" s="134"/>
      <c r="B333" s="13"/>
      <c r="C333" s="13"/>
      <c r="D333" s="13"/>
      <c r="E333" s="13"/>
      <c r="F333" s="13"/>
      <c r="G333" s="13"/>
      <c r="H333" s="13"/>
      <c r="I333" s="13"/>
      <c r="J333" s="13"/>
      <c r="K333" s="13"/>
    </row>
    <row r="334" spans="1:11">
      <c r="A334" s="134"/>
      <c r="B334" s="13"/>
      <c r="C334" s="13"/>
      <c r="D334" s="13"/>
      <c r="E334" s="13"/>
      <c r="F334" s="13"/>
      <c r="G334" s="13"/>
      <c r="H334" s="13"/>
      <c r="I334" s="13"/>
      <c r="J334" s="13"/>
      <c r="K334" s="13"/>
    </row>
    <row r="335" spans="1:11">
      <c r="A335" s="134"/>
      <c r="B335" s="13"/>
      <c r="C335" s="13"/>
      <c r="D335" s="13"/>
      <c r="E335" s="13"/>
      <c r="F335" s="13"/>
      <c r="G335" s="13"/>
      <c r="H335" s="13"/>
      <c r="I335" s="13"/>
      <c r="J335" s="13"/>
      <c r="K335" s="13"/>
    </row>
    <row r="336" spans="1:11">
      <c r="A336" s="134"/>
      <c r="B336" s="13"/>
      <c r="C336" s="13"/>
      <c r="D336" s="13"/>
      <c r="E336" s="13"/>
      <c r="F336" s="13"/>
      <c r="G336" s="13"/>
      <c r="H336" s="13"/>
      <c r="I336" s="13"/>
      <c r="J336" s="13"/>
      <c r="K336" s="13"/>
    </row>
    <row r="337" spans="1:11">
      <c r="A337" s="134"/>
      <c r="B337" s="13"/>
      <c r="C337" s="13"/>
      <c r="D337" s="13"/>
      <c r="E337" s="13"/>
      <c r="F337" s="13"/>
      <c r="G337" s="13"/>
      <c r="H337" s="13"/>
      <c r="I337" s="13"/>
      <c r="J337" s="13"/>
      <c r="K337" s="13"/>
    </row>
    <row r="338" spans="1:11">
      <c r="A338" s="134"/>
      <c r="B338" s="13"/>
      <c r="C338" s="13"/>
      <c r="D338" s="13"/>
      <c r="E338" s="13"/>
      <c r="F338" s="13"/>
      <c r="G338" s="13"/>
      <c r="H338" s="13"/>
      <c r="I338" s="13"/>
      <c r="J338" s="13"/>
      <c r="K338" s="13"/>
    </row>
    <row r="339" spans="1:11">
      <c r="A339" s="134"/>
      <c r="B339" s="13"/>
      <c r="C339" s="13"/>
      <c r="D339" s="13"/>
      <c r="E339" s="13"/>
      <c r="F339" s="13"/>
      <c r="G339" s="13"/>
      <c r="H339" s="13"/>
      <c r="I339" s="13"/>
      <c r="J339" s="13"/>
      <c r="K339" s="13"/>
    </row>
    <row r="340" spans="1:11">
      <c r="A340" s="134"/>
      <c r="B340" s="13"/>
      <c r="C340" s="13"/>
      <c r="D340" s="13"/>
      <c r="E340" s="13"/>
      <c r="F340" s="13"/>
      <c r="G340" s="13"/>
      <c r="H340" s="13"/>
      <c r="I340" s="13"/>
      <c r="J340" s="13"/>
      <c r="K340" s="13"/>
    </row>
    <row r="341" spans="1:11">
      <c r="A341" s="134"/>
      <c r="B341" s="13"/>
      <c r="C341" s="13"/>
      <c r="D341" s="13"/>
      <c r="E341" s="13"/>
      <c r="F341" s="13"/>
      <c r="G341" s="13"/>
      <c r="H341" s="13"/>
      <c r="I341" s="13"/>
      <c r="J341" s="13"/>
      <c r="K341" s="13"/>
    </row>
    <row r="342" spans="1:11">
      <c r="A342" s="134"/>
      <c r="B342" s="13"/>
      <c r="C342" s="13"/>
      <c r="D342" s="13"/>
      <c r="E342" s="13"/>
      <c r="F342" s="13"/>
      <c r="G342" s="13"/>
      <c r="H342" s="13"/>
      <c r="I342" s="13"/>
      <c r="J342" s="13"/>
      <c r="K342" s="13"/>
    </row>
    <row r="343" spans="1:11">
      <c r="A343" s="134"/>
      <c r="B343" s="13"/>
      <c r="C343" s="13"/>
      <c r="D343" s="13"/>
      <c r="E343" s="13"/>
      <c r="F343" s="13"/>
      <c r="G343" s="13"/>
      <c r="H343" s="13"/>
      <c r="I343" s="13"/>
      <c r="J343" s="13"/>
      <c r="K343" s="13"/>
    </row>
    <row r="344" spans="1:11">
      <c r="A344" s="134"/>
      <c r="B344" s="13"/>
      <c r="C344" s="13"/>
      <c r="D344" s="13"/>
      <c r="E344" s="13"/>
      <c r="F344" s="13"/>
      <c r="G344" s="13"/>
      <c r="H344" s="13"/>
      <c r="I344" s="13"/>
      <c r="J344" s="13"/>
      <c r="K344" s="13"/>
    </row>
    <row r="345" spans="1:11">
      <c r="A345" s="134"/>
      <c r="B345" s="13"/>
      <c r="C345" s="13"/>
      <c r="D345" s="13"/>
      <c r="E345" s="13"/>
      <c r="F345" s="13"/>
      <c r="G345" s="13"/>
      <c r="H345" s="13"/>
      <c r="I345" s="13"/>
      <c r="J345" s="13"/>
      <c r="K345" s="13"/>
    </row>
    <row r="346" spans="1:11">
      <c r="A346" s="134"/>
      <c r="B346" s="13"/>
      <c r="C346" s="13"/>
      <c r="D346" s="13"/>
      <c r="E346" s="13"/>
      <c r="F346" s="13"/>
      <c r="G346" s="13"/>
      <c r="H346" s="13"/>
      <c r="I346" s="13"/>
      <c r="J346" s="13"/>
      <c r="K346" s="13"/>
    </row>
    <row r="347" spans="1:11">
      <c r="A347" s="134"/>
      <c r="B347" s="13"/>
      <c r="C347" s="13"/>
      <c r="D347" s="13"/>
      <c r="E347" s="13"/>
      <c r="F347" s="13"/>
      <c r="G347" s="13"/>
      <c r="H347" s="13"/>
      <c r="I347" s="13"/>
      <c r="J347" s="13"/>
      <c r="K347" s="13"/>
    </row>
    <row r="348" spans="1:11">
      <c r="A348" s="134"/>
      <c r="B348" s="13"/>
      <c r="C348" s="13"/>
      <c r="D348" s="13"/>
      <c r="E348" s="13"/>
      <c r="F348" s="13"/>
      <c r="G348" s="13"/>
      <c r="H348" s="13"/>
      <c r="I348" s="13"/>
      <c r="J348" s="13"/>
      <c r="K348" s="13"/>
    </row>
    <row r="349" spans="1:11">
      <c r="A349" s="134"/>
      <c r="B349" s="13"/>
      <c r="C349" s="13"/>
      <c r="D349" s="13"/>
      <c r="E349" s="13"/>
      <c r="F349" s="13"/>
      <c r="G349" s="13"/>
      <c r="H349" s="13"/>
      <c r="I349" s="13"/>
      <c r="J349" s="13"/>
      <c r="K349" s="13"/>
    </row>
    <row r="350" spans="1:11">
      <c r="A350" s="134"/>
      <c r="B350" s="13"/>
      <c r="C350" s="13"/>
      <c r="D350" s="13"/>
      <c r="E350" s="13"/>
      <c r="F350" s="13"/>
      <c r="G350" s="13"/>
      <c r="H350" s="13"/>
      <c r="I350" s="13"/>
      <c r="J350" s="13"/>
      <c r="K350" s="13"/>
    </row>
    <row r="351" spans="1:11">
      <c r="A351" s="134"/>
      <c r="B351" s="13"/>
      <c r="C351" s="13"/>
      <c r="D351" s="13"/>
      <c r="E351" s="13"/>
      <c r="F351" s="13"/>
      <c r="G351" s="13"/>
      <c r="H351" s="13"/>
      <c r="I351" s="13"/>
      <c r="J351" s="13"/>
      <c r="K351" s="13"/>
    </row>
    <row r="352" spans="1:11">
      <c r="A352" s="134"/>
      <c r="B352" s="13"/>
      <c r="C352" s="13"/>
      <c r="D352" s="13"/>
      <c r="E352" s="13"/>
      <c r="F352" s="13"/>
      <c r="G352" s="13"/>
      <c r="H352" s="13"/>
      <c r="I352" s="13"/>
      <c r="J352" s="13"/>
      <c r="K352" s="13"/>
    </row>
    <row r="353" spans="1:11">
      <c r="A353" s="134"/>
      <c r="B353" s="13"/>
      <c r="C353" s="13"/>
      <c r="D353" s="13"/>
      <c r="E353" s="13"/>
      <c r="F353" s="13"/>
      <c r="G353" s="13"/>
      <c r="H353" s="13"/>
      <c r="I353" s="13"/>
      <c r="J353" s="13"/>
      <c r="K353" s="13"/>
    </row>
    <row r="354" spans="1:11">
      <c r="A354" s="134"/>
      <c r="B354" s="13"/>
      <c r="C354" s="13"/>
      <c r="D354" s="13"/>
      <c r="E354" s="13"/>
      <c r="F354" s="13"/>
      <c r="G354" s="13"/>
      <c r="H354" s="13"/>
      <c r="I354" s="13"/>
      <c r="J354" s="13"/>
      <c r="K354" s="13"/>
    </row>
    <row r="355" spans="1:11">
      <c r="A355" s="134"/>
      <c r="B355" s="13"/>
      <c r="C355" s="13"/>
      <c r="D355" s="13"/>
      <c r="E355" s="13"/>
      <c r="F355" s="13"/>
      <c r="G355" s="13"/>
      <c r="H355" s="13"/>
      <c r="I355" s="13"/>
      <c r="J355" s="13"/>
      <c r="K355" s="13"/>
    </row>
    <row r="356" spans="1:11">
      <c r="A356" s="134"/>
      <c r="B356" s="13"/>
      <c r="C356" s="13"/>
      <c r="D356" s="13"/>
      <c r="E356" s="13"/>
      <c r="F356" s="13"/>
      <c r="G356" s="13"/>
      <c r="H356" s="13"/>
      <c r="I356" s="13"/>
      <c r="J356" s="13"/>
      <c r="K356" s="13"/>
    </row>
    <row r="357" spans="1:11">
      <c r="A357" s="134"/>
      <c r="B357" s="13"/>
      <c r="C357" s="13"/>
      <c r="D357" s="13"/>
      <c r="E357" s="13"/>
      <c r="F357" s="13"/>
      <c r="G357" s="13"/>
      <c r="H357" s="13"/>
      <c r="I357" s="13"/>
      <c r="J357" s="13"/>
      <c r="K357" s="13"/>
    </row>
    <row r="358" spans="1:11">
      <c r="A358" s="134"/>
      <c r="B358" s="13"/>
      <c r="C358" s="13"/>
      <c r="D358" s="13"/>
      <c r="E358" s="13"/>
      <c r="F358" s="13"/>
      <c r="G358" s="13"/>
      <c r="H358" s="13"/>
      <c r="I358" s="13"/>
      <c r="J358" s="13"/>
      <c r="K358" s="13"/>
    </row>
    <row r="359" spans="1:11">
      <c r="A359" s="134"/>
      <c r="B359" s="13"/>
      <c r="C359" s="13"/>
      <c r="D359" s="13"/>
      <c r="E359" s="13"/>
      <c r="F359" s="13"/>
      <c r="G359" s="13"/>
      <c r="H359" s="13"/>
      <c r="I359" s="13"/>
      <c r="J359" s="13"/>
      <c r="K359" s="13"/>
    </row>
    <row r="360" spans="1:11">
      <c r="A360" s="134"/>
      <c r="B360" s="13"/>
      <c r="C360" s="13"/>
      <c r="D360" s="13"/>
      <c r="E360" s="13"/>
      <c r="F360" s="13"/>
      <c r="G360" s="13"/>
      <c r="H360" s="13"/>
      <c r="I360" s="13"/>
      <c r="J360" s="13"/>
      <c r="K360" s="13"/>
    </row>
    <row r="361" spans="1:11">
      <c r="A361" s="134"/>
      <c r="B361" s="13"/>
      <c r="C361" s="13"/>
      <c r="D361" s="13"/>
      <c r="E361" s="13"/>
      <c r="F361" s="13"/>
      <c r="G361" s="13"/>
      <c r="H361" s="13"/>
      <c r="I361" s="13"/>
      <c r="J361" s="13"/>
      <c r="K361" s="13"/>
    </row>
    <row r="362" spans="1:11">
      <c r="A362" s="134"/>
      <c r="B362" s="13"/>
      <c r="C362" s="13"/>
      <c r="D362" s="13"/>
      <c r="E362" s="13"/>
      <c r="F362" s="13"/>
      <c r="G362" s="13"/>
      <c r="H362" s="13"/>
      <c r="I362" s="13"/>
      <c r="J362" s="13"/>
      <c r="K362" s="13"/>
    </row>
    <row r="363" spans="1:11">
      <c r="A363" s="134"/>
      <c r="B363" s="13"/>
      <c r="C363" s="13"/>
      <c r="D363" s="13"/>
      <c r="E363" s="13"/>
      <c r="F363" s="13"/>
      <c r="G363" s="13"/>
      <c r="H363" s="13"/>
      <c r="I363" s="13"/>
      <c r="J363" s="13"/>
      <c r="K363" s="13"/>
    </row>
    <row r="364" spans="1:11">
      <c r="A364" s="134"/>
      <c r="B364" s="13"/>
      <c r="C364" s="13"/>
      <c r="D364" s="13"/>
      <c r="E364" s="13"/>
      <c r="F364" s="13"/>
      <c r="G364" s="13"/>
      <c r="H364" s="13"/>
      <c r="I364" s="13"/>
      <c r="J364" s="13"/>
      <c r="K364" s="13"/>
    </row>
    <row r="365" spans="1:11">
      <c r="A365" s="134"/>
      <c r="B365" s="13"/>
      <c r="C365" s="13"/>
      <c r="D365" s="13"/>
      <c r="E365" s="13"/>
      <c r="F365" s="13"/>
      <c r="G365" s="13"/>
      <c r="H365" s="13"/>
      <c r="I365" s="13"/>
      <c r="J365" s="13"/>
      <c r="K365" s="13"/>
    </row>
    <row r="366" spans="1:11">
      <c r="A366" s="134"/>
      <c r="B366" s="13"/>
      <c r="C366" s="13"/>
      <c r="D366" s="13"/>
      <c r="E366" s="13"/>
      <c r="F366" s="13"/>
      <c r="G366" s="13"/>
      <c r="H366" s="13"/>
      <c r="I366" s="13"/>
      <c r="J366" s="13"/>
      <c r="K366" s="13"/>
    </row>
    <row r="367" spans="1:11">
      <c r="A367" s="134"/>
      <c r="B367" s="13"/>
      <c r="C367" s="13"/>
      <c r="D367" s="13"/>
      <c r="E367" s="13"/>
      <c r="F367" s="13"/>
      <c r="G367" s="13"/>
      <c r="H367" s="13"/>
      <c r="I367" s="13"/>
      <c r="J367" s="13"/>
      <c r="K367" s="13"/>
    </row>
    <row r="368" spans="1:11">
      <c r="A368" s="134"/>
      <c r="B368" s="13"/>
      <c r="C368" s="13"/>
      <c r="D368" s="13"/>
      <c r="E368" s="13"/>
      <c r="F368" s="13"/>
      <c r="G368" s="13"/>
      <c r="H368" s="13"/>
      <c r="I368" s="13"/>
      <c r="J368" s="13"/>
      <c r="K368" s="13"/>
    </row>
    <row r="369" spans="1:11">
      <c r="A369" s="134"/>
      <c r="B369" s="13"/>
      <c r="C369" s="13"/>
      <c r="D369" s="13"/>
      <c r="E369" s="13"/>
      <c r="F369" s="13"/>
      <c r="G369" s="13"/>
      <c r="H369" s="13"/>
      <c r="I369" s="13"/>
      <c r="J369" s="13"/>
      <c r="K369" s="13"/>
    </row>
    <row r="370" spans="1:11">
      <c r="A370" s="134"/>
      <c r="B370" s="13"/>
      <c r="C370" s="13"/>
      <c r="D370" s="13"/>
      <c r="E370" s="13"/>
      <c r="F370" s="13"/>
      <c r="G370" s="13"/>
      <c r="H370" s="13"/>
      <c r="I370" s="13"/>
      <c r="J370" s="13"/>
      <c r="K370" s="13"/>
    </row>
    <row r="371" spans="1:11">
      <c r="A371" s="134"/>
      <c r="B371" s="13"/>
      <c r="C371" s="13"/>
      <c r="D371" s="13"/>
      <c r="E371" s="13"/>
      <c r="F371" s="13"/>
      <c r="G371" s="13"/>
      <c r="H371" s="13"/>
      <c r="I371" s="13"/>
      <c r="J371" s="13"/>
      <c r="K371" s="13"/>
    </row>
    <row r="372" spans="1:11">
      <c r="A372" s="134"/>
      <c r="B372" s="13"/>
      <c r="C372" s="13"/>
      <c r="D372" s="13"/>
      <c r="E372" s="13"/>
      <c r="F372" s="13"/>
      <c r="G372" s="13"/>
      <c r="H372" s="13"/>
      <c r="I372" s="13"/>
      <c r="J372" s="13"/>
      <c r="K372" s="13"/>
    </row>
    <row r="373" spans="1:11">
      <c r="A373" s="134"/>
      <c r="B373" s="13"/>
      <c r="C373" s="13"/>
      <c r="D373" s="13"/>
      <c r="E373" s="13"/>
      <c r="F373" s="13"/>
      <c r="G373" s="13"/>
      <c r="H373" s="13"/>
      <c r="I373" s="13"/>
      <c r="J373" s="13"/>
      <c r="K373" s="13"/>
    </row>
    <row r="374" spans="1:11">
      <c r="A374" s="134"/>
      <c r="B374" s="13"/>
      <c r="C374" s="13"/>
      <c r="D374" s="13"/>
      <c r="E374" s="13"/>
      <c r="F374" s="13"/>
      <c r="G374" s="13"/>
      <c r="H374" s="13"/>
      <c r="I374" s="13"/>
      <c r="J374" s="13"/>
      <c r="K374" s="13"/>
    </row>
    <row r="375" spans="1:11">
      <c r="A375" s="134"/>
      <c r="B375" s="13"/>
      <c r="C375" s="13"/>
      <c r="D375" s="13"/>
      <c r="E375" s="13"/>
      <c r="F375" s="13"/>
      <c r="G375" s="13"/>
      <c r="H375" s="13"/>
      <c r="I375" s="13"/>
      <c r="J375" s="13"/>
      <c r="K375" s="13"/>
    </row>
    <row r="376" spans="1:11">
      <c r="A376" s="134"/>
      <c r="B376" s="13"/>
      <c r="C376" s="13"/>
      <c r="D376" s="13"/>
      <c r="E376" s="13"/>
      <c r="F376" s="13"/>
      <c r="G376" s="13"/>
      <c r="H376" s="13"/>
      <c r="I376" s="13"/>
      <c r="J376" s="13"/>
      <c r="K376" s="13"/>
    </row>
    <row r="377" spans="1:11">
      <c r="A377" s="134"/>
      <c r="B377" s="13"/>
      <c r="C377" s="13"/>
      <c r="D377" s="13"/>
      <c r="E377" s="13"/>
      <c r="F377" s="13"/>
      <c r="G377" s="13"/>
      <c r="H377" s="13"/>
      <c r="I377" s="13"/>
      <c r="J377" s="13"/>
      <c r="K377" s="13"/>
    </row>
    <row r="378" spans="1:11">
      <c r="A378" s="134"/>
      <c r="B378" s="13"/>
      <c r="C378" s="13"/>
      <c r="D378" s="13"/>
      <c r="E378" s="13"/>
      <c r="F378" s="13"/>
      <c r="G378" s="13"/>
      <c r="H378" s="13"/>
      <c r="I378" s="13"/>
      <c r="J378" s="13"/>
      <c r="K378" s="13"/>
    </row>
    <row r="379" spans="1:11">
      <c r="A379" s="134"/>
      <c r="B379" s="13"/>
      <c r="C379" s="13"/>
      <c r="D379" s="13"/>
      <c r="E379" s="13"/>
      <c r="F379" s="13"/>
      <c r="G379" s="13"/>
      <c r="H379" s="13"/>
      <c r="I379" s="13"/>
      <c r="J379" s="13"/>
      <c r="K379" s="13"/>
    </row>
    <row r="380" spans="1:11">
      <c r="A380" s="134"/>
      <c r="B380" s="13"/>
      <c r="C380" s="13"/>
      <c r="D380" s="13"/>
      <c r="E380" s="13"/>
      <c r="F380" s="13"/>
      <c r="G380" s="13"/>
      <c r="H380" s="13"/>
      <c r="I380" s="13"/>
      <c r="J380" s="13"/>
      <c r="K380" s="13"/>
    </row>
    <row r="381" spans="1:11">
      <c r="A381" s="134"/>
      <c r="B381" s="13"/>
      <c r="C381" s="13"/>
      <c r="D381" s="13"/>
      <c r="E381" s="13"/>
      <c r="F381" s="13"/>
      <c r="G381" s="13"/>
      <c r="H381" s="13"/>
      <c r="I381" s="13"/>
      <c r="J381" s="13"/>
      <c r="K381" s="13"/>
    </row>
    <row r="382" spans="1:11">
      <c r="A382" s="134"/>
      <c r="B382" s="13"/>
      <c r="C382" s="13"/>
      <c r="D382" s="13"/>
      <c r="E382" s="13"/>
      <c r="F382" s="13"/>
      <c r="G382" s="13"/>
      <c r="H382" s="13"/>
      <c r="I382" s="13"/>
      <c r="J382" s="13"/>
      <c r="K382" s="13"/>
    </row>
    <row r="383" spans="1:11">
      <c r="A383" s="134"/>
      <c r="B383" s="13"/>
      <c r="C383" s="13"/>
      <c r="D383" s="13"/>
      <c r="E383" s="13"/>
      <c r="F383" s="13"/>
      <c r="G383" s="13"/>
      <c r="H383" s="13"/>
      <c r="I383" s="13"/>
      <c r="J383" s="13"/>
      <c r="K383" s="13"/>
    </row>
    <row r="384" spans="1:11">
      <c r="A384" s="134"/>
      <c r="B384" s="13"/>
      <c r="C384" s="13"/>
      <c r="D384" s="13"/>
      <c r="E384" s="13"/>
      <c r="F384" s="13"/>
      <c r="G384" s="13"/>
      <c r="H384" s="13"/>
      <c r="I384" s="13"/>
      <c r="J384" s="13"/>
      <c r="K384" s="13"/>
    </row>
    <row r="385" spans="1:11">
      <c r="A385" s="134"/>
      <c r="B385" s="13"/>
      <c r="C385" s="13"/>
      <c r="D385" s="13"/>
      <c r="E385" s="13"/>
      <c r="F385" s="13"/>
      <c r="G385" s="13"/>
      <c r="H385" s="13"/>
      <c r="I385" s="13"/>
      <c r="J385" s="13"/>
      <c r="K385" s="13"/>
    </row>
    <row r="386" spans="1:11">
      <c r="A386" s="134"/>
      <c r="B386" s="13"/>
      <c r="C386" s="13"/>
      <c r="D386" s="13"/>
      <c r="E386" s="13"/>
      <c r="F386" s="13"/>
      <c r="G386" s="13"/>
      <c r="H386" s="13"/>
      <c r="I386" s="13"/>
      <c r="J386" s="13"/>
      <c r="K386" s="13"/>
    </row>
    <row r="387" spans="1:11">
      <c r="A387" s="134"/>
      <c r="B387" s="13"/>
      <c r="C387" s="13"/>
      <c r="D387" s="13"/>
      <c r="E387" s="13"/>
      <c r="F387" s="13"/>
      <c r="G387" s="13"/>
      <c r="H387" s="13"/>
      <c r="I387" s="13"/>
      <c r="J387" s="13"/>
      <c r="K387" s="13"/>
    </row>
    <row r="388" spans="1:11">
      <c r="A388" s="134"/>
      <c r="B388" s="13"/>
      <c r="C388" s="13"/>
      <c r="D388" s="13"/>
      <c r="E388" s="13"/>
      <c r="F388" s="13"/>
      <c r="G388" s="13"/>
      <c r="H388" s="13"/>
      <c r="I388" s="13"/>
      <c r="J388" s="13"/>
      <c r="K388" s="13"/>
    </row>
    <row r="389" spans="1:11">
      <c r="A389" s="134"/>
      <c r="B389" s="13"/>
      <c r="C389" s="13"/>
      <c r="D389" s="13"/>
      <c r="E389" s="13"/>
      <c r="F389" s="13"/>
      <c r="G389" s="13"/>
      <c r="H389" s="13"/>
      <c r="I389" s="13"/>
      <c r="J389" s="13"/>
      <c r="K389" s="13"/>
    </row>
    <row r="390" spans="1:11">
      <c r="A390" s="134"/>
      <c r="B390" s="13"/>
      <c r="C390" s="13"/>
      <c r="D390" s="13"/>
      <c r="E390" s="13"/>
      <c r="F390" s="13"/>
      <c r="G390" s="13"/>
      <c r="H390" s="13"/>
      <c r="I390" s="13"/>
      <c r="J390" s="13"/>
      <c r="K390" s="13"/>
    </row>
    <row r="391" spans="1:11">
      <c r="A391" s="134"/>
      <c r="B391" s="13"/>
      <c r="C391" s="13"/>
      <c r="D391" s="13"/>
      <c r="E391" s="13"/>
      <c r="F391" s="13"/>
      <c r="G391" s="13"/>
      <c r="H391" s="13"/>
      <c r="I391" s="13"/>
      <c r="J391" s="13"/>
      <c r="K391" s="13"/>
    </row>
    <row r="392" spans="1:11">
      <c r="A392" s="134"/>
      <c r="B392" s="13"/>
      <c r="C392" s="13"/>
      <c r="D392" s="13"/>
      <c r="E392" s="13"/>
      <c r="F392" s="13"/>
      <c r="G392" s="13"/>
      <c r="H392" s="13"/>
      <c r="I392" s="13"/>
      <c r="J392" s="13"/>
      <c r="K392" s="13"/>
    </row>
    <row r="393" spans="1:11">
      <c r="A393" s="134"/>
      <c r="B393" s="13"/>
      <c r="C393" s="13"/>
      <c r="D393" s="13"/>
      <c r="E393" s="13"/>
      <c r="F393" s="13"/>
      <c r="G393" s="13"/>
      <c r="H393" s="13"/>
      <c r="I393" s="13"/>
      <c r="J393" s="13"/>
      <c r="K393" s="13"/>
    </row>
    <row r="394" spans="1:11">
      <c r="A394" s="134"/>
      <c r="B394" s="13"/>
      <c r="C394" s="13"/>
      <c r="D394" s="13"/>
      <c r="E394" s="13"/>
      <c r="F394" s="13"/>
      <c r="G394" s="13"/>
      <c r="H394" s="13"/>
      <c r="I394" s="13"/>
      <c r="J394" s="13"/>
      <c r="K394" s="13"/>
    </row>
    <row r="395" spans="1:11">
      <c r="A395" s="134"/>
      <c r="B395" s="13"/>
      <c r="C395" s="13"/>
      <c r="D395" s="13"/>
      <c r="E395" s="13"/>
      <c r="F395" s="13"/>
      <c r="G395" s="13"/>
      <c r="H395" s="13"/>
      <c r="I395" s="13"/>
      <c r="J395" s="13"/>
      <c r="K395" s="13"/>
    </row>
    <row r="396" spans="1:11">
      <c r="A396" s="134"/>
      <c r="B396" s="13"/>
      <c r="C396" s="13"/>
      <c r="D396" s="13"/>
      <c r="E396" s="13"/>
      <c r="F396" s="13"/>
      <c r="G396" s="13"/>
      <c r="H396" s="13"/>
      <c r="I396" s="13"/>
      <c r="J396" s="13"/>
      <c r="K396" s="13"/>
    </row>
    <row r="397" spans="1:11">
      <c r="A397" s="134"/>
      <c r="B397" s="13"/>
      <c r="C397" s="13"/>
      <c r="D397" s="13"/>
      <c r="E397" s="13"/>
      <c r="F397" s="13"/>
      <c r="G397" s="13"/>
      <c r="H397" s="13"/>
      <c r="I397" s="13"/>
      <c r="J397" s="13"/>
      <c r="K397" s="13"/>
    </row>
    <row r="398" spans="1:11">
      <c r="A398" s="134"/>
      <c r="B398" s="13"/>
      <c r="C398" s="13"/>
      <c r="D398" s="13"/>
      <c r="E398" s="13"/>
      <c r="F398" s="13"/>
      <c r="G398" s="13"/>
      <c r="H398" s="13"/>
      <c r="I398" s="13"/>
      <c r="J398" s="13"/>
      <c r="K398" s="13"/>
    </row>
    <row r="399" spans="1:11">
      <c r="A399" s="134"/>
      <c r="B399" s="13"/>
      <c r="C399" s="13"/>
      <c r="D399" s="13"/>
      <c r="E399" s="13"/>
      <c r="F399" s="13"/>
      <c r="G399" s="13"/>
      <c r="H399" s="13"/>
      <c r="I399" s="13"/>
      <c r="J399" s="13"/>
      <c r="K399" s="13"/>
    </row>
    <row r="400" spans="1:11">
      <c r="A400" s="134"/>
      <c r="B400" s="13"/>
      <c r="C400" s="13"/>
      <c r="D400" s="13"/>
      <c r="E400" s="13"/>
      <c r="F400" s="13"/>
      <c r="G400" s="13"/>
      <c r="H400" s="13"/>
      <c r="I400" s="13"/>
      <c r="J400" s="13"/>
      <c r="K400" s="13"/>
    </row>
    <row r="401" spans="1:11">
      <c r="A401" s="134"/>
      <c r="B401" s="13"/>
      <c r="C401" s="13"/>
      <c r="D401" s="13"/>
      <c r="E401" s="13"/>
      <c r="F401" s="13"/>
      <c r="G401" s="13"/>
      <c r="H401" s="13"/>
      <c r="I401" s="13"/>
      <c r="J401" s="13"/>
      <c r="K401" s="13"/>
    </row>
    <row r="402" spans="1:11">
      <c r="A402" s="134"/>
      <c r="B402" s="13"/>
      <c r="C402" s="13"/>
      <c r="D402" s="13"/>
      <c r="E402" s="13"/>
      <c r="F402" s="13"/>
      <c r="G402" s="13"/>
      <c r="H402" s="13"/>
      <c r="I402" s="13"/>
      <c r="J402" s="13"/>
      <c r="K402" s="13"/>
    </row>
    <row r="403" spans="1:11">
      <c r="A403" s="134"/>
      <c r="B403" s="13"/>
      <c r="C403" s="13"/>
      <c r="D403" s="13"/>
      <c r="E403" s="13"/>
      <c r="F403" s="13"/>
      <c r="G403" s="13"/>
      <c r="H403" s="13"/>
      <c r="I403" s="13"/>
      <c r="J403" s="13"/>
      <c r="K403" s="13"/>
    </row>
    <row r="404" spans="1:11">
      <c r="A404" s="134"/>
      <c r="B404" s="13"/>
      <c r="C404" s="13"/>
      <c r="D404" s="13"/>
      <c r="E404" s="13"/>
      <c r="F404" s="13"/>
      <c r="G404" s="13"/>
      <c r="H404" s="13"/>
      <c r="I404" s="13"/>
      <c r="J404" s="13"/>
      <c r="K404" s="13"/>
    </row>
    <row r="405" spans="1:11">
      <c r="A405" s="134"/>
      <c r="B405" s="13"/>
      <c r="C405" s="13"/>
      <c r="D405" s="13"/>
      <c r="E405" s="13"/>
      <c r="F405" s="13"/>
      <c r="G405" s="13"/>
      <c r="H405" s="13"/>
      <c r="I405" s="13"/>
      <c r="J405" s="13"/>
      <c r="K405" s="13"/>
    </row>
    <row r="406" spans="1:11">
      <c r="A406" s="134"/>
      <c r="B406" s="13"/>
      <c r="C406" s="13"/>
      <c r="D406" s="13"/>
      <c r="E406" s="13"/>
      <c r="F406" s="13"/>
      <c r="G406" s="13"/>
      <c r="H406" s="13"/>
      <c r="I406" s="13"/>
      <c r="J406" s="13"/>
      <c r="K406" s="13"/>
    </row>
    <row r="407" spans="1:11">
      <c r="A407" s="134"/>
      <c r="B407" s="13"/>
      <c r="C407" s="13"/>
      <c r="D407" s="13"/>
      <c r="E407" s="13"/>
      <c r="F407" s="13"/>
      <c r="G407" s="13"/>
      <c r="H407" s="13"/>
      <c r="I407" s="13"/>
      <c r="J407" s="13"/>
      <c r="K407" s="13"/>
    </row>
    <row r="408" spans="1:11">
      <c r="A408" s="134"/>
      <c r="B408" s="13"/>
      <c r="C408" s="13"/>
      <c r="D408" s="13"/>
      <c r="E408" s="13"/>
      <c r="F408" s="13"/>
      <c r="G408" s="13"/>
      <c r="H408" s="13"/>
      <c r="I408" s="13"/>
      <c r="J408" s="13"/>
      <c r="K408" s="13"/>
    </row>
    <row r="409" spans="1:11">
      <c r="A409" s="134"/>
      <c r="B409" s="13"/>
      <c r="C409" s="13"/>
      <c r="D409" s="13"/>
      <c r="E409" s="13"/>
      <c r="F409" s="13"/>
      <c r="G409" s="13"/>
      <c r="H409" s="13"/>
      <c r="I409" s="13"/>
      <c r="J409" s="13"/>
      <c r="K409" s="13"/>
    </row>
    <row r="410" spans="1:11">
      <c r="A410" s="134"/>
      <c r="B410" s="13"/>
      <c r="C410" s="13"/>
      <c r="D410" s="13"/>
      <c r="E410" s="13"/>
      <c r="F410" s="13"/>
      <c r="G410" s="13"/>
      <c r="H410" s="13"/>
      <c r="I410" s="13"/>
      <c r="J410" s="13"/>
      <c r="K410" s="13"/>
    </row>
    <row r="411" spans="1:11">
      <c r="A411" s="134"/>
      <c r="B411" s="13"/>
      <c r="C411" s="13"/>
      <c r="D411" s="13"/>
      <c r="E411" s="13"/>
      <c r="F411" s="13"/>
      <c r="G411" s="13"/>
      <c r="H411" s="13"/>
      <c r="I411" s="13"/>
      <c r="J411" s="13"/>
      <c r="K411" s="13"/>
    </row>
    <row r="412" spans="1:11">
      <c r="A412" s="134"/>
      <c r="B412" s="13"/>
      <c r="C412" s="13"/>
      <c r="D412" s="13"/>
      <c r="E412" s="13"/>
      <c r="F412" s="13"/>
      <c r="G412" s="13"/>
      <c r="H412" s="13"/>
      <c r="I412" s="13"/>
      <c r="J412" s="13"/>
      <c r="K412" s="13"/>
    </row>
    <row r="413" spans="1:11">
      <c r="A413" s="134"/>
      <c r="B413" s="13"/>
      <c r="C413" s="13"/>
      <c r="D413" s="13"/>
      <c r="E413" s="13"/>
      <c r="F413" s="13"/>
      <c r="G413" s="13"/>
      <c r="H413" s="13"/>
      <c r="I413" s="13"/>
      <c r="J413" s="13"/>
      <c r="K413" s="13"/>
    </row>
    <row r="414" spans="1:11">
      <c r="A414" s="134"/>
      <c r="B414" s="13"/>
      <c r="C414" s="13"/>
      <c r="D414" s="13"/>
      <c r="E414" s="13"/>
      <c r="F414" s="13"/>
      <c r="G414" s="13"/>
      <c r="H414" s="13"/>
      <c r="I414" s="13"/>
      <c r="J414" s="13"/>
      <c r="K414" s="13"/>
    </row>
    <row r="415" spans="1:11">
      <c r="A415" s="134"/>
      <c r="B415" s="13"/>
      <c r="C415" s="13"/>
      <c r="D415" s="13"/>
      <c r="E415" s="13"/>
      <c r="F415" s="13"/>
      <c r="G415" s="13"/>
      <c r="H415" s="13"/>
      <c r="I415" s="13"/>
      <c r="J415" s="13"/>
      <c r="K415" s="13"/>
    </row>
    <row r="416" spans="1:11">
      <c r="A416" s="134"/>
      <c r="B416" s="13"/>
      <c r="C416" s="13"/>
      <c r="D416" s="13"/>
      <c r="E416" s="13"/>
      <c r="F416" s="13"/>
      <c r="G416" s="13"/>
      <c r="H416" s="13"/>
      <c r="I416" s="13"/>
      <c r="J416" s="13"/>
      <c r="K416" s="13"/>
    </row>
    <row r="417" spans="1:11">
      <c r="A417" s="134"/>
      <c r="B417" s="13"/>
      <c r="C417" s="13"/>
      <c r="D417" s="13"/>
      <c r="E417" s="13"/>
      <c r="F417" s="13"/>
      <c r="G417" s="13"/>
      <c r="H417" s="13"/>
      <c r="I417" s="13"/>
      <c r="J417" s="13"/>
      <c r="K417" s="13"/>
    </row>
    <row r="418" spans="1:11">
      <c r="A418" s="134"/>
      <c r="B418" s="13"/>
      <c r="C418" s="13"/>
      <c r="D418" s="13"/>
      <c r="E418" s="13"/>
      <c r="F418" s="13"/>
      <c r="G418" s="13"/>
      <c r="H418" s="13"/>
      <c r="I418" s="13"/>
      <c r="J418" s="13"/>
      <c r="K418" s="13"/>
    </row>
    <row r="419" spans="1:11">
      <c r="A419" s="134"/>
      <c r="B419" s="13"/>
      <c r="C419" s="13"/>
      <c r="D419" s="13"/>
      <c r="E419" s="13"/>
      <c r="F419" s="13"/>
      <c r="G419" s="13"/>
      <c r="H419" s="13"/>
      <c r="I419" s="13"/>
      <c r="J419" s="13"/>
      <c r="K419" s="13"/>
    </row>
    <row r="420" spans="1:11">
      <c r="A420" s="134"/>
      <c r="B420" s="13"/>
      <c r="C420" s="13"/>
      <c r="D420" s="13"/>
      <c r="E420" s="13"/>
      <c r="F420" s="13"/>
      <c r="G420" s="13"/>
      <c r="H420" s="13"/>
      <c r="I420" s="13"/>
      <c r="J420" s="13"/>
      <c r="K420" s="13"/>
    </row>
    <row r="421" spans="1:11">
      <c r="A421" s="134"/>
      <c r="B421" s="13"/>
      <c r="C421" s="13"/>
      <c r="D421" s="13"/>
      <c r="E421" s="13"/>
      <c r="F421" s="13"/>
      <c r="G421" s="13"/>
      <c r="H421" s="13"/>
      <c r="I421" s="13"/>
      <c r="J421" s="13"/>
      <c r="K421" s="13"/>
    </row>
    <row r="422" spans="1:11">
      <c r="A422" s="134"/>
      <c r="B422" s="13"/>
      <c r="C422" s="13"/>
      <c r="D422" s="13"/>
      <c r="E422" s="13"/>
      <c r="F422" s="13"/>
      <c r="G422" s="13"/>
      <c r="H422" s="13"/>
      <c r="I422" s="13"/>
      <c r="J422" s="13"/>
      <c r="K422" s="13"/>
    </row>
    <row r="423" spans="1:11">
      <c r="A423" s="134"/>
      <c r="B423" s="13"/>
      <c r="C423" s="13"/>
      <c r="D423" s="13"/>
      <c r="E423" s="13"/>
      <c r="F423" s="13"/>
      <c r="G423" s="13"/>
      <c r="H423" s="13"/>
      <c r="I423" s="13"/>
      <c r="J423" s="13"/>
      <c r="K423" s="13"/>
    </row>
    <row r="424" spans="1:11">
      <c r="A424" s="134"/>
      <c r="B424" s="13"/>
      <c r="C424" s="13"/>
      <c r="D424" s="13"/>
      <c r="E424" s="13"/>
      <c r="F424" s="13"/>
      <c r="G424" s="13"/>
      <c r="H424" s="13"/>
      <c r="I424" s="13"/>
      <c r="J424" s="13"/>
      <c r="K424" s="13"/>
    </row>
    <row r="425" spans="1:11">
      <c r="A425" s="134"/>
      <c r="B425" s="13"/>
      <c r="C425" s="13"/>
      <c r="D425" s="13"/>
      <c r="E425" s="13"/>
      <c r="F425" s="13"/>
      <c r="G425" s="13"/>
      <c r="H425" s="13"/>
      <c r="I425" s="13"/>
      <c r="J425" s="13"/>
      <c r="K425" s="13"/>
    </row>
    <row r="426" spans="1:11">
      <c r="A426" s="134"/>
      <c r="B426" s="13"/>
      <c r="C426" s="13"/>
      <c r="D426" s="13"/>
      <c r="E426" s="13"/>
      <c r="F426" s="13"/>
      <c r="G426" s="13"/>
      <c r="H426" s="13"/>
      <c r="I426" s="13"/>
      <c r="J426" s="13"/>
      <c r="K426" s="13"/>
    </row>
    <row r="427" spans="1:11">
      <c r="A427" s="134"/>
      <c r="B427" s="13"/>
      <c r="C427" s="13"/>
      <c r="D427" s="13"/>
      <c r="E427" s="13"/>
      <c r="F427" s="13"/>
      <c r="G427" s="13"/>
      <c r="H427" s="13"/>
      <c r="I427" s="13"/>
      <c r="J427" s="13"/>
      <c r="K427" s="13"/>
    </row>
    <row r="428" spans="1:11">
      <c r="A428" s="134"/>
      <c r="B428" s="13"/>
      <c r="C428" s="13"/>
      <c r="D428" s="13"/>
      <c r="E428" s="13"/>
      <c r="F428" s="13"/>
      <c r="G428" s="13"/>
      <c r="H428" s="13"/>
      <c r="I428" s="13"/>
      <c r="J428" s="13"/>
      <c r="K428" s="13"/>
    </row>
    <row r="429" spans="1:11">
      <c r="A429" s="134"/>
      <c r="B429" s="13"/>
      <c r="C429" s="13"/>
      <c r="D429" s="13"/>
      <c r="E429" s="13"/>
      <c r="F429" s="13"/>
      <c r="G429" s="13"/>
      <c r="H429" s="13"/>
      <c r="I429" s="13"/>
      <c r="J429" s="13"/>
      <c r="K429" s="13"/>
    </row>
    <row r="430" spans="1:11">
      <c r="A430" s="134"/>
      <c r="B430" s="13"/>
      <c r="C430" s="13"/>
      <c r="D430" s="13"/>
      <c r="E430" s="13"/>
      <c r="F430" s="13"/>
      <c r="G430" s="13"/>
      <c r="H430" s="13"/>
      <c r="I430" s="13"/>
      <c r="J430" s="13"/>
      <c r="K430" s="13"/>
    </row>
    <row r="431" spans="1:11">
      <c r="A431" s="134"/>
      <c r="B431" s="13"/>
      <c r="C431" s="13"/>
      <c r="D431" s="13"/>
      <c r="E431" s="13"/>
      <c r="F431" s="13"/>
      <c r="G431" s="13"/>
      <c r="H431" s="13"/>
      <c r="I431" s="13"/>
      <c r="J431" s="13"/>
      <c r="K431" s="13"/>
    </row>
  </sheetData>
  <mergeCells count="31">
    <mergeCell ref="A4:P4"/>
    <mergeCell ref="A1:I1"/>
    <mergeCell ref="K1:P1"/>
    <mergeCell ref="A2:I2"/>
    <mergeCell ref="K2:P2"/>
    <mergeCell ref="A3:P3"/>
    <mergeCell ref="A5:P5"/>
    <mergeCell ref="A6:P6"/>
    <mergeCell ref="A7:P7"/>
    <mergeCell ref="A8:A11"/>
    <mergeCell ref="B8:B11"/>
    <mergeCell ref="C8:C11"/>
    <mergeCell ref="D8:D11"/>
    <mergeCell ref="E8:H8"/>
    <mergeCell ref="I8:K8"/>
    <mergeCell ref="L8:L11"/>
    <mergeCell ref="M8:O8"/>
    <mergeCell ref="P8:P11"/>
    <mergeCell ref="E9:E11"/>
    <mergeCell ref="F9:H9"/>
    <mergeCell ref="I9:I11"/>
    <mergeCell ref="J9:K9"/>
    <mergeCell ref="B46:H46"/>
    <mergeCell ref="M9:M11"/>
    <mergeCell ref="N9:O9"/>
    <mergeCell ref="F10:F11"/>
    <mergeCell ref="G10:H10"/>
    <mergeCell ref="J10:J11"/>
    <mergeCell ref="K10:K11"/>
    <mergeCell ref="N10:N11"/>
    <mergeCell ref="O10:O11"/>
  </mergeCells>
  <printOptions horizontalCentered="1"/>
  <pageMargins left="0.25" right="0.25" top="0.75" bottom="0.75" header="0.3" footer="0.3"/>
  <pageSetup paperSize="9" scale="57" fitToHeight="0" orientation="landscape" useFirstPageNumber="1" r:id="rId1"/>
  <headerFooter scaleWithDoc="0">
    <oddFooter>&amp;R&amp;P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000"/>
    <pageSetUpPr fitToPage="1"/>
  </sheetPr>
  <dimension ref="A1:P430"/>
  <sheetViews>
    <sheetView zoomScalePageLayoutView="50" workbookViewId="0">
      <selection activeCell="A2" sqref="A2:H2"/>
    </sheetView>
  </sheetViews>
  <sheetFormatPr defaultColWidth="9.140625" defaultRowHeight="18.75"/>
  <cols>
    <col min="1" max="1" width="5.140625" style="137" customWidth="1"/>
    <col min="2" max="2" width="32.42578125" style="41" customWidth="1"/>
    <col min="3" max="3" width="13.42578125" style="44" customWidth="1"/>
    <col min="4" max="4" width="13.7109375" style="44" customWidth="1"/>
    <col min="5" max="5" width="16.140625" style="44" customWidth="1"/>
    <col min="6" max="6" width="15.7109375" style="3" customWidth="1"/>
    <col min="7" max="7" width="11.7109375" style="3" customWidth="1"/>
    <col min="8" max="8" width="14.7109375" style="3" customWidth="1"/>
    <col min="9" max="10" width="15.42578125" style="3" customWidth="1"/>
    <col min="11" max="11" width="18.28515625" style="13" customWidth="1"/>
    <col min="12" max="12" width="14.7109375" style="13" customWidth="1"/>
    <col min="13" max="15" width="15.42578125" style="13" customWidth="1"/>
    <col min="16" max="17" width="13.7109375" style="13" customWidth="1"/>
    <col min="18" max="19" width="15.28515625" style="13" customWidth="1"/>
    <col min="20" max="16384" width="9.140625" style="13"/>
  </cols>
  <sheetData>
    <row r="1" spans="1:16" ht="28.9" customHeight="1">
      <c r="A1" s="1728" t="s">
        <v>270</v>
      </c>
      <c r="B1" s="1728"/>
      <c r="C1" s="1728"/>
      <c r="D1" s="1728"/>
      <c r="E1" s="1728"/>
      <c r="F1" s="1728"/>
      <c r="G1" s="1728"/>
      <c r="H1" s="1728"/>
      <c r="I1" s="190"/>
      <c r="J1" s="1831" t="s">
        <v>0</v>
      </c>
      <c r="K1" s="1831"/>
      <c r="L1" s="1831"/>
      <c r="M1" s="1831"/>
      <c r="N1" s="1831"/>
      <c r="O1" s="1831"/>
      <c r="P1" s="139"/>
    </row>
    <row r="2" spans="1:16" ht="30" customHeight="1">
      <c r="A2" s="1821" t="s">
        <v>1</v>
      </c>
      <c r="B2" s="1821"/>
      <c r="C2" s="1821"/>
      <c r="D2" s="1821"/>
      <c r="E2" s="1821"/>
      <c r="F2" s="1821"/>
      <c r="G2" s="1821"/>
      <c r="H2" s="1821"/>
      <c r="I2" s="191"/>
      <c r="J2" s="1832" t="s">
        <v>2</v>
      </c>
      <c r="K2" s="1832"/>
      <c r="L2" s="1832"/>
      <c r="M2" s="1832"/>
      <c r="N2" s="1832"/>
      <c r="O2" s="1832"/>
      <c r="P2" s="142"/>
    </row>
    <row r="3" spans="1:16" s="14" customFormat="1" ht="42" customHeight="1">
      <c r="A3" s="1783" t="s">
        <v>157</v>
      </c>
      <c r="B3" s="1783"/>
      <c r="C3" s="1783"/>
      <c r="D3" s="1783"/>
      <c r="E3" s="1783"/>
      <c r="F3" s="1783"/>
      <c r="G3" s="1783"/>
      <c r="H3" s="1783"/>
      <c r="I3" s="1783"/>
      <c r="J3" s="1783"/>
      <c r="K3" s="1783"/>
      <c r="L3" s="1783"/>
      <c r="M3" s="1783"/>
      <c r="N3" s="1783"/>
      <c r="O3" s="1783"/>
    </row>
    <row r="4" spans="1:16" s="14" customFormat="1" ht="32.25" customHeight="1">
      <c r="A4" s="1838" t="s">
        <v>196</v>
      </c>
      <c r="B4" s="1838"/>
      <c r="C4" s="1838"/>
      <c r="D4" s="1838"/>
      <c r="E4" s="1838"/>
      <c r="F4" s="1838"/>
      <c r="G4" s="1838"/>
      <c r="H4" s="1838"/>
      <c r="I4" s="1838"/>
      <c r="J4" s="1838"/>
      <c r="K4" s="1838"/>
      <c r="L4" s="1838"/>
      <c r="M4" s="1838"/>
      <c r="N4" s="1838"/>
      <c r="O4" s="1838"/>
    </row>
    <row r="5" spans="1:16" ht="45.75" customHeight="1">
      <c r="A5" s="1728" t="s">
        <v>271</v>
      </c>
      <c r="B5" s="1728"/>
      <c r="C5" s="1728"/>
      <c r="D5" s="1728"/>
      <c r="E5" s="1728"/>
      <c r="F5" s="1728"/>
      <c r="G5" s="1728"/>
      <c r="H5" s="1728"/>
      <c r="I5" s="1728"/>
      <c r="J5" s="1728"/>
      <c r="K5" s="1728"/>
      <c r="L5" s="1728"/>
      <c r="M5" s="1728"/>
      <c r="N5" s="1728"/>
      <c r="O5" s="1728"/>
    </row>
    <row r="6" spans="1:16" s="15" customFormat="1" ht="35.65" customHeight="1">
      <c r="A6" s="1836" t="s">
        <v>3</v>
      </c>
      <c r="B6" s="1836"/>
      <c r="C6" s="1836"/>
      <c r="D6" s="1836"/>
      <c r="E6" s="1836"/>
      <c r="F6" s="1836"/>
      <c r="G6" s="1836"/>
      <c r="H6" s="1836"/>
      <c r="I6" s="1836"/>
      <c r="J6" s="1836"/>
      <c r="K6" s="1836"/>
      <c r="L6" s="1836"/>
      <c r="M6" s="1836"/>
      <c r="N6" s="1836"/>
      <c r="O6" s="1836"/>
    </row>
    <row r="7" spans="1:16" s="18" customFormat="1" ht="58.5" customHeight="1">
      <c r="A7" s="1837" t="s">
        <v>22</v>
      </c>
      <c r="B7" s="1741" t="s">
        <v>23</v>
      </c>
      <c r="C7" s="1741" t="s">
        <v>24</v>
      </c>
      <c r="D7" s="1741" t="s">
        <v>26</v>
      </c>
      <c r="E7" s="1738" t="s">
        <v>27</v>
      </c>
      <c r="F7" s="1739"/>
      <c r="G7" s="1740"/>
      <c r="H7" s="1752" t="s">
        <v>272</v>
      </c>
      <c r="I7" s="1752"/>
      <c r="J7" s="1753"/>
      <c r="K7" s="1735" t="s">
        <v>273</v>
      </c>
      <c r="L7" s="1751" t="s">
        <v>274</v>
      </c>
      <c r="M7" s="1752"/>
      <c r="N7" s="1753"/>
      <c r="O7" s="1741" t="s">
        <v>7</v>
      </c>
    </row>
    <row r="8" spans="1:16" s="18" customFormat="1" ht="36" customHeight="1">
      <c r="A8" s="1837"/>
      <c r="B8" s="1741"/>
      <c r="C8" s="1741"/>
      <c r="D8" s="1741"/>
      <c r="E8" s="1743" t="s">
        <v>213</v>
      </c>
      <c r="F8" s="1743" t="s">
        <v>31</v>
      </c>
      <c r="G8" s="1743"/>
      <c r="H8" s="1741" t="s">
        <v>9</v>
      </c>
      <c r="I8" s="1741" t="s">
        <v>14</v>
      </c>
      <c r="J8" s="1741"/>
      <c r="K8" s="1736"/>
      <c r="L8" s="1741" t="s">
        <v>9</v>
      </c>
      <c r="M8" s="1751" t="s">
        <v>14</v>
      </c>
      <c r="N8" s="1752"/>
      <c r="O8" s="1741"/>
    </row>
    <row r="9" spans="1:16" s="18" customFormat="1" ht="36" customHeight="1">
      <c r="A9" s="1837"/>
      <c r="B9" s="1741"/>
      <c r="C9" s="1741"/>
      <c r="D9" s="1741"/>
      <c r="E9" s="1743"/>
      <c r="F9" s="1743" t="s">
        <v>214</v>
      </c>
      <c r="G9" s="1754" t="s">
        <v>275</v>
      </c>
      <c r="H9" s="1741"/>
      <c r="I9" s="1741" t="s">
        <v>197</v>
      </c>
      <c r="J9" s="1741" t="s">
        <v>198</v>
      </c>
      <c r="K9" s="1736"/>
      <c r="L9" s="1741"/>
      <c r="M9" s="1741" t="s">
        <v>197</v>
      </c>
      <c r="N9" s="1751" t="s">
        <v>198</v>
      </c>
      <c r="O9" s="1741"/>
    </row>
    <row r="10" spans="1:16" s="18" customFormat="1" ht="44.25" customHeight="1">
      <c r="A10" s="1837"/>
      <c r="B10" s="1741"/>
      <c r="C10" s="1741"/>
      <c r="D10" s="1741"/>
      <c r="E10" s="1743"/>
      <c r="F10" s="1834"/>
      <c r="G10" s="1756"/>
      <c r="H10" s="1741"/>
      <c r="I10" s="1741"/>
      <c r="J10" s="1741"/>
      <c r="K10" s="1737"/>
      <c r="L10" s="1741"/>
      <c r="M10" s="1741"/>
      <c r="N10" s="1751"/>
      <c r="O10" s="1741"/>
    </row>
    <row r="11" spans="1:16" s="20" customFormat="1" ht="26.25" customHeight="1">
      <c r="A11" s="194">
        <v>1</v>
      </c>
      <c r="B11" s="19">
        <v>2</v>
      </c>
      <c r="C11" s="194">
        <v>3</v>
      </c>
      <c r="D11" s="19">
        <v>4</v>
      </c>
      <c r="E11" s="194">
        <v>5</v>
      </c>
      <c r="F11" s="19">
        <v>6</v>
      </c>
      <c r="G11" s="194">
        <v>7</v>
      </c>
      <c r="H11" s="19">
        <v>8</v>
      </c>
      <c r="I11" s="194">
        <v>9</v>
      </c>
      <c r="J11" s="19">
        <v>10</v>
      </c>
      <c r="K11" s="194">
        <v>11</v>
      </c>
      <c r="L11" s="19">
        <v>12</v>
      </c>
      <c r="M11" s="194">
        <v>13</v>
      </c>
      <c r="N11" s="19">
        <v>14</v>
      </c>
      <c r="O11" s="194">
        <v>15</v>
      </c>
    </row>
    <row r="12" spans="1:16" s="20" customFormat="1" ht="34.5" customHeight="1">
      <c r="A12" s="194"/>
      <c r="B12" s="21" t="s">
        <v>13</v>
      </c>
      <c r="C12" s="194"/>
      <c r="D12" s="19"/>
      <c r="E12" s="194"/>
      <c r="F12" s="19"/>
      <c r="G12" s="194"/>
      <c r="H12" s="194"/>
      <c r="I12" s="194"/>
      <c r="J12" s="194"/>
      <c r="K12" s="194"/>
      <c r="L12" s="194"/>
      <c r="M12" s="194"/>
      <c r="N12" s="194"/>
      <c r="O12" s="194"/>
    </row>
    <row r="13" spans="1:16" s="20" customFormat="1" ht="36" customHeight="1">
      <c r="A13" s="22" t="s">
        <v>33</v>
      </c>
      <c r="B13" s="23" t="s">
        <v>217</v>
      </c>
      <c r="C13" s="19"/>
      <c r="D13" s="19"/>
      <c r="E13" s="19"/>
      <c r="F13" s="19"/>
      <c r="G13" s="19"/>
      <c r="H13" s="19"/>
      <c r="I13" s="19"/>
      <c r="J13" s="19"/>
      <c r="K13" s="193"/>
      <c r="L13" s="193"/>
      <c r="M13" s="193"/>
      <c r="N13" s="193"/>
      <c r="O13" s="193"/>
    </row>
    <row r="14" spans="1:16" s="20" customFormat="1" ht="29.25" customHeight="1">
      <c r="A14" s="22" t="s">
        <v>38</v>
      </c>
      <c r="B14" s="23" t="s">
        <v>170</v>
      </c>
      <c r="C14" s="19"/>
      <c r="D14" s="19"/>
      <c r="E14" s="19"/>
      <c r="F14" s="19"/>
      <c r="G14" s="19"/>
      <c r="H14" s="19"/>
      <c r="I14" s="19"/>
      <c r="J14" s="19"/>
      <c r="K14" s="193"/>
      <c r="L14" s="193"/>
      <c r="M14" s="193"/>
      <c r="N14" s="193"/>
      <c r="O14" s="193"/>
    </row>
    <row r="15" spans="1:16" s="20" customFormat="1" ht="29.25" customHeight="1">
      <c r="A15" s="30" t="s">
        <v>34</v>
      </c>
      <c r="B15" s="31" t="s">
        <v>39</v>
      </c>
      <c r="C15" s="19"/>
      <c r="D15" s="19"/>
      <c r="E15" s="19"/>
      <c r="F15" s="19"/>
      <c r="G15" s="19"/>
      <c r="H15" s="19"/>
      <c r="I15" s="19"/>
      <c r="J15" s="19"/>
      <c r="K15" s="193"/>
      <c r="L15" s="193"/>
      <c r="M15" s="193"/>
      <c r="N15" s="193"/>
      <c r="O15" s="193"/>
    </row>
    <row r="16" spans="1:16" s="20" customFormat="1" ht="29.25" customHeight="1">
      <c r="A16" s="30" t="s">
        <v>41</v>
      </c>
      <c r="B16" s="32" t="s">
        <v>42</v>
      </c>
      <c r="C16" s="19"/>
      <c r="D16" s="19"/>
      <c r="E16" s="19"/>
      <c r="F16" s="19"/>
      <c r="G16" s="19"/>
      <c r="H16" s="19"/>
      <c r="I16" s="19"/>
      <c r="J16" s="19"/>
      <c r="K16" s="193"/>
      <c r="L16" s="193"/>
      <c r="M16" s="193"/>
      <c r="N16" s="193"/>
      <c r="O16" s="193"/>
    </row>
    <row r="17" spans="1:15" s="20" customFormat="1" ht="29.25" customHeight="1">
      <c r="A17" s="22" t="s">
        <v>40</v>
      </c>
      <c r="B17" s="23" t="s">
        <v>171</v>
      </c>
      <c r="C17" s="19"/>
      <c r="D17" s="19"/>
      <c r="E17" s="19"/>
      <c r="F17" s="19"/>
      <c r="G17" s="19"/>
      <c r="H17" s="19"/>
      <c r="I17" s="19"/>
      <c r="J17" s="19"/>
      <c r="K17" s="193"/>
      <c r="L17" s="193"/>
      <c r="M17" s="193"/>
      <c r="N17" s="193"/>
      <c r="O17" s="193"/>
    </row>
    <row r="18" spans="1:15" s="20" customFormat="1" ht="61.5" customHeight="1">
      <c r="A18" s="22" t="s">
        <v>199</v>
      </c>
      <c r="B18" s="27" t="s">
        <v>200</v>
      </c>
      <c r="C18" s="19"/>
      <c r="D18" s="19"/>
      <c r="E18" s="19"/>
      <c r="F18" s="19"/>
      <c r="G18" s="19"/>
      <c r="H18" s="19"/>
      <c r="I18" s="19"/>
      <c r="J18" s="19"/>
      <c r="K18" s="193"/>
      <c r="L18" s="193"/>
      <c r="M18" s="193"/>
      <c r="N18" s="193"/>
      <c r="O18" s="193"/>
    </row>
    <row r="19" spans="1:15" s="20" customFormat="1" ht="32.25" customHeight="1">
      <c r="A19" s="30" t="s">
        <v>34</v>
      </c>
      <c r="B19" s="31" t="s">
        <v>39</v>
      </c>
      <c r="C19" s="19"/>
      <c r="D19" s="19"/>
      <c r="E19" s="19"/>
      <c r="F19" s="19"/>
      <c r="G19" s="19"/>
      <c r="H19" s="19"/>
      <c r="I19" s="19"/>
      <c r="J19" s="19"/>
      <c r="K19" s="193"/>
      <c r="L19" s="193"/>
      <c r="M19" s="193"/>
      <c r="N19" s="193"/>
      <c r="O19" s="193"/>
    </row>
    <row r="20" spans="1:15" s="20" customFormat="1" ht="32.25" customHeight="1">
      <c r="A20" s="30" t="s">
        <v>41</v>
      </c>
      <c r="B20" s="32" t="s">
        <v>42</v>
      </c>
      <c r="C20" s="19"/>
      <c r="D20" s="19"/>
      <c r="E20" s="19"/>
      <c r="F20" s="19"/>
      <c r="G20" s="19"/>
      <c r="H20" s="19"/>
      <c r="I20" s="19"/>
      <c r="J20" s="19"/>
      <c r="K20" s="193"/>
      <c r="L20" s="193"/>
      <c r="M20" s="193"/>
      <c r="N20" s="193"/>
      <c r="O20" s="193"/>
    </row>
    <row r="21" spans="1:15" ht="37.5">
      <c r="A21" s="22" t="s">
        <v>201</v>
      </c>
      <c r="B21" s="27" t="s">
        <v>202</v>
      </c>
      <c r="C21" s="34"/>
      <c r="D21" s="34"/>
      <c r="E21" s="34"/>
      <c r="F21" s="35"/>
      <c r="G21" s="35"/>
      <c r="H21" s="35"/>
      <c r="I21" s="35"/>
      <c r="J21" s="35"/>
      <c r="K21" s="48"/>
      <c r="L21" s="48"/>
      <c r="M21" s="48"/>
      <c r="N21" s="48"/>
      <c r="O21" s="48"/>
    </row>
    <row r="22" spans="1:15" s="26" customFormat="1" ht="36.75" customHeight="1">
      <c r="A22" s="30" t="s">
        <v>34</v>
      </c>
      <c r="B22" s="31" t="s">
        <v>39</v>
      </c>
      <c r="C22" s="24"/>
      <c r="D22" s="24"/>
      <c r="E22" s="24"/>
      <c r="F22" s="25"/>
      <c r="G22" s="25"/>
      <c r="H22" s="25"/>
      <c r="I22" s="25"/>
      <c r="J22" s="25"/>
      <c r="K22" s="195"/>
      <c r="L22" s="195"/>
      <c r="M22" s="195"/>
      <c r="N22" s="195"/>
      <c r="O22" s="195"/>
    </row>
    <row r="23" spans="1:15" ht="36.75" customHeight="1">
      <c r="A23" s="30" t="s">
        <v>41</v>
      </c>
      <c r="B23" s="32" t="s">
        <v>42</v>
      </c>
      <c r="C23" s="34"/>
      <c r="D23" s="34"/>
      <c r="E23" s="34"/>
      <c r="F23" s="35"/>
      <c r="G23" s="35"/>
      <c r="H23" s="35"/>
      <c r="I23" s="35"/>
      <c r="J23" s="35"/>
      <c r="K23" s="48"/>
      <c r="L23" s="48"/>
      <c r="M23" s="48"/>
      <c r="N23" s="48"/>
      <c r="O23" s="48"/>
    </row>
    <row r="24" spans="1:15" ht="37.5">
      <c r="A24" s="22" t="s">
        <v>203</v>
      </c>
      <c r="B24" s="27" t="s">
        <v>218</v>
      </c>
      <c r="C24" s="34"/>
      <c r="D24" s="34"/>
      <c r="E24" s="34"/>
      <c r="F24" s="35"/>
      <c r="G24" s="35"/>
      <c r="H24" s="35"/>
      <c r="I24" s="35"/>
      <c r="J24" s="35"/>
      <c r="K24" s="48"/>
      <c r="L24" s="48"/>
      <c r="M24" s="48"/>
      <c r="N24" s="48"/>
      <c r="O24" s="48"/>
    </row>
    <row r="25" spans="1:15" s="26" customFormat="1" ht="32.25" customHeight="1">
      <c r="A25" s="30" t="s">
        <v>34</v>
      </c>
      <c r="B25" s="31" t="s">
        <v>39</v>
      </c>
      <c r="C25" s="24"/>
      <c r="D25" s="24"/>
      <c r="E25" s="24"/>
      <c r="F25" s="25"/>
      <c r="G25" s="25"/>
      <c r="H25" s="25"/>
      <c r="I25" s="25"/>
      <c r="J25" s="25"/>
      <c r="K25" s="195"/>
      <c r="L25" s="195"/>
      <c r="M25" s="195"/>
      <c r="N25" s="195"/>
      <c r="O25" s="195"/>
    </row>
    <row r="26" spans="1:15" ht="32.25" customHeight="1">
      <c r="A26" s="30"/>
      <c r="B26" s="32" t="s">
        <v>219</v>
      </c>
      <c r="C26" s="34"/>
      <c r="D26" s="34"/>
      <c r="E26" s="34"/>
      <c r="F26" s="35"/>
      <c r="G26" s="35"/>
      <c r="H26" s="35"/>
      <c r="I26" s="35"/>
      <c r="J26" s="35"/>
      <c r="K26" s="48"/>
      <c r="L26" s="48"/>
      <c r="M26" s="48"/>
      <c r="N26" s="48"/>
      <c r="O26" s="48"/>
    </row>
    <row r="27" spans="1:15" ht="47.25" customHeight="1">
      <c r="A27" s="22" t="s">
        <v>204</v>
      </c>
      <c r="B27" s="27" t="s">
        <v>205</v>
      </c>
      <c r="C27" s="34"/>
      <c r="D27" s="34"/>
      <c r="E27" s="34"/>
      <c r="F27" s="35"/>
      <c r="G27" s="35"/>
      <c r="H27" s="35"/>
      <c r="I27" s="35"/>
      <c r="J27" s="35"/>
      <c r="K27" s="48"/>
      <c r="L27" s="48"/>
      <c r="M27" s="48"/>
      <c r="N27" s="48"/>
      <c r="O27" s="48"/>
    </row>
    <row r="28" spans="1:15" ht="39" customHeight="1">
      <c r="A28" s="30" t="s">
        <v>34</v>
      </c>
      <c r="B28" s="31" t="s">
        <v>39</v>
      </c>
      <c r="C28" s="34"/>
      <c r="D28" s="34"/>
      <c r="E28" s="34"/>
      <c r="F28" s="35"/>
      <c r="G28" s="35"/>
      <c r="H28" s="35"/>
      <c r="I28" s="35"/>
      <c r="J28" s="35"/>
      <c r="K28" s="48"/>
      <c r="L28" s="48"/>
      <c r="M28" s="48"/>
      <c r="N28" s="48"/>
      <c r="O28" s="48"/>
    </row>
    <row r="29" spans="1:15" ht="33.75" customHeight="1">
      <c r="A29" s="30"/>
      <c r="B29" s="31" t="s">
        <v>220</v>
      </c>
      <c r="C29" s="34"/>
      <c r="D29" s="34"/>
      <c r="E29" s="34"/>
      <c r="F29" s="35"/>
      <c r="G29" s="35"/>
      <c r="H29" s="35"/>
      <c r="I29" s="35"/>
      <c r="J29" s="35"/>
      <c r="K29" s="48"/>
      <c r="L29" s="48"/>
      <c r="M29" s="48"/>
      <c r="N29" s="48"/>
      <c r="O29" s="48"/>
    </row>
    <row r="30" spans="1:15" ht="56.25">
      <c r="A30" s="22" t="s">
        <v>206</v>
      </c>
      <c r="B30" s="27" t="s">
        <v>207</v>
      </c>
      <c r="C30" s="34"/>
      <c r="D30" s="34"/>
      <c r="E30" s="34"/>
      <c r="F30" s="35"/>
      <c r="G30" s="35"/>
      <c r="H30" s="35"/>
      <c r="I30" s="35"/>
      <c r="J30" s="35"/>
      <c r="K30" s="48"/>
      <c r="L30" s="48"/>
      <c r="M30" s="48"/>
      <c r="N30" s="48"/>
      <c r="O30" s="48"/>
    </row>
    <row r="31" spans="1:15" s="26" customFormat="1" ht="53.25" customHeight="1">
      <c r="A31" s="30" t="s">
        <v>34</v>
      </c>
      <c r="B31" s="31" t="s">
        <v>39</v>
      </c>
      <c r="C31" s="24"/>
      <c r="D31" s="24"/>
      <c r="E31" s="24"/>
      <c r="F31" s="25"/>
      <c r="G31" s="25"/>
      <c r="H31" s="25"/>
      <c r="I31" s="25"/>
      <c r="J31" s="25"/>
      <c r="K31" s="195"/>
      <c r="L31" s="195"/>
      <c r="M31" s="195"/>
      <c r="N31" s="195"/>
      <c r="O31" s="195"/>
    </row>
    <row r="32" spans="1:15" ht="37.5" customHeight="1">
      <c r="A32" s="30"/>
      <c r="B32" s="31" t="s">
        <v>220</v>
      </c>
      <c r="C32" s="34"/>
      <c r="D32" s="34"/>
      <c r="E32" s="34"/>
      <c r="F32" s="35"/>
      <c r="G32" s="35"/>
      <c r="H32" s="35"/>
      <c r="I32" s="35"/>
      <c r="J32" s="35"/>
      <c r="K32" s="48"/>
      <c r="L32" s="48"/>
      <c r="M32" s="48"/>
      <c r="N32" s="48"/>
      <c r="O32" s="48"/>
    </row>
    <row r="33" spans="1:15" ht="39" customHeight="1">
      <c r="A33" s="22" t="s">
        <v>49</v>
      </c>
      <c r="B33" s="23" t="s">
        <v>221</v>
      </c>
      <c r="C33" s="34"/>
      <c r="D33" s="34"/>
      <c r="E33" s="34"/>
      <c r="F33" s="35"/>
      <c r="G33" s="35"/>
      <c r="H33" s="35"/>
      <c r="I33" s="35"/>
      <c r="J33" s="35"/>
      <c r="K33" s="48"/>
      <c r="L33" s="48"/>
      <c r="M33" s="48"/>
      <c r="N33" s="48"/>
      <c r="O33" s="48"/>
    </row>
    <row r="34" spans="1:15" s="26" customFormat="1" ht="38.25" customHeight="1">
      <c r="A34" s="30"/>
      <c r="B34" s="27" t="s">
        <v>222</v>
      </c>
      <c r="C34" s="24"/>
      <c r="D34" s="24"/>
      <c r="E34" s="24"/>
      <c r="F34" s="25"/>
      <c r="G34" s="25"/>
      <c r="H34" s="25"/>
      <c r="I34" s="25"/>
      <c r="J34" s="25"/>
      <c r="K34" s="195"/>
      <c r="L34" s="195"/>
      <c r="M34" s="195"/>
      <c r="N34" s="195"/>
      <c r="O34" s="195"/>
    </row>
    <row r="35" spans="1:15" ht="30" customHeight="1">
      <c r="A35" s="131"/>
      <c r="B35" s="173"/>
      <c r="C35" s="38"/>
      <c r="D35" s="38"/>
      <c r="E35" s="38"/>
      <c r="F35" s="39"/>
      <c r="G35" s="39"/>
      <c r="H35" s="39"/>
      <c r="I35" s="39"/>
      <c r="J35" s="39"/>
    </row>
    <row r="36" spans="1:15" ht="30" customHeight="1">
      <c r="A36" s="131"/>
      <c r="B36" s="173" t="s">
        <v>19</v>
      </c>
      <c r="C36" s="38"/>
      <c r="D36" s="38"/>
      <c r="E36" s="38"/>
      <c r="F36" s="39"/>
      <c r="G36" s="39"/>
      <c r="H36" s="39"/>
      <c r="I36" s="39"/>
      <c r="J36" s="39"/>
    </row>
    <row r="37" spans="1:15" ht="30" customHeight="1">
      <c r="A37" s="131"/>
      <c r="B37" s="174" t="s">
        <v>276</v>
      </c>
      <c r="C37" s="38"/>
      <c r="D37" s="38"/>
      <c r="E37" s="38"/>
      <c r="F37" s="39"/>
      <c r="G37" s="39"/>
      <c r="H37" s="39"/>
      <c r="I37" s="39"/>
      <c r="J37" s="39"/>
    </row>
    <row r="38" spans="1:15" ht="30" customHeight="1">
      <c r="A38" s="131"/>
      <c r="B38" s="174" t="s">
        <v>277</v>
      </c>
      <c r="C38" s="38"/>
      <c r="D38" s="38"/>
      <c r="E38" s="38"/>
      <c r="F38" s="39"/>
      <c r="G38" s="39"/>
      <c r="H38" s="39"/>
      <c r="I38" s="39"/>
      <c r="J38" s="39"/>
    </row>
    <row r="39" spans="1:15" ht="30" customHeight="1">
      <c r="A39" s="131"/>
      <c r="B39" s="37"/>
      <c r="C39" s="38"/>
      <c r="D39" s="38"/>
      <c r="E39" s="38"/>
      <c r="F39" s="39"/>
      <c r="G39" s="39"/>
      <c r="H39" s="39"/>
      <c r="I39" s="39"/>
      <c r="J39" s="39"/>
    </row>
    <row r="40" spans="1:15" ht="30" customHeight="1">
      <c r="A40" s="131"/>
      <c r="B40" s="37"/>
      <c r="C40" s="38"/>
      <c r="D40" s="38"/>
      <c r="E40" s="38"/>
      <c r="F40" s="39"/>
      <c r="G40" s="39"/>
      <c r="H40" s="39"/>
      <c r="I40" s="39"/>
      <c r="J40" s="39"/>
    </row>
    <row r="41" spans="1:15" ht="30" customHeight="1">
      <c r="A41" s="131"/>
      <c r="B41" s="37"/>
      <c r="C41" s="38"/>
      <c r="D41" s="38"/>
      <c r="E41" s="38"/>
      <c r="F41" s="39"/>
      <c r="G41" s="39"/>
      <c r="H41" s="39"/>
      <c r="I41" s="39"/>
      <c r="J41" s="39"/>
    </row>
    <row r="42" spans="1:15" ht="30" customHeight="1">
      <c r="A42" s="131"/>
      <c r="B42" s="37"/>
      <c r="C42" s="38"/>
      <c r="D42" s="38"/>
      <c r="E42" s="38"/>
      <c r="F42" s="39"/>
      <c r="G42" s="39"/>
      <c r="H42" s="39"/>
      <c r="I42" s="39"/>
      <c r="J42" s="39"/>
    </row>
    <row r="43" spans="1:15" ht="30" customHeight="1">
      <c r="A43" s="131"/>
      <c r="B43" s="37"/>
      <c r="C43" s="38"/>
      <c r="D43" s="38"/>
      <c r="E43" s="38"/>
      <c r="F43" s="39"/>
      <c r="G43" s="39"/>
      <c r="H43" s="39"/>
      <c r="I43" s="39"/>
      <c r="J43" s="39"/>
    </row>
    <row r="44" spans="1:15" ht="30" customHeight="1">
      <c r="A44" s="131"/>
      <c r="B44" s="37"/>
      <c r="C44" s="38"/>
      <c r="D44" s="38"/>
      <c r="E44" s="38"/>
      <c r="F44" s="39"/>
      <c r="G44" s="39"/>
      <c r="H44" s="39"/>
      <c r="I44" s="39"/>
      <c r="J44" s="39"/>
    </row>
    <row r="45" spans="1:15" ht="30" customHeight="1">
      <c r="B45" s="1814"/>
      <c r="C45" s="1814"/>
      <c r="D45" s="1814"/>
      <c r="E45" s="1814"/>
      <c r="F45" s="1814"/>
      <c r="G45" s="1814"/>
      <c r="H45" s="138"/>
      <c r="I45" s="138"/>
      <c r="J45" s="138"/>
    </row>
    <row r="46" spans="1:15" ht="19.899999999999999" customHeight="1"/>
    <row r="47" spans="1:15" s="26" customFormat="1" ht="25.5" customHeight="1">
      <c r="A47" s="196"/>
      <c r="B47" s="61" t="s">
        <v>223</v>
      </c>
      <c r="C47" s="196"/>
      <c r="D47" s="196"/>
      <c r="E47" s="196"/>
      <c r="F47" s="60"/>
      <c r="G47" s="60"/>
    </row>
    <row r="48" spans="1:15" s="134" customFormat="1" ht="25.5" customHeight="1">
      <c r="A48" s="131"/>
      <c r="B48" s="197" t="s">
        <v>224</v>
      </c>
      <c r="C48" s="131"/>
      <c r="D48" s="131"/>
      <c r="E48" s="131"/>
      <c r="F48" s="198"/>
      <c r="G48" s="198"/>
    </row>
    <row r="49" spans="1:7" s="134" customFormat="1" ht="25.5" customHeight="1">
      <c r="A49" s="131"/>
      <c r="B49" s="136" t="s">
        <v>225</v>
      </c>
      <c r="C49" s="131"/>
      <c r="D49" s="131"/>
      <c r="E49" s="131"/>
      <c r="F49" s="198"/>
      <c r="G49" s="198"/>
    </row>
    <row r="50" spans="1:7" s="134" customFormat="1" ht="25.5" customHeight="1">
      <c r="A50" s="131"/>
      <c r="B50" s="136" t="s">
        <v>226</v>
      </c>
      <c r="C50" s="131"/>
      <c r="D50" s="131"/>
      <c r="E50" s="131"/>
      <c r="F50" s="198"/>
      <c r="G50" s="198"/>
    </row>
    <row r="51" spans="1:7" s="134" customFormat="1" ht="25.5" customHeight="1">
      <c r="A51" s="131"/>
      <c r="B51" s="136" t="s">
        <v>227</v>
      </c>
      <c r="C51" s="131"/>
      <c r="D51" s="131"/>
      <c r="E51" s="131"/>
      <c r="F51" s="198"/>
      <c r="G51" s="198"/>
    </row>
    <row r="52" spans="1:7" s="134" customFormat="1" ht="25.5" customHeight="1">
      <c r="A52" s="131"/>
      <c r="B52" s="136" t="s">
        <v>228</v>
      </c>
      <c r="C52" s="131"/>
      <c r="D52" s="131"/>
      <c r="E52" s="131"/>
      <c r="F52" s="198"/>
      <c r="G52" s="198"/>
    </row>
    <row r="53" spans="1:7" s="134" customFormat="1" ht="25.5" customHeight="1">
      <c r="A53" s="137"/>
      <c r="B53" s="134" t="s">
        <v>229</v>
      </c>
    </row>
    <row r="54" spans="1:7" s="134" customFormat="1" ht="25.5" customHeight="1">
      <c r="A54" s="137"/>
      <c r="B54" s="134" t="s">
        <v>230</v>
      </c>
      <c r="C54" s="137"/>
      <c r="D54" s="137"/>
      <c r="E54" s="137"/>
      <c r="F54" s="199"/>
      <c r="G54" s="199"/>
    </row>
    <row r="55" spans="1:7" s="134" customFormat="1" ht="25.5" customHeight="1">
      <c r="A55" s="137"/>
      <c r="B55" s="134" t="s">
        <v>231</v>
      </c>
      <c r="C55" s="137"/>
      <c r="D55" s="137"/>
      <c r="E55" s="137"/>
      <c r="F55" s="199"/>
      <c r="G55" s="199"/>
    </row>
    <row r="56" spans="1:7" s="134" customFormat="1" ht="25.5" customHeight="1">
      <c r="A56" s="137"/>
      <c r="B56" s="134" t="s">
        <v>232</v>
      </c>
      <c r="C56" s="137"/>
      <c r="D56" s="137"/>
      <c r="E56" s="137"/>
      <c r="F56" s="199"/>
      <c r="G56" s="199"/>
    </row>
    <row r="57" spans="1:7" s="134" customFormat="1" ht="25.5" customHeight="1">
      <c r="A57" s="137"/>
      <c r="B57" s="134" t="s">
        <v>233</v>
      </c>
      <c r="C57" s="137"/>
      <c r="D57" s="137"/>
      <c r="E57" s="137"/>
      <c r="F57" s="199"/>
      <c r="G57" s="199"/>
    </row>
    <row r="58" spans="1:7" s="134" customFormat="1" ht="25.5" customHeight="1">
      <c r="A58" s="137"/>
      <c r="B58" s="134" t="s">
        <v>234</v>
      </c>
      <c r="C58" s="137"/>
      <c r="D58" s="137"/>
      <c r="E58" s="137"/>
      <c r="F58" s="199"/>
      <c r="G58" s="199"/>
    </row>
    <row r="59" spans="1:7" s="134" customFormat="1" ht="25.5" customHeight="1">
      <c r="A59" s="137"/>
      <c r="B59" s="134" t="s">
        <v>235</v>
      </c>
      <c r="C59" s="137"/>
      <c r="D59" s="137"/>
      <c r="E59" s="137"/>
      <c r="F59" s="199"/>
      <c r="G59" s="199"/>
    </row>
    <row r="60" spans="1:7" s="134" customFormat="1" ht="25.5" customHeight="1">
      <c r="B60" s="134" t="s">
        <v>236</v>
      </c>
    </row>
    <row r="61" spans="1:7" s="134" customFormat="1" ht="25.5" customHeight="1">
      <c r="B61" s="134" t="s">
        <v>237</v>
      </c>
    </row>
    <row r="62" spans="1:7" s="134" customFormat="1" ht="25.5" customHeight="1">
      <c r="B62" s="134" t="s">
        <v>238</v>
      </c>
    </row>
    <row r="63" spans="1:7" s="134" customFormat="1" ht="25.5" customHeight="1">
      <c r="B63" s="134" t="s">
        <v>239</v>
      </c>
    </row>
    <row r="64" spans="1:7" s="134" customFormat="1" ht="25.5" customHeight="1">
      <c r="B64" s="134" t="s">
        <v>240</v>
      </c>
    </row>
    <row r="65" spans="1:7" s="134" customFormat="1" ht="25.5" customHeight="1">
      <c r="B65" s="134" t="s">
        <v>241</v>
      </c>
    </row>
    <row r="66" spans="1:7" s="134" customFormat="1" ht="25.5" customHeight="1">
      <c r="B66" s="134" t="s">
        <v>242</v>
      </c>
    </row>
    <row r="67" spans="1:7" s="134" customFormat="1" ht="25.5" customHeight="1">
      <c r="B67" s="134" t="s">
        <v>243</v>
      </c>
    </row>
    <row r="68" spans="1:7" s="134" customFormat="1" ht="25.5" customHeight="1">
      <c r="B68" s="134" t="s">
        <v>244</v>
      </c>
    </row>
    <row r="69" spans="1:7" s="134" customFormat="1" ht="25.5" customHeight="1">
      <c r="B69" s="134" t="s">
        <v>245</v>
      </c>
    </row>
    <row r="70" spans="1:7" s="134" customFormat="1" ht="25.5" customHeight="1">
      <c r="B70" s="134" t="s">
        <v>246</v>
      </c>
    </row>
    <row r="71" spans="1:7" s="134" customFormat="1" ht="25.5" customHeight="1">
      <c r="A71" s="137"/>
      <c r="B71" s="134" t="s">
        <v>247</v>
      </c>
      <c r="C71" s="137"/>
      <c r="D71" s="137"/>
      <c r="E71" s="137"/>
      <c r="F71" s="199"/>
      <c r="G71" s="199"/>
    </row>
    <row r="72" spans="1:7" s="134" customFormat="1" ht="25.5" customHeight="1">
      <c r="B72" s="134" t="s">
        <v>248</v>
      </c>
    </row>
    <row r="73" spans="1:7" s="134" customFormat="1" ht="25.5" customHeight="1">
      <c r="B73" s="134" t="s">
        <v>249</v>
      </c>
    </row>
    <row r="74" spans="1:7" s="134" customFormat="1" ht="25.5" customHeight="1">
      <c r="B74" s="134" t="s">
        <v>250</v>
      </c>
    </row>
    <row r="75" spans="1:7" s="134" customFormat="1" ht="25.5" customHeight="1">
      <c r="B75" s="134" t="s">
        <v>251</v>
      </c>
    </row>
    <row r="76" spans="1:7" s="134" customFormat="1" ht="25.5" customHeight="1">
      <c r="B76" s="134" t="s">
        <v>252</v>
      </c>
    </row>
    <row r="77" spans="1:7" s="134" customFormat="1" ht="25.5" customHeight="1">
      <c r="B77" s="134" t="s">
        <v>253</v>
      </c>
    </row>
    <row r="78" spans="1:7" s="134" customFormat="1" ht="25.5" customHeight="1">
      <c r="B78" s="134" t="s">
        <v>254</v>
      </c>
    </row>
    <row r="79" spans="1:7" s="134" customFormat="1" ht="25.5" customHeight="1">
      <c r="B79" s="134" t="s">
        <v>255</v>
      </c>
    </row>
    <row r="80" spans="1:7" s="134" customFormat="1" ht="25.5" customHeight="1">
      <c r="B80" s="134" t="s">
        <v>256</v>
      </c>
    </row>
    <row r="81" spans="2:2" s="134" customFormat="1" ht="25.5" customHeight="1">
      <c r="B81" s="134" t="s">
        <v>257</v>
      </c>
    </row>
    <row r="82" spans="2:2" s="134" customFormat="1" ht="25.5" customHeight="1">
      <c r="B82" s="134" t="s">
        <v>258</v>
      </c>
    </row>
    <row r="83" spans="2:2" s="134" customFormat="1" ht="25.5" customHeight="1"/>
    <row r="84" spans="2:2" s="134" customFormat="1" ht="25.5" customHeight="1"/>
    <row r="85" spans="2:2" s="134" customFormat="1" ht="25.5" customHeight="1">
      <c r="B85" s="134" t="s">
        <v>259</v>
      </c>
    </row>
    <row r="86" spans="2:2" s="134" customFormat="1" ht="25.5" customHeight="1">
      <c r="B86" s="134" t="s">
        <v>260</v>
      </c>
    </row>
    <row r="87" spans="2:2" s="134" customFormat="1" ht="25.5" customHeight="1">
      <c r="B87" s="134" t="s">
        <v>261</v>
      </c>
    </row>
    <row r="88" spans="2:2" s="134" customFormat="1" ht="25.5" customHeight="1">
      <c r="B88" s="134" t="s">
        <v>262</v>
      </c>
    </row>
    <row r="89" spans="2:2" s="134" customFormat="1" ht="25.5" customHeight="1">
      <c r="B89" s="134" t="s">
        <v>263</v>
      </c>
    </row>
    <row r="90" spans="2:2" s="134" customFormat="1" ht="25.5" customHeight="1">
      <c r="B90" s="134" t="s">
        <v>264</v>
      </c>
    </row>
    <row r="91" spans="2:2" s="134" customFormat="1" ht="25.5" customHeight="1">
      <c r="B91" s="134" t="s">
        <v>265</v>
      </c>
    </row>
    <row r="92" spans="2:2" s="134" customFormat="1" ht="25.5" customHeight="1">
      <c r="B92" s="134" t="s">
        <v>266</v>
      </c>
    </row>
    <row r="93" spans="2:2" s="134" customFormat="1" ht="25.5" customHeight="1">
      <c r="B93" s="134" t="s">
        <v>267</v>
      </c>
    </row>
    <row r="94" spans="2:2" s="134" customFormat="1" ht="25.5" customHeight="1">
      <c r="B94" s="134" t="s">
        <v>268</v>
      </c>
    </row>
    <row r="95" spans="2:2" s="134" customFormat="1" ht="25.5" customHeight="1">
      <c r="B95" s="134" t="s">
        <v>269</v>
      </c>
    </row>
    <row r="96" spans="2:2" ht="19.899999999999999" customHeight="1"/>
    <row r="97" spans="1:10" ht="19.899999999999999" customHeight="1"/>
    <row r="98" spans="1:10" ht="19.899999999999999" customHeight="1"/>
    <row r="99" spans="1:10" ht="19.899999999999999" customHeight="1">
      <c r="A99" s="134"/>
      <c r="B99" s="13"/>
      <c r="C99" s="13"/>
      <c r="D99" s="13"/>
      <c r="E99" s="13"/>
      <c r="F99" s="13"/>
      <c r="G99" s="13"/>
      <c r="H99" s="13"/>
      <c r="I99" s="13"/>
      <c r="J99" s="13"/>
    </row>
    <row r="100" spans="1:10" ht="19.899999999999999" customHeight="1">
      <c r="A100" s="134"/>
      <c r="B100" s="13"/>
      <c r="C100" s="13"/>
      <c r="D100" s="13"/>
      <c r="E100" s="13"/>
      <c r="F100" s="13"/>
      <c r="G100" s="13"/>
      <c r="H100" s="13"/>
      <c r="I100" s="13"/>
      <c r="J100" s="13"/>
    </row>
    <row r="101" spans="1:10" ht="19.899999999999999" customHeight="1">
      <c r="A101" s="134"/>
      <c r="B101" s="13"/>
      <c r="C101" s="13"/>
      <c r="D101" s="13"/>
      <c r="E101" s="13"/>
      <c r="F101" s="13"/>
      <c r="G101" s="13"/>
      <c r="H101" s="13"/>
      <c r="I101" s="13"/>
      <c r="J101" s="13"/>
    </row>
    <row r="102" spans="1:10" ht="19.899999999999999" customHeight="1">
      <c r="A102" s="134"/>
      <c r="B102" s="13"/>
      <c r="C102" s="13"/>
      <c r="D102" s="13"/>
      <c r="E102" s="13"/>
      <c r="F102" s="13"/>
      <c r="G102" s="13"/>
      <c r="H102" s="13"/>
      <c r="I102" s="13"/>
      <c r="J102" s="13"/>
    </row>
    <row r="103" spans="1:10" ht="19.899999999999999" customHeight="1">
      <c r="A103" s="134"/>
      <c r="B103" s="13"/>
      <c r="C103" s="13"/>
      <c r="D103" s="13"/>
      <c r="E103" s="13"/>
      <c r="F103" s="13"/>
      <c r="G103" s="13"/>
      <c r="H103" s="13"/>
      <c r="I103" s="13"/>
      <c r="J103" s="13"/>
    </row>
    <row r="104" spans="1:10" ht="19.899999999999999" customHeight="1">
      <c r="A104" s="134"/>
      <c r="B104" s="13"/>
      <c r="C104" s="13"/>
      <c r="D104" s="13"/>
      <c r="E104" s="13"/>
      <c r="F104" s="13"/>
      <c r="G104" s="13"/>
      <c r="H104" s="13"/>
      <c r="I104" s="13"/>
      <c r="J104" s="13"/>
    </row>
    <row r="105" spans="1:10" ht="19.899999999999999" customHeight="1">
      <c r="A105" s="134"/>
      <c r="B105" s="13"/>
      <c r="C105" s="13"/>
      <c r="D105" s="13"/>
      <c r="E105" s="13"/>
      <c r="F105" s="13"/>
      <c r="G105" s="13"/>
      <c r="H105" s="13"/>
      <c r="I105" s="13"/>
      <c r="J105" s="13"/>
    </row>
    <row r="106" spans="1:10" ht="19.899999999999999" customHeight="1">
      <c r="A106" s="134"/>
      <c r="B106" s="13"/>
      <c r="C106" s="13"/>
      <c r="D106" s="13"/>
      <c r="E106" s="13"/>
      <c r="F106" s="13"/>
      <c r="G106" s="13"/>
      <c r="H106" s="13"/>
      <c r="I106" s="13"/>
      <c r="J106" s="13"/>
    </row>
    <row r="107" spans="1:10" ht="19.899999999999999" customHeight="1">
      <c r="A107" s="134"/>
      <c r="B107" s="13"/>
      <c r="C107" s="13"/>
      <c r="D107" s="13"/>
      <c r="E107" s="13"/>
      <c r="F107" s="13"/>
      <c r="G107" s="13"/>
      <c r="H107" s="13"/>
      <c r="I107" s="13"/>
      <c r="J107" s="13"/>
    </row>
    <row r="108" spans="1:10" ht="19.899999999999999" customHeight="1">
      <c r="A108" s="134"/>
      <c r="B108" s="13"/>
      <c r="C108" s="13"/>
      <c r="D108" s="13"/>
      <c r="E108" s="13"/>
      <c r="F108" s="13"/>
      <c r="G108" s="13"/>
      <c r="H108" s="13"/>
      <c r="I108" s="13"/>
      <c r="J108" s="13"/>
    </row>
    <row r="109" spans="1:10">
      <c r="A109" s="134"/>
      <c r="B109" s="13"/>
      <c r="C109" s="13"/>
      <c r="D109" s="13"/>
      <c r="E109" s="13"/>
      <c r="F109" s="13"/>
      <c r="G109" s="13"/>
      <c r="H109" s="13"/>
      <c r="I109" s="13"/>
      <c r="J109" s="13"/>
    </row>
    <row r="110" spans="1:10">
      <c r="A110" s="134"/>
      <c r="B110" s="13"/>
      <c r="C110" s="13"/>
      <c r="D110" s="13"/>
      <c r="E110" s="13"/>
      <c r="F110" s="13"/>
      <c r="G110" s="13"/>
      <c r="H110" s="13"/>
      <c r="I110" s="13"/>
      <c r="J110" s="13"/>
    </row>
    <row r="111" spans="1:10">
      <c r="A111" s="134"/>
      <c r="B111" s="13"/>
      <c r="C111" s="13"/>
      <c r="D111" s="13"/>
      <c r="E111" s="13"/>
      <c r="F111" s="13"/>
      <c r="G111" s="13"/>
      <c r="H111" s="13"/>
      <c r="I111" s="13"/>
      <c r="J111" s="13"/>
    </row>
    <row r="112" spans="1:10">
      <c r="A112" s="134"/>
      <c r="B112" s="13"/>
      <c r="C112" s="13"/>
      <c r="D112" s="13"/>
      <c r="E112" s="13"/>
      <c r="F112" s="13"/>
      <c r="G112" s="13"/>
      <c r="H112" s="13"/>
      <c r="I112" s="13"/>
      <c r="J112" s="13"/>
    </row>
    <row r="113" spans="1:10">
      <c r="A113" s="134"/>
      <c r="B113" s="13"/>
      <c r="C113" s="13"/>
      <c r="D113" s="13"/>
      <c r="E113" s="13"/>
      <c r="F113" s="13"/>
      <c r="G113" s="13"/>
      <c r="H113" s="13"/>
      <c r="I113" s="13"/>
      <c r="J113" s="13"/>
    </row>
    <row r="114" spans="1:10">
      <c r="A114" s="134"/>
      <c r="B114" s="13"/>
      <c r="C114" s="13"/>
      <c r="D114" s="13"/>
      <c r="E114" s="13"/>
      <c r="F114" s="13"/>
      <c r="G114" s="13"/>
      <c r="H114" s="13"/>
      <c r="I114" s="13"/>
      <c r="J114" s="13"/>
    </row>
    <row r="115" spans="1:10">
      <c r="A115" s="134"/>
      <c r="B115" s="13"/>
      <c r="C115" s="13"/>
      <c r="D115" s="13"/>
      <c r="E115" s="13"/>
      <c r="F115" s="13"/>
      <c r="G115" s="13"/>
      <c r="H115" s="13"/>
      <c r="I115" s="13"/>
      <c r="J115" s="13"/>
    </row>
    <row r="116" spans="1:10">
      <c r="A116" s="134"/>
      <c r="B116" s="13"/>
      <c r="C116" s="13"/>
      <c r="D116" s="13"/>
      <c r="E116" s="13"/>
      <c r="F116" s="13"/>
      <c r="G116" s="13"/>
      <c r="H116" s="13"/>
      <c r="I116" s="13"/>
      <c r="J116" s="13"/>
    </row>
    <row r="117" spans="1:10">
      <c r="A117" s="134"/>
      <c r="B117" s="13"/>
      <c r="C117" s="13"/>
      <c r="D117" s="13"/>
      <c r="E117" s="13"/>
      <c r="F117" s="13"/>
      <c r="G117" s="13"/>
      <c r="H117" s="13"/>
      <c r="I117" s="13"/>
      <c r="J117" s="13"/>
    </row>
    <row r="118" spans="1:10">
      <c r="A118" s="134"/>
      <c r="B118" s="13"/>
      <c r="C118" s="13"/>
      <c r="D118" s="13"/>
      <c r="E118" s="13"/>
      <c r="F118" s="13"/>
      <c r="G118" s="13"/>
      <c r="H118" s="13"/>
      <c r="I118" s="13"/>
      <c r="J118" s="13"/>
    </row>
    <row r="119" spans="1:10">
      <c r="A119" s="134"/>
      <c r="B119" s="13"/>
      <c r="C119" s="13"/>
      <c r="D119" s="13"/>
      <c r="E119" s="13"/>
      <c r="F119" s="13"/>
      <c r="G119" s="13"/>
      <c r="H119" s="13"/>
      <c r="I119" s="13"/>
      <c r="J119" s="13"/>
    </row>
    <row r="120" spans="1:10">
      <c r="A120" s="134"/>
      <c r="B120" s="13"/>
      <c r="C120" s="13"/>
      <c r="D120" s="13"/>
      <c r="E120" s="13"/>
      <c r="F120" s="13"/>
      <c r="G120" s="13"/>
      <c r="H120" s="13"/>
      <c r="I120" s="13"/>
      <c r="J120" s="13"/>
    </row>
    <row r="121" spans="1:10">
      <c r="A121" s="134"/>
      <c r="B121" s="13"/>
      <c r="C121" s="13"/>
      <c r="D121" s="13"/>
      <c r="E121" s="13"/>
      <c r="F121" s="13"/>
      <c r="G121" s="13"/>
      <c r="H121" s="13"/>
      <c r="I121" s="13"/>
      <c r="J121" s="13"/>
    </row>
    <row r="122" spans="1:10">
      <c r="A122" s="134"/>
      <c r="B122" s="13"/>
      <c r="C122" s="13"/>
      <c r="D122" s="13"/>
      <c r="E122" s="13"/>
      <c r="F122" s="13"/>
      <c r="G122" s="13"/>
      <c r="H122" s="13"/>
      <c r="I122" s="13"/>
      <c r="J122" s="13"/>
    </row>
    <row r="123" spans="1:10">
      <c r="A123" s="134"/>
      <c r="B123" s="13"/>
      <c r="C123" s="13"/>
      <c r="D123" s="13"/>
      <c r="E123" s="13"/>
      <c r="F123" s="13"/>
      <c r="G123" s="13"/>
      <c r="H123" s="13"/>
      <c r="I123" s="13"/>
      <c r="J123" s="13"/>
    </row>
    <row r="124" spans="1:10">
      <c r="A124" s="134"/>
      <c r="B124" s="13"/>
      <c r="C124" s="13"/>
      <c r="D124" s="13"/>
      <c r="E124" s="13"/>
      <c r="F124" s="13"/>
      <c r="G124" s="13"/>
      <c r="H124" s="13"/>
      <c r="I124" s="13"/>
      <c r="J124" s="13"/>
    </row>
    <row r="125" spans="1:10">
      <c r="A125" s="134"/>
      <c r="B125" s="13"/>
      <c r="C125" s="13"/>
      <c r="D125" s="13"/>
      <c r="E125" s="13"/>
      <c r="F125" s="13"/>
      <c r="G125" s="13"/>
      <c r="H125" s="13"/>
      <c r="I125" s="13"/>
      <c r="J125" s="13"/>
    </row>
    <row r="126" spans="1:10">
      <c r="A126" s="134"/>
      <c r="B126" s="13"/>
      <c r="C126" s="13"/>
      <c r="D126" s="13"/>
      <c r="E126" s="13"/>
      <c r="F126" s="13"/>
      <c r="G126" s="13"/>
      <c r="H126" s="13"/>
      <c r="I126" s="13"/>
      <c r="J126" s="13"/>
    </row>
    <row r="127" spans="1:10">
      <c r="A127" s="134"/>
      <c r="B127" s="13"/>
      <c r="C127" s="13"/>
      <c r="D127" s="13"/>
      <c r="E127" s="13"/>
      <c r="F127" s="13"/>
      <c r="G127" s="13"/>
      <c r="H127" s="13"/>
      <c r="I127" s="13"/>
      <c r="J127" s="13"/>
    </row>
    <row r="128" spans="1:10">
      <c r="A128" s="134"/>
      <c r="B128" s="13"/>
      <c r="C128" s="13"/>
      <c r="D128" s="13"/>
      <c r="E128" s="13"/>
      <c r="F128" s="13"/>
      <c r="G128" s="13"/>
      <c r="H128" s="13"/>
      <c r="I128" s="13"/>
      <c r="J128" s="13"/>
    </row>
    <row r="129" spans="1:10">
      <c r="A129" s="134"/>
      <c r="B129" s="13"/>
      <c r="C129" s="13"/>
      <c r="D129" s="13"/>
      <c r="E129" s="13"/>
      <c r="F129" s="13"/>
      <c r="G129" s="13"/>
      <c r="H129" s="13"/>
      <c r="I129" s="13"/>
      <c r="J129" s="13"/>
    </row>
    <row r="130" spans="1:10">
      <c r="A130" s="134"/>
      <c r="B130" s="13"/>
      <c r="C130" s="13"/>
      <c r="D130" s="13"/>
      <c r="E130" s="13"/>
      <c r="F130" s="13"/>
      <c r="G130" s="13"/>
      <c r="H130" s="13"/>
      <c r="I130" s="13"/>
      <c r="J130" s="13"/>
    </row>
    <row r="131" spans="1:10">
      <c r="A131" s="134"/>
      <c r="B131" s="13"/>
      <c r="C131" s="13"/>
      <c r="D131" s="13"/>
      <c r="E131" s="13"/>
      <c r="F131" s="13"/>
      <c r="G131" s="13"/>
      <c r="H131" s="13"/>
      <c r="I131" s="13"/>
      <c r="J131" s="13"/>
    </row>
    <row r="132" spans="1:10">
      <c r="A132" s="134"/>
      <c r="B132" s="13"/>
      <c r="C132" s="13"/>
      <c r="D132" s="13"/>
      <c r="E132" s="13"/>
      <c r="F132" s="13"/>
      <c r="G132" s="13"/>
      <c r="H132" s="13"/>
      <c r="I132" s="13"/>
      <c r="J132" s="13"/>
    </row>
    <row r="133" spans="1:10">
      <c r="A133" s="134"/>
      <c r="B133" s="13"/>
      <c r="C133" s="13"/>
      <c r="D133" s="13"/>
      <c r="E133" s="13"/>
      <c r="F133" s="13"/>
      <c r="G133" s="13"/>
      <c r="H133" s="13"/>
      <c r="I133" s="13"/>
      <c r="J133" s="13"/>
    </row>
    <row r="134" spans="1:10">
      <c r="A134" s="134"/>
      <c r="B134" s="13"/>
      <c r="C134" s="13"/>
      <c r="D134" s="13"/>
      <c r="E134" s="13"/>
      <c r="F134" s="13"/>
      <c r="G134" s="13"/>
      <c r="H134" s="13"/>
      <c r="I134" s="13"/>
      <c r="J134" s="13"/>
    </row>
    <row r="135" spans="1:10">
      <c r="A135" s="134"/>
      <c r="B135" s="13"/>
      <c r="C135" s="13"/>
      <c r="D135" s="13"/>
      <c r="E135" s="13"/>
      <c r="F135" s="13"/>
      <c r="G135" s="13"/>
      <c r="H135" s="13"/>
      <c r="I135" s="13"/>
      <c r="J135" s="13"/>
    </row>
    <row r="136" spans="1:10">
      <c r="A136" s="134"/>
      <c r="B136" s="13"/>
      <c r="C136" s="13"/>
      <c r="D136" s="13"/>
      <c r="E136" s="13"/>
      <c r="F136" s="13"/>
      <c r="G136" s="13"/>
      <c r="H136" s="13"/>
      <c r="I136" s="13"/>
      <c r="J136" s="13"/>
    </row>
    <row r="137" spans="1:10">
      <c r="A137" s="134"/>
      <c r="B137" s="13"/>
      <c r="C137" s="13"/>
      <c r="D137" s="13"/>
      <c r="E137" s="13"/>
      <c r="F137" s="13"/>
      <c r="G137" s="13"/>
      <c r="H137" s="13"/>
      <c r="I137" s="13"/>
      <c r="J137" s="13"/>
    </row>
    <row r="138" spans="1:10">
      <c r="A138" s="134"/>
      <c r="B138" s="13"/>
      <c r="C138" s="13"/>
      <c r="D138" s="13"/>
      <c r="E138" s="13"/>
      <c r="F138" s="13"/>
      <c r="G138" s="13"/>
      <c r="H138" s="13"/>
      <c r="I138" s="13"/>
      <c r="J138" s="13"/>
    </row>
    <row r="139" spans="1:10">
      <c r="A139" s="134"/>
      <c r="B139" s="13"/>
      <c r="C139" s="13"/>
      <c r="D139" s="13"/>
      <c r="E139" s="13"/>
      <c r="F139" s="13"/>
      <c r="G139" s="13"/>
      <c r="H139" s="13"/>
      <c r="I139" s="13"/>
      <c r="J139" s="13"/>
    </row>
    <row r="140" spans="1:10">
      <c r="A140" s="134"/>
      <c r="B140" s="13"/>
      <c r="C140" s="13"/>
      <c r="D140" s="13"/>
      <c r="E140" s="13"/>
      <c r="F140" s="13"/>
      <c r="G140" s="13"/>
      <c r="H140" s="13"/>
      <c r="I140" s="13"/>
      <c r="J140" s="13"/>
    </row>
    <row r="141" spans="1:10">
      <c r="A141" s="134"/>
      <c r="B141" s="13"/>
      <c r="C141" s="13"/>
      <c r="D141" s="13"/>
      <c r="E141" s="13"/>
      <c r="F141" s="13"/>
      <c r="G141" s="13"/>
      <c r="H141" s="13"/>
      <c r="I141" s="13"/>
      <c r="J141" s="13"/>
    </row>
    <row r="142" spans="1:10">
      <c r="A142" s="134"/>
      <c r="B142" s="13"/>
      <c r="C142" s="13"/>
      <c r="D142" s="13"/>
      <c r="E142" s="13"/>
      <c r="F142" s="13"/>
      <c r="G142" s="13"/>
      <c r="H142" s="13"/>
      <c r="I142" s="13"/>
      <c r="J142" s="13"/>
    </row>
    <row r="143" spans="1:10">
      <c r="A143" s="134"/>
      <c r="B143" s="13"/>
      <c r="C143" s="13"/>
      <c r="D143" s="13"/>
      <c r="E143" s="13"/>
      <c r="F143" s="13"/>
      <c r="G143" s="13"/>
      <c r="H143" s="13"/>
      <c r="I143" s="13"/>
      <c r="J143" s="13"/>
    </row>
    <row r="144" spans="1:10">
      <c r="A144" s="134"/>
      <c r="B144" s="13"/>
      <c r="C144" s="13"/>
      <c r="D144" s="13"/>
      <c r="E144" s="13"/>
      <c r="F144" s="13"/>
      <c r="G144" s="13"/>
      <c r="H144" s="13"/>
      <c r="I144" s="13"/>
      <c r="J144" s="13"/>
    </row>
    <row r="145" spans="1:10">
      <c r="A145" s="134"/>
      <c r="B145" s="13"/>
      <c r="C145" s="13"/>
      <c r="D145" s="13"/>
      <c r="E145" s="13"/>
      <c r="F145" s="13"/>
      <c r="G145" s="13"/>
      <c r="H145" s="13"/>
      <c r="I145" s="13"/>
      <c r="J145" s="13"/>
    </row>
    <row r="146" spans="1:10">
      <c r="A146" s="134"/>
      <c r="B146" s="13"/>
      <c r="C146" s="13"/>
      <c r="D146" s="13"/>
      <c r="E146" s="13"/>
      <c r="F146" s="13"/>
      <c r="G146" s="13"/>
      <c r="H146" s="13"/>
      <c r="I146" s="13"/>
      <c r="J146" s="13"/>
    </row>
    <row r="147" spans="1:10">
      <c r="A147" s="134"/>
      <c r="B147" s="13"/>
      <c r="C147" s="13"/>
      <c r="D147" s="13"/>
      <c r="E147" s="13"/>
      <c r="F147" s="13"/>
      <c r="G147" s="13"/>
      <c r="H147" s="13"/>
      <c r="I147" s="13"/>
      <c r="J147" s="13"/>
    </row>
    <row r="148" spans="1:10">
      <c r="A148" s="134"/>
      <c r="B148" s="13"/>
      <c r="C148" s="13"/>
      <c r="D148" s="13"/>
      <c r="E148" s="13"/>
      <c r="F148" s="13"/>
      <c r="G148" s="13"/>
      <c r="H148" s="13"/>
      <c r="I148" s="13"/>
      <c r="J148" s="13"/>
    </row>
    <row r="149" spans="1:10">
      <c r="A149" s="134"/>
      <c r="B149" s="13"/>
      <c r="C149" s="13"/>
      <c r="D149" s="13"/>
      <c r="E149" s="13"/>
      <c r="F149" s="13"/>
      <c r="G149" s="13"/>
      <c r="H149" s="13"/>
      <c r="I149" s="13"/>
      <c r="J149" s="13"/>
    </row>
    <row r="150" spans="1:10">
      <c r="A150" s="134"/>
      <c r="B150" s="13"/>
      <c r="C150" s="13"/>
      <c r="D150" s="13"/>
      <c r="E150" s="13"/>
      <c r="F150" s="13"/>
      <c r="G150" s="13"/>
      <c r="H150" s="13"/>
      <c r="I150" s="13"/>
      <c r="J150" s="13"/>
    </row>
    <row r="151" spans="1:10">
      <c r="A151" s="134"/>
      <c r="B151" s="13"/>
      <c r="C151" s="13"/>
      <c r="D151" s="13"/>
      <c r="E151" s="13"/>
      <c r="F151" s="13"/>
      <c r="G151" s="13"/>
      <c r="H151" s="13"/>
      <c r="I151" s="13"/>
      <c r="J151" s="13"/>
    </row>
    <row r="152" spans="1:10">
      <c r="A152" s="134"/>
      <c r="B152" s="13"/>
      <c r="C152" s="13"/>
      <c r="D152" s="13"/>
      <c r="E152" s="13"/>
      <c r="F152" s="13"/>
      <c r="G152" s="13"/>
      <c r="H152" s="13"/>
      <c r="I152" s="13"/>
      <c r="J152" s="13"/>
    </row>
    <row r="153" spans="1:10">
      <c r="A153" s="134"/>
      <c r="B153" s="13"/>
      <c r="C153" s="13"/>
      <c r="D153" s="13"/>
      <c r="E153" s="13"/>
      <c r="F153" s="13"/>
      <c r="G153" s="13"/>
      <c r="H153" s="13"/>
      <c r="I153" s="13"/>
      <c r="J153" s="13"/>
    </row>
    <row r="154" spans="1:10">
      <c r="A154" s="134"/>
      <c r="B154" s="13"/>
      <c r="C154" s="13"/>
      <c r="D154" s="13"/>
      <c r="E154" s="13"/>
      <c r="F154" s="13"/>
      <c r="G154" s="13"/>
      <c r="H154" s="13"/>
      <c r="I154" s="13"/>
      <c r="J154" s="13"/>
    </row>
    <row r="155" spans="1:10">
      <c r="A155" s="134"/>
      <c r="B155" s="13"/>
      <c r="C155" s="13"/>
      <c r="D155" s="13"/>
      <c r="E155" s="13"/>
      <c r="F155" s="13"/>
      <c r="G155" s="13"/>
      <c r="H155" s="13"/>
      <c r="I155" s="13"/>
      <c r="J155" s="13"/>
    </row>
    <row r="156" spans="1:10">
      <c r="A156" s="134"/>
      <c r="B156" s="13"/>
      <c r="C156" s="13"/>
      <c r="D156" s="13"/>
      <c r="E156" s="13"/>
      <c r="F156" s="13"/>
      <c r="G156" s="13"/>
      <c r="H156" s="13"/>
      <c r="I156" s="13"/>
      <c r="J156" s="13"/>
    </row>
    <row r="157" spans="1:10">
      <c r="A157" s="134"/>
      <c r="B157" s="13"/>
      <c r="C157" s="13"/>
      <c r="D157" s="13"/>
      <c r="E157" s="13"/>
      <c r="F157" s="13"/>
      <c r="G157" s="13"/>
      <c r="H157" s="13"/>
      <c r="I157" s="13"/>
      <c r="J157" s="13"/>
    </row>
    <row r="158" spans="1:10">
      <c r="A158" s="134"/>
      <c r="B158" s="13"/>
      <c r="C158" s="13"/>
      <c r="D158" s="13"/>
      <c r="E158" s="13"/>
      <c r="F158" s="13"/>
      <c r="G158" s="13"/>
      <c r="H158" s="13"/>
      <c r="I158" s="13"/>
      <c r="J158" s="13"/>
    </row>
    <row r="159" spans="1:10">
      <c r="A159" s="134"/>
      <c r="B159" s="13"/>
      <c r="C159" s="13"/>
      <c r="D159" s="13"/>
      <c r="E159" s="13"/>
      <c r="F159" s="13"/>
      <c r="G159" s="13"/>
      <c r="H159" s="13"/>
      <c r="I159" s="13"/>
      <c r="J159" s="13"/>
    </row>
    <row r="160" spans="1:10">
      <c r="A160" s="134"/>
      <c r="B160" s="13"/>
      <c r="C160" s="13"/>
      <c r="D160" s="13"/>
      <c r="E160" s="13"/>
      <c r="F160" s="13"/>
      <c r="G160" s="13"/>
      <c r="H160" s="13"/>
      <c r="I160" s="13"/>
      <c r="J160" s="13"/>
    </row>
    <row r="161" spans="1:10">
      <c r="A161" s="134"/>
      <c r="B161" s="13"/>
      <c r="C161" s="13"/>
      <c r="D161" s="13"/>
      <c r="E161" s="13"/>
      <c r="F161" s="13"/>
      <c r="G161" s="13"/>
      <c r="H161" s="13"/>
      <c r="I161" s="13"/>
      <c r="J161" s="13"/>
    </row>
    <row r="162" spans="1:10">
      <c r="A162" s="134"/>
      <c r="B162" s="13"/>
      <c r="C162" s="13"/>
      <c r="D162" s="13"/>
      <c r="E162" s="13"/>
      <c r="F162" s="13"/>
      <c r="G162" s="13"/>
      <c r="H162" s="13"/>
      <c r="I162" s="13"/>
      <c r="J162" s="13"/>
    </row>
    <row r="163" spans="1:10">
      <c r="A163" s="134"/>
      <c r="B163" s="13"/>
      <c r="C163" s="13"/>
      <c r="D163" s="13"/>
      <c r="E163" s="13"/>
      <c r="F163" s="13"/>
      <c r="G163" s="13"/>
      <c r="H163" s="13"/>
      <c r="I163" s="13"/>
      <c r="J163" s="13"/>
    </row>
    <row r="164" spans="1:10">
      <c r="A164" s="134"/>
      <c r="B164" s="13"/>
      <c r="C164" s="13"/>
      <c r="D164" s="13"/>
      <c r="E164" s="13"/>
      <c r="F164" s="13"/>
      <c r="G164" s="13"/>
      <c r="H164" s="13"/>
      <c r="I164" s="13"/>
      <c r="J164" s="13"/>
    </row>
    <row r="165" spans="1:10">
      <c r="A165" s="134"/>
      <c r="B165" s="13"/>
      <c r="C165" s="13"/>
      <c r="D165" s="13"/>
      <c r="E165" s="13"/>
      <c r="F165" s="13"/>
      <c r="G165" s="13"/>
      <c r="H165" s="13"/>
      <c r="I165" s="13"/>
      <c r="J165" s="13"/>
    </row>
    <row r="166" spans="1:10">
      <c r="A166" s="134"/>
      <c r="B166" s="13"/>
      <c r="C166" s="13"/>
      <c r="D166" s="13"/>
      <c r="E166" s="13"/>
      <c r="F166" s="13"/>
      <c r="G166" s="13"/>
      <c r="H166" s="13"/>
      <c r="I166" s="13"/>
      <c r="J166" s="13"/>
    </row>
    <row r="167" spans="1:10">
      <c r="A167" s="134"/>
      <c r="B167" s="13"/>
      <c r="C167" s="13"/>
      <c r="D167" s="13"/>
      <c r="E167" s="13"/>
      <c r="F167" s="13"/>
      <c r="G167" s="13"/>
      <c r="H167" s="13"/>
      <c r="I167" s="13"/>
      <c r="J167" s="13"/>
    </row>
    <row r="168" spans="1:10">
      <c r="A168" s="134"/>
      <c r="B168" s="13"/>
      <c r="C168" s="13"/>
      <c r="D168" s="13"/>
      <c r="E168" s="13"/>
      <c r="F168" s="13"/>
      <c r="G168" s="13"/>
      <c r="H168" s="13"/>
      <c r="I168" s="13"/>
      <c r="J168" s="13"/>
    </row>
    <row r="169" spans="1:10">
      <c r="A169" s="134"/>
      <c r="B169" s="13"/>
      <c r="C169" s="13"/>
      <c r="D169" s="13"/>
      <c r="E169" s="13"/>
      <c r="F169" s="13"/>
      <c r="G169" s="13"/>
      <c r="H169" s="13"/>
      <c r="I169" s="13"/>
      <c r="J169" s="13"/>
    </row>
    <row r="170" spans="1:10">
      <c r="A170" s="134"/>
      <c r="B170" s="13"/>
      <c r="C170" s="13"/>
      <c r="D170" s="13"/>
      <c r="E170" s="13"/>
      <c r="F170" s="13"/>
      <c r="G170" s="13"/>
      <c r="H170" s="13"/>
      <c r="I170" s="13"/>
      <c r="J170" s="13"/>
    </row>
    <row r="171" spans="1:10">
      <c r="A171" s="134"/>
      <c r="B171" s="13"/>
      <c r="C171" s="13"/>
      <c r="D171" s="13"/>
      <c r="E171" s="13"/>
      <c r="F171" s="13"/>
      <c r="G171" s="13"/>
      <c r="H171" s="13"/>
      <c r="I171" s="13"/>
      <c r="J171" s="13"/>
    </row>
    <row r="172" spans="1:10">
      <c r="A172" s="134"/>
      <c r="B172" s="13"/>
      <c r="C172" s="13"/>
      <c r="D172" s="13"/>
      <c r="E172" s="13"/>
      <c r="F172" s="13"/>
      <c r="G172" s="13"/>
      <c r="H172" s="13"/>
      <c r="I172" s="13"/>
      <c r="J172" s="13"/>
    </row>
    <row r="173" spans="1:10">
      <c r="A173" s="134"/>
      <c r="B173" s="13"/>
      <c r="C173" s="13"/>
      <c r="D173" s="13"/>
      <c r="E173" s="13"/>
      <c r="F173" s="13"/>
      <c r="G173" s="13"/>
      <c r="H173" s="13"/>
      <c r="I173" s="13"/>
      <c r="J173" s="13"/>
    </row>
    <row r="174" spans="1:10">
      <c r="A174" s="134"/>
      <c r="B174" s="13"/>
      <c r="C174" s="13"/>
      <c r="D174" s="13"/>
      <c r="E174" s="13"/>
      <c r="F174" s="13"/>
      <c r="G174" s="13"/>
      <c r="H174" s="13"/>
      <c r="I174" s="13"/>
      <c r="J174" s="13"/>
    </row>
    <row r="175" spans="1:10">
      <c r="A175" s="134"/>
      <c r="B175" s="13"/>
      <c r="C175" s="13"/>
      <c r="D175" s="13"/>
      <c r="E175" s="13"/>
      <c r="F175" s="13"/>
      <c r="G175" s="13"/>
      <c r="H175" s="13"/>
      <c r="I175" s="13"/>
      <c r="J175" s="13"/>
    </row>
    <row r="176" spans="1:10">
      <c r="A176" s="134"/>
      <c r="B176" s="13"/>
      <c r="C176" s="13"/>
      <c r="D176" s="13"/>
      <c r="E176" s="13"/>
      <c r="F176" s="13"/>
      <c r="G176" s="13"/>
      <c r="H176" s="13"/>
      <c r="I176" s="13"/>
      <c r="J176" s="13"/>
    </row>
    <row r="177" spans="1:10">
      <c r="A177" s="134"/>
      <c r="B177" s="13"/>
      <c r="C177" s="13"/>
      <c r="D177" s="13"/>
      <c r="E177" s="13"/>
      <c r="F177" s="13"/>
      <c r="G177" s="13"/>
      <c r="H177" s="13"/>
      <c r="I177" s="13"/>
      <c r="J177" s="13"/>
    </row>
    <row r="178" spans="1:10">
      <c r="A178" s="134"/>
      <c r="B178" s="13"/>
      <c r="C178" s="13"/>
      <c r="D178" s="13"/>
      <c r="E178" s="13"/>
      <c r="F178" s="13"/>
      <c r="G178" s="13"/>
      <c r="H178" s="13"/>
      <c r="I178" s="13"/>
      <c r="J178" s="13"/>
    </row>
    <row r="179" spans="1:10">
      <c r="A179" s="134"/>
      <c r="B179" s="13"/>
      <c r="C179" s="13"/>
      <c r="D179" s="13"/>
      <c r="E179" s="13"/>
      <c r="F179" s="13"/>
      <c r="G179" s="13"/>
      <c r="H179" s="13"/>
      <c r="I179" s="13"/>
      <c r="J179" s="13"/>
    </row>
    <row r="180" spans="1:10">
      <c r="A180" s="134"/>
      <c r="B180" s="13"/>
      <c r="C180" s="13"/>
      <c r="D180" s="13"/>
      <c r="E180" s="13"/>
      <c r="F180" s="13"/>
      <c r="G180" s="13"/>
      <c r="H180" s="13"/>
      <c r="I180" s="13"/>
      <c r="J180" s="13"/>
    </row>
    <row r="181" spans="1:10">
      <c r="A181" s="134"/>
      <c r="B181" s="13"/>
      <c r="C181" s="13"/>
      <c r="D181" s="13"/>
      <c r="E181" s="13"/>
      <c r="F181" s="13"/>
      <c r="G181" s="13"/>
      <c r="H181" s="13"/>
      <c r="I181" s="13"/>
      <c r="J181" s="13"/>
    </row>
    <row r="182" spans="1:10">
      <c r="A182" s="134"/>
      <c r="B182" s="13"/>
      <c r="C182" s="13"/>
      <c r="D182" s="13"/>
      <c r="E182" s="13"/>
      <c r="F182" s="13"/>
      <c r="G182" s="13"/>
      <c r="H182" s="13"/>
      <c r="I182" s="13"/>
      <c r="J182" s="13"/>
    </row>
    <row r="183" spans="1:10">
      <c r="A183" s="134"/>
      <c r="B183" s="13"/>
      <c r="C183" s="13"/>
      <c r="D183" s="13"/>
      <c r="E183" s="13"/>
      <c r="F183" s="13"/>
      <c r="G183" s="13"/>
      <c r="H183" s="13"/>
      <c r="I183" s="13"/>
      <c r="J183" s="13"/>
    </row>
    <row r="184" spans="1:10">
      <c r="A184" s="134"/>
      <c r="B184" s="13"/>
      <c r="C184" s="13"/>
      <c r="D184" s="13"/>
      <c r="E184" s="13"/>
      <c r="F184" s="13"/>
      <c r="G184" s="13"/>
      <c r="H184" s="13"/>
      <c r="I184" s="13"/>
      <c r="J184" s="13"/>
    </row>
    <row r="185" spans="1:10">
      <c r="A185" s="134"/>
      <c r="B185" s="13"/>
      <c r="C185" s="13"/>
      <c r="D185" s="13"/>
      <c r="E185" s="13"/>
      <c r="F185" s="13"/>
      <c r="G185" s="13"/>
      <c r="H185" s="13"/>
      <c r="I185" s="13"/>
      <c r="J185" s="13"/>
    </row>
    <row r="186" spans="1:10">
      <c r="A186" s="134"/>
      <c r="B186" s="13"/>
      <c r="C186" s="13"/>
      <c r="D186" s="13"/>
      <c r="E186" s="13"/>
      <c r="F186" s="13"/>
      <c r="G186" s="13"/>
      <c r="H186" s="13"/>
      <c r="I186" s="13"/>
      <c r="J186" s="13"/>
    </row>
    <row r="187" spans="1:10">
      <c r="A187" s="134"/>
      <c r="B187" s="13"/>
      <c r="C187" s="13"/>
      <c r="D187" s="13"/>
      <c r="E187" s="13"/>
      <c r="F187" s="13"/>
      <c r="G187" s="13"/>
      <c r="H187" s="13"/>
      <c r="I187" s="13"/>
      <c r="J187" s="13"/>
    </row>
    <row r="188" spans="1:10">
      <c r="A188" s="134"/>
      <c r="B188" s="13"/>
      <c r="C188" s="13"/>
      <c r="D188" s="13"/>
      <c r="E188" s="13"/>
      <c r="F188" s="13"/>
      <c r="G188" s="13"/>
      <c r="H188" s="13"/>
      <c r="I188" s="13"/>
      <c r="J188" s="13"/>
    </row>
    <row r="189" spans="1:10">
      <c r="A189" s="134"/>
      <c r="B189" s="13"/>
      <c r="C189" s="13"/>
      <c r="D189" s="13"/>
      <c r="E189" s="13"/>
      <c r="F189" s="13"/>
      <c r="G189" s="13"/>
      <c r="H189" s="13"/>
      <c r="I189" s="13"/>
      <c r="J189" s="13"/>
    </row>
    <row r="190" spans="1:10">
      <c r="A190" s="134"/>
      <c r="B190" s="13"/>
      <c r="C190" s="13"/>
      <c r="D190" s="13"/>
      <c r="E190" s="13"/>
      <c r="F190" s="13"/>
      <c r="G190" s="13"/>
      <c r="H190" s="13"/>
      <c r="I190" s="13"/>
      <c r="J190" s="13"/>
    </row>
    <row r="191" spans="1:10">
      <c r="A191" s="134"/>
      <c r="B191" s="13"/>
      <c r="C191" s="13"/>
      <c r="D191" s="13"/>
      <c r="E191" s="13"/>
      <c r="F191" s="13"/>
      <c r="G191" s="13"/>
      <c r="H191" s="13"/>
      <c r="I191" s="13"/>
      <c r="J191" s="13"/>
    </row>
    <row r="192" spans="1:10">
      <c r="A192" s="134"/>
      <c r="B192" s="13"/>
      <c r="C192" s="13"/>
      <c r="D192" s="13"/>
      <c r="E192" s="13"/>
      <c r="F192" s="13"/>
      <c r="G192" s="13"/>
      <c r="H192" s="13"/>
      <c r="I192" s="13"/>
      <c r="J192" s="13"/>
    </row>
    <row r="193" spans="1:10">
      <c r="A193" s="134"/>
      <c r="B193" s="13"/>
      <c r="C193" s="13"/>
      <c r="D193" s="13"/>
      <c r="E193" s="13"/>
      <c r="F193" s="13"/>
      <c r="G193" s="13"/>
      <c r="H193" s="13"/>
      <c r="I193" s="13"/>
      <c r="J193" s="13"/>
    </row>
    <row r="194" spans="1:10">
      <c r="A194" s="134"/>
      <c r="B194" s="13"/>
      <c r="C194" s="13"/>
      <c r="D194" s="13"/>
      <c r="E194" s="13"/>
      <c r="F194" s="13"/>
      <c r="G194" s="13"/>
      <c r="H194" s="13"/>
      <c r="I194" s="13"/>
      <c r="J194" s="13"/>
    </row>
    <row r="195" spans="1:10">
      <c r="A195" s="134"/>
      <c r="B195" s="13"/>
      <c r="C195" s="13"/>
      <c r="D195" s="13"/>
      <c r="E195" s="13"/>
      <c r="F195" s="13"/>
      <c r="G195" s="13"/>
      <c r="H195" s="13"/>
      <c r="I195" s="13"/>
      <c r="J195" s="13"/>
    </row>
    <row r="196" spans="1:10">
      <c r="A196" s="134"/>
      <c r="B196" s="13"/>
      <c r="C196" s="13"/>
      <c r="D196" s="13"/>
      <c r="E196" s="13"/>
      <c r="F196" s="13"/>
      <c r="G196" s="13"/>
      <c r="H196" s="13"/>
      <c r="I196" s="13"/>
      <c r="J196" s="13"/>
    </row>
    <row r="197" spans="1:10">
      <c r="A197" s="134"/>
      <c r="B197" s="13"/>
      <c r="C197" s="13"/>
      <c r="D197" s="13"/>
      <c r="E197" s="13"/>
      <c r="F197" s="13"/>
      <c r="G197" s="13"/>
      <c r="H197" s="13"/>
      <c r="I197" s="13"/>
      <c r="J197" s="13"/>
    </row>
    <row r="198" spans="1:10">
      <c r="A198" s="134"/>
      <c r="B198" s="13"/>
      <c r="C198" s="13"/>
      <c r="D198" s="13"/>
      <c r="E198" s="13"/>
      <c r="F198" s="13"/>
      <c r="G198" s="13"/>
      <c r="H198" s="13"/>
      <c r="I198" s="13"/>
      <c r="J198" s="13"/>
    </row>
    <row r="199" spans="1:10">
      <c r="A199" s="134"/>
      <c r="B199" s="13"/>
      <c r="C199" s="13"/>
      <c r="D199" s="13"/>
      <c r="E199" s="13"/>
      <c r="F199" s="13"/>
      <c r="G199" s="13"/>
      <c r="H199" s="13"/>
      <c r="I199" s="13"/>
      <c r="J199" s="13"/>
    </row>
    <row r="200" spans="1:10">
      <c r="A200" s="134"/>
      <c r="B200" s="13"/>
      <c r="C200" s="13"/>
      <c r="D200" s="13"/>
      <c r="E200" s="13"/>
      <c r="F200" s="13"/>
      <c r="G200" s="13"/>
      <c r="H200" s="13"/>
      <c r="I200" s="13"/>
      <c r="J200" s="13"/>
    </row>
    <row r="201" spans="1:10">
      <c r="A201" s="134"/>
      <c r="B201" s="13"/>
      <c r="C201" s="13"/>
      <c r="D201" s="13"/>
      <c r="E201" s="13"/>
      <c r="F201" s="13"/>
      <c r="G201" s="13"/>
      <c r="H201" s="13"/>
      <c r="I201" s="13"/>
      <c r="J201" s="13"/>
    </row>
    <row r="202" spans="1:10">
      <c r="A202" s="134"/>
      <c r="B202" s="13"/>
      <c r="C202" s="13"/>
      <c r="D202" s="13"/>
      <c r="E202" s="13"/>
      <c r="F202" s="13"/>
      <c r="G202" s="13"/>
      <c r="H202" s="13"/>
      <c r="I202" s="13"/>
      <c r="J202" s="13"/>
    </row>
    <row r="203" spans="1:10">
      <c r="A203" s="134"/>
      <c r="B203" s="13"/>
      <c r="C203" s="13"/>
      <c r="D203" s="13"/>
      <c r="E203" s="13"/>
      <c r="F203" s="13"/>
      <c r="G203" s="13"/>
      <c r="H203" s="13"/>
      <c r="I203" s="13"/>
      <c r="J203" s="13"/>
    </row>
    <row r="204" spans="1:10">
      <c r="A204" s="134"/>
      <c r="B204" s="13"/>
      <c r="C204" s="13"/>
      <c r="D204" s="13"/>
      <c r="E204" s="13"/>
      <c r="F204" s="13"/>
      <c r="G204" s="13"/>
      <c r="H204" s="13"/>
      <c r="I204" s="13"/>
      <c r="J204" s="13"/>
    </row>
    <row r="205" spans="1:10">
      <c r="A205" s="134"/>
      <c r="B205" s="13"/>
      <c r="C205" s="13"/>
      <c r="D205" s="13"/>
      <c r="E205" s="13"/>
      <c r="F205" s="13"/>
      <c r="G205" s="13"/>
      <c r="H205" s="13"/>
      <c r="I205" s="13"/>
      <c r="J205" s="13"/>
    </row>
    <row r="206" spans="1:10">
      <c r="A206" s="134"/>
      <c r="B206" s="13"/>
      <c r="C206" s="13"/>
      <c r="D206" s="13"/>
      <c r="E206" s="13"/>
      <c r="F206" s="13"/>
      <c r="G206" s="13"/>
      <c r="H206" s="13"/>
      <c r="I206" s="13"/>
      <c r="J206" s="13"/>
    </row>
    <row r="207" spans="1:10">
      <c r="A207" s="134"/>
      <c r="B207" s="13"/>
      <c r="C207" s="13"/>
      <c r="D207" s="13"/>
      <c r="E207" s="13"/>
      <c r="F207" s="13"/>
      <c r="G207" s="13"/>
      <c r="H207" s="13"/>
      <c r="I207" s="13"/>
      <c r="J207" s="13"/>
    </row>
    <row r="208" spans="1:10">
      <c r="A208" s="134"/>
      <c r="B208" s="13"/>
      <c r="C208" s="13"/>
      <c r="D208" s="13"/>
      <c r="E208" s="13"/>
      <c r="F208" s="13"/>
      <c r="G208" s="13"/>
      <c r="H208" s="13"/>
      <c r="I208" s="13"/>
      <c r="J208" s="13"/>
    </row>
    <row r="209" spans="1:10">
      <c r="A209" s="134"/>
      <c r="B209" s="13"/>
      <c r="C209" s="13"/>
      <c r="D209" s="13"/>
      <c r="E209" s="13"/>
      <c r="F209" s="13"/>
      <c r="G209" s="13"/>
      <c r="H209" s="13"/>
      <c r="I209" s="13"/>
      <c r="J209" s="13"/>
    </row>
    <row r="210" spans="1:10">
      <c r="A210" s="134"/>
      <c r="B210" s="13"/>
      <c r="C210" s="13"/>
      <c r="D210" s="13"/>
      <c r="E210" s="13"/>
      <c r="F210" s="13"/>
      <c r="G210" s="13"/>
      <c r="H210" s="13"/>
      <c r="I210" s="13"/>
      <c r="J210" s="13"/>
    </row>
    <row r="211" spans="1:10">
      <c r="A211" s="134"/>
      <c r="B211" s="13"/>
      <c r="C211" s="13"/>
      <c r="D211" s="13"/>
      <c r="E211" s="13"/>
      <c r="F211" s="13"/>
      <c r="G211" s="13"/>
      <c r="H211" s="13"/>
      <c r="I211" s="13"/>
      <c r="J211" s="13"/>
    </row>
    <row r="212" spans="1:10">
      <c r="A212" s="134"/>
      <c r="B212" s="13"/>
      <c r="C212" s="13"/>
      <c r="D212" s="13"/>
      <c r="E212" s="13"/>
      <c r="F212" s="13"/>
      <c r="G212" s="13"/>
      <c r="H212" s="13"/>
      <c r="I212" s="13"/>
      <c r="J212" s="13"/>
    </row>
    <row r="213" spans="1:10">
      <c r="A213" s="134"/>
      <c r="B213" s="13"/>
      <c r="C213" s="13"/>
      <c r="D213" s="13"/>
      <c r="E213" s="13"/>
      <c r="F213" s="13"/>
      <c r="G213" s="13"/>
      <c r="H213" s="13"/>
      <c r="I213" s="13"/>
      <c r="J213" s="13"/>
    </row>
    <row r="214" spans="1:10">
      <c r="A214" s="134"/>
      <c r="B214" s="13"/>
      <c r="C214" s="13"/>
      <c r="D214" s="13"/>
      <c r="E214" s="13"/>
      <c r="F214" s="13"/>
      <c r="G214" s="13"/>
      <c r="H214" s="13"/>
      <c r="I214" s="13"/>
      <c r="J214" s="13"/>
    </row>
    <row r="215" spans="1:10">
      <c r="A215" s="134"/>
      <c r="B215" s="13"/>
      <c r="C215" s="13"/>
      <c r="D215" s="13"/>
      <c r="E215" s="13"/>
      <c r="F215" s="13"/>
      <c r="G215" s="13"/>
      <c r="H215" s="13"/>
      <c r="I215" s="13"/>
      <c r="J215" s="13"/>
    </row>
    <row r="216" spans="1:10">
      <c r="A216" s="134"/>
      <c r="B216" s="13"/>
      <c r="C216" s="13"/>
      <c r="D216" s="13"/>
      <c r="E216" s="13"/>
      <c r="F216" s="13"/>
      <c r="G216" s="13"/>
      <c r="H216" s="13"/>
      <c r="I216" s="13"/>
      <c r="J216" s="13"/>
    </row>
    <row r="217" spans="1:10">
      <c r="A217" s="134"/>
      <c r="B217" s="13"/>
      <c r="C217" s="13"/>
      <c r="D217" s="13"/>
      <c r="E217" s="13"/>
      <c r="F217" s="13"/>
      <c r="G217" s="13"/>
      <c r="H217" s="13"/>
      <c r="I217" s="13"/>
      <c r="J217" s="13"/>
    </row>
    <row r="218" spans="1:10">
      <c r="A218" s="134"/>
      <c r="B218" s="13"/>
      <c r="C218" s="13"/>
      <c r="D218" s="13"/>
      <c r="E218" s="13"/>
      <c r="F218" s="13"/>
      <c r="G218" s="13"/>
      <c r="H218" s="13"/>
      <c r="I218" s="13"/>
      <c r="J218" s="13"/>
    </row>
    <row r="219" spans="1:10">
      <c r="A219" s="134"/>
      <c r="B219" s="13"/>
      <c r="C219" s="13"/>
      <c r="D219" s="13"/>
      <c r="E219" s="13"/>
      <c r="F219" s="13"/>
      <c r="G219" s="13"/>
      <c r="H219" s="13"/>
      <c r="I219" s="13"/>
      <c r="J219" s="13"/>
    </row>
    <row r="220" spans="1:10">
      <c r="A220" s="134"/>
      <c r="B220" s="13"/>
      <c r="C220" s="13"/>
      <c r="D220" s="13"/>
      <c r="E220" s="13"/>
      <c r="F220" s="13"/>
      <c r="G220" s="13"/>
      <c r="H220" s="13"/>
      <c r="I220" s="13"/>
      <c r="J220" s="13"/>
    </row>
    <row r="221" spans="1:10">
      <c r="A221" s="134"/>
      <c r="B221" s="13"/>
      <c r="C221" s="13"/>
      <c r="D221" s="13"/>
      <c r="E221" s="13"/>
      <c r="F221" s="13"/>
      <c r="G221" s="13"/>
      <c r="H221" s="13"/>
      <c r="I221" s="13"/>
      <c r="J221" s="13"/>
    </row>
    <row r="222" spans="1:10">
      <c r="A222" s="134"/>
      <c r="B222" s="13"/>
      <c r="C222" s="13"/>
      <c r="D222" s="13"/>
      <c r="E222" s="13"/>
      <c r="F222" s="13"/>
      <c r="G222" s="13"/>
      <c r="H222" s="13"/>
      <c r="I222" s="13"/>
      <c r="J222" s="13"/>
    </row>
    <row r="223" spans="1:10">
      <c r="A223" s="134"/>
      <c r="B223" s="13"/>
      <c r="C223" s="13"/>
      <c r="D223" s="13"/>
      <c r="E223" s="13"/>
      <c r="F223" s="13"/>
      <c r="G223" s="13"/>
      <c r="H223" s="13"/>
      <c r="I223" s="13"/>
      <c r="J223" s="13"/>
    </row>
    <row r="224" spans="1:10">
      <c r="A224" s="134"/>
      <c r="B224" s="13"/>
      <c r="C224" s="13"/>
      <c r="D224" s="13"/>
      <c r="E224" s="13"/>
      <c r="F224" s="13"/>
      <c r="G224" s="13"/>
      <c r="H224" s="13"/>
      <c r="I224" s="13"/>
      <c r="J224" s="13"/>
    </row>
    <row r="225" spans="1:10">
      <c r="A225" s="134"/>
      <c r="B225" s="13"/>
      <c r="C225" s="13"/>
      <c r="D225" s="13"/>
      <c r="E225" s="13"/>
      <c r="F225" s="13"/>
      <c r="G225" s="13"/>
      <c r="H225" s="13"/>
      <c r="I225" s="13"/>
      <c r="J225" s="13"/>
    </row>
    <row r="226" spans="1:10">
      <c r="A226" s="134"/>
      <c r="B226" s="13"/>
      <c r="C226" s="13"/>
      <c r="D226" s="13"/>
      <c r="E226" s="13"/>
      <c r="F226" s="13"/>
      <c r="G226" s="13"/>
      <c r="H226" s="13"/>
      <c r="I226" s="13"/>
      <c r="J226" s="13"/>
    </row>
    <row r="227" spans="1:10">
      <c r="A227" s="134"/>
      <c r="B227" s="13"/>
      <c r="C227" s="13"/>
      <c r="D227" s="13"/>
      <c r="E227" s="13"/>
      <c r="F227" s="13"/>
      <c r="G227" s="13"/>
      <c r="H227" s="13"/>
      <c r="I227" s="13"/>
      <c r="J227" s="13"/>
    </row>
    <row r="228" spans="1:10">
      <c r="A228" s="134"/>
      <c r="B228" s="13"/>
      <c r="C228" s="13"/>
      <c r="D228" s="13"/>
      <c r="E228" s="13"/>
      <c r="F228" s="13"/>
      <c r="G228" s="13"/>
      <c r="H228" s="13"/>
      <c r="I228" s="13"/>
      <c r="J228" s="13"/>
    </row>
    <row r="229" spans="1:10">
      <c r="A229" s="134"/>
      <c r="B229" s="13"/>
      <c r="C229" s="13"/>
      <c r="D229" s="13"/>
      <c r="E229" s="13"/>
      <c r="F229" s="13"/>
      <c r="G229" s="13"/>
      <c r="H229" s="13"/>
      <c r="I229" s="13"/>
      <c r="J229" s="13"/>
    </row>
    <row r="230" spans="1:10">
      <c r="A230" s="134"/>
      <c r="B230" s="13"/>
      <c r="C230" s="13"/>
      <c r="D230" s="13"/>
      <c r="E230" s="13"/>
      <c r="F230" s="13"/>
      <c r="G230" s="13"/>
      <c r="H230" s="13"/>
      <c r="I230" s="13"/>
      <c r="J230" s="13"/>
    </row>
    <row r="231" spans="1:10">
      <c r="A231" s="134"/>
      <c r="B231" s="13"/>
      <c r="C231" s="13"/>
      <c r="D231" s="13"/>
      <c r="E231" s="13"/>
      <c r="F231" s="13"/>
      <c r="G231" s="13"/>
      <c r="H231" s="13"/>
      <c r="I231" s="13"/>
      <c r="J231" s="13"/>
    </row>
    <row r="232" spans="1:10">
      <c r="A232" s="134"/>
      <c r="B232" s="13"/>
      <c r="C232" s="13"/>
      <c r="D232" s="13"/>
      <c r="E232" s="13"/>
      <c r="F232" s="13"/>
      <c r="G232" s="13"/>
      <c r="H232" s="13"/>
      <c r="I232" s="13"/>
      <c r="J232" s="13"/>
    </row>
    <row r="233" spans="1:10">
      <c r="A233" s="134"/>
      <c r="B233" s="13"/>
      <c r="C233" s="13"/>
      <c r="D233" s="13"/>
      <c r="E233" s="13"/>
      <c r="F233" s="13"/>
      <c r="G233" s="13"/>
      <c r="H233" s="13"/>
      <c r="I233" s="13"/>
      <c r="J233" s="13"/>
    </row>
    <row r="234" spans="1:10">
      <c r="A234" s="134"/>
      <c r="B234" s="13"/>
      <c r="C234" s="13"/>
      <c r="D234" s="13"/>
      <c r="E234" s="13"/>
      <c r="F234" s="13"/>
      <c r="G234" s="13"/>
      <c r="H234" s="13"/>
      <c r="I234" s="13"/>
      <c r="J234" s="13"/>
    </row>
    <row r="235" spans="1:10">
      <c r="A235" s="134"/>
      <c r="B235" s="13"/>
      <c r="C235" s="13"/>
      <c r="D235" s="13"/>
      <c r="E235" s="13"/>
      <c r="F235" s="13"/>
      <c r="G235" s="13"/>
      <c r="H235" s="13"/>
      <c r="I235" s="13"/>
      <c r="J235" s="13"/>
    </row>
    <row r="236" spans="1:10">
      <c r="A236" s="134"/>
      <c r="B236" s="13"/>
      <c r="C236" s="13"/>
      <c r="D236" s="13"/>
      <c r="E236" s="13"/>
      <c r="F236" s="13"/>
      <c r="G236" s="13"/>
      <c r="H236" s="13"/>
      <c r="I236" s="13"/>
      <c r="J236" s="13"/>
    </row>
    <row r="237" spans="1:10">
      <c r="A237" s="134"/>
      <c r="B237" s="13"/>
      <c r="C237" s="13"/>
      <c r="D237" s="13"/>
      <c r="E237" s="13"/>
      <c r="F237" s="13"/>
      <c r="G237" s="13"/>
      <c r="H237" s="13"/>
      <c r="I237" s="13"/>
      <c r="J237" s="13"/>
    </row>
    <row r="238" spans="1:10">
      <c r="A238" s="134"/>
      <c r="B238" s="13"/>
      <c r="C238" s="13"/>
      <c r="D238" s="13"/>
      <c r="E238" s="13"/>
      <c r="F238" s="13"/>
      <c r="G238" s="13"/>
      <c r="H238" s="13"/>
      <c r="I238" s="13"/>
      <c r="J238" s="13"/>
    </row>
    <row r="239" spans="1:10">
      <c r="A239" s="134"/>
      <c r="B239" s="13"/>
      <c r="C239" s="13"/>
      <c r="D239" s="13"/>
      <c r="E239" s="13"/>
      <c r="F239" s="13"/>
      <c r="G239" s="13"/>
      <c r="H239" s="13"/>
      <c r="I239" s="13"/>
      <c r="J239" s="13"/>
    </row>
    <row r="240" spans="1:10">
      <c r="A240" s="134"/>
      <c r="B240" s="13"/>
      <c r="C240" s="13"/>
      <c r="D240" s="13"/>
      <c r="E240" s="13"/>
      <c r="F240" s="13"/>
      <c r="G240" s="13"/>
      <c r="H240" s="13"/>
      <c r="I240" s="13"/>
      <c r="J240" s="13"/>
    </row>
    <row r="241" spans="1:10">
      <c r="A241" s="134"/>
      <c r="B241" s="13"/>
      <c r="C241" s="13"/>
      <c r="D241" s="13"/>
      <c r="E241" s="13"/>
      <c r="F241" s="13"/>
      <c r="G241" s="13"/>
      <c r="H241" s="13"/>
      <c r="I241" s="13"/>
      <c r="J241" s="13"/>
    </row>
    <row r="242" spans="1:10">
      <c r="A242" s="134"/>
      <c r="B242" s="13"/>
      <c r="C242" s="13"/>
      <c r="D242" s="13"/>
      <c r="E242" s="13"/>
      <c r="F242" s="13"/>
      <c r="G242" s="13"/>
      <c r="H242" s="13"/>
      <c r="I242" s="13"/>
      <c r="J242" s="13"/>
    </row>
    <row r="243" spans="1:10">
      <c r="A243" s="134"/>
      <c r="B243" s="13"/>
      <c r="C243" s="13"/>
      <c r="D243" s="13"/>
      <c r="E243" s="13"/>
      <c r="F243" s="13"/>
      <c r="G243" s="13"/>
      <c r="H243" s="13"/>
      <c r="I243" s="13"/>
      <c r="J243" s="13"/>
    </row>
    <row r="244" spans="1:10">
      <c r="A244" s="134"/>
      <c r="B244" s="13"/>
      <c r="C244" s="13"/>
      <c r="D244" s="13"/>
      <c r="E244" s="13"/>
      <c r="F244" s="13"/>
      <c r="G244" s="13"/>
      <c r="H244" s="13"/>
      <c r="I244" s="13"/>
      <c r="J244" s="13"/>
    </row>
    <row r="245" spans="1:10">
      <c r="A245" s="134"/>
      <c r="B245" s="13"/>
      <c r="C245" s="13"/>
      <c r="D245" s="13"/>
      <c r="E245" s="13"/>
      <c r="F245" s="13"/>
      <c r="G245" s="13"/>
      <c r="H245" s="13"/>
      <c r="I245" s="13"/>
      <c r="J245" s="13"/>
    </row>
    <row r="246" spans="1:10">
      <c r="A246" s="134"/>
      <c r="B246" s="13"/>
      <c r="C246" s="13"/>
      <c r="D246" s="13"/>
      <c r="E246" s="13"/>
      <c r="F246" s="13"/>
      <c r="G246" s="13"/>
      <c r="H246" s="13"/>
      <c r="I246" s="13"/>
      <c r="J246" s="13"/>
    </row>
    <row r="247" spans="1:10">
      <c r="A247" s="134"/>
      <c r="B247" s="13"/>
      <c r="C247" s="13"/>
      <c r="D247" s="13"/>
      <c r="E247" s="13"/>
      <c r="F247" s="13"/>
      <c r="G247" s="13"/>
      <c r="H247" s="13"/>
      <c r="I247" s="13"/>
      <c r="J247" s="13"/>
    </row>
    <row r="248" spans="1:10">
      <c r="A248" s="134"/>
      <c r="B248" s="13"/>
      <c r="C248" s="13"/>
      <c r="D248" s="13"/>
      <c r="E248" s="13"/>
      <c r="F248" s="13"/>
      <c r="G248" s="13"/>
      <c r="H248" s="13"/>
      <c r="I248" s="13"/>
      <c r="J248" s="13"/>
    </row>
    <row r="249" spans="1:10">
      <c r="A249" s="134"/>
      <c r="B249" s="13"/>
      <c r="C249" s="13"/>
      <c r="D249" s="13"/>
      <c r="E249" s="13"/>
      <c r="F249" s="13"/>
      <c r="G249" s="13"/>
      <c r="H249" s="13"/>
      <c r="I249" s="13"/>
      <c r="J249" s="13"/>
    </row>
    <row r="250" spans="1:10">
      <c r="A250" s="134"/>
      <c r="B250" s="13"/>
      <c r="C250" s="13"/>
      <c r="D250" s="13"/>
      <c r="E250" s="13"/>
      <c r="F250" s="13"/>
      <c r="G250" s="13"/>
      <c r="H250" s="13"/>
      <c r="I250" s="13"/>
      <c r="J250" s="13"/>
    </row>
    <row r="251" spans="1:10">
      <c r="A251" s="134"/>
      <c r="B251" s="13"/>
      <c r="C251" s="13"/>
      <c r="D251" s="13"/>
      <c r="E251" s="13"/>
      <c r="F251" s="13"/>
      <c r="G251" s="13"/>
      <c r="H251" s="13"/>
      <c r="I251" s="13"/>
      <c r="J251" s="13"/>
    </row>
    <row r="252" spans="1:10">
      <c r="A252" s="134"/>
      <c r="B252" s="13"/>
      <c r="C252" s="13"/>
      <c r="D252" s="13"/>
      <c r="E252" s="13"/>
      <c r="F252" s="13"/>
      <c r="G252" s="13"/>
      <c r="H252" s="13"/>
      <c r="I252" s="13"/>
      <c r="J252" s="13"/>
    </row>
    <row r="253" spans="1:10">
      <c r="A253" s="134"/>
      <c r="B253" s="13"/>
      <c r="C253" s="13"/>
      <c r="D253" s="13"/>
      <c r="E253" s="13"/>
      <c r="F253" s="13"/>
      <c r="G253" s="13"/>
      <c r="H253" s="13"/>
      <c r="I253" s="13"/>
      <c r="J253" s="13"/>
    </row>
    <row r="254" spans="1:10">
      <c r="A254" s="134"/>
      <c r="B254" s="13"/>
      <c r="C254" s="13"/>
      <c r="D254" s="13"/>
      <c r="E254" s="13"/>
      <c r="F254" s="13"/>
      <c r="G254" s="13"/>
      <c r="H254" s="13"/>
      <c r="I254" s="13"/>
      <c r="J254" s="13"/>
    </row>
    <row r="255" spans="1:10">
      <c r="A255" s="134"/>
      <c r="B255" s="13"/>
      <c r="C255" s="13"/>
      <c r="D255" s="13"/>
      <c r="E255" s="13"/>
      <c r="F255" s="13"/>
      <c r="G255" s="13"/>
      <c r="H255" s="13"/>
      <c r="I255" s="13"/>
      <c r="J255" s="13"/>
    </row>
    <row r="256" spans="1:10">
      <c r="A256" s="134"/>
      <c r="B256" s="13"/>
      <c r="C256" s="13"/>
      <c r="D256" s="13"/>
      <c r="E256" s="13"/>
      <c r="F256" s="13"/>
      <c r="G256" s="13"/>
      <c r="H256" s="13"/>
      <c r="I256" s="13"/>
      <c r="J256" s="13"/>
    </row>
    <row r="257" spans="1:10">
      <c r="A257" s="134"/>
      <c r="B257" s="13"/>
      <c r="C257" s="13"/>
      <c r="D257" s="13"/>
      <c r="E257" s="13"/>
      <c r="F257" s="13"/>
      <c r="G257" s="13"/>
      <c r="H257" s="13"/>
      <c r="I257" s="13"/>
      <c r="J257" s="13"/>
    </row>
    <row r="258" spans="1:10">
      <c r="A258" s="134"/>
      <c r="B258" s="13"/>
      <c r="C258" s="13"/>
      <c r="D258" s="13"/>
      <c r="E258" s="13"/>
      <c r="F258" s="13"/>
      <c r="G258" s="13"/>
      <c r="H258" s="13"/>
      <c r="I258" s="13"/>
      <c r="J258" s="13"/>
    </row>
    <row r="259" spans="1:10">
      <c r="A259" s="134"/>
      <c r="B259" s="13"/>
      <c r="C259" s="13"/>
      <c r="D259" s="13"/>
      <c r="E259" s="13"/>
      <c r="F259" s="13"/>
      <c r="G259" s="13"/>
      <c r="H259" s="13"/>
      <c r="I259" s="13"/>
      <c r="J259" s="13"/>
    </row>
    <row r="260" spans="1:10">
      <c r="A260" s="134"/>
      <c r="B260" s="13"/>
      <c r="C260" s="13"/>
      <c r="D260" s="13"/>
      <c r="E260" s="13"/>
      <c r="F260" s="13"/>
      <c r="G260" s="13"/>
      <c r="H260" s="13"/>
      <c r="I260" s="13"/>
      <c r="J260" s="13"/>
    </row>
    <row r="261" spans="1:10">
      <c r="A261" s="134"/>
      <c r="B261" s="13"/>
      <c r="C261" s="13"/>
      <c r="D261" s="13"/>
      <c r="E261" s="13"/>
      <c r="F261" s="13"/>
      <c r="G261" s="13"/>
      <c r="H261" s="13"/>
      <c r="I261" s="13"/>
      <c r="J261" s="13"/>
    </row>
    <row r="262" spans="1:10">
      <c r="A262" s="134"/>
      <c r="B262" s="13"/>
      <c r="C262" s="13"/>
      <c r="D262" s="13"/>
      <c r="E262" s="13"/>
      <c r="F262" s="13"/>
      <c r="G262" s="13"/>
      <c r="H262" s="13"/>
      <c r="I262" s="13"/>
      <c r="J262" s="13"/>
    </row>
    <row r="263" spans="1:10">
      <c r="A263" s="134"/>
      <c r="B263" s="13"/>
      <c r="C263" s="13"/>
      <c r="D263" s="13"/>
      <c r="E263" s="13"/>
      <c r="F263" s="13"/>
      <c r="G263" s="13"/>
      <c r="H263" s="13"/>
      <c r="I263" s="13"/>
      <c r="J263" s="13"/>
    </row>
    <row r="264" spans="1:10">
      <c r="A264" s="134"/>
      <c r="B264" s="13"/>
      <c r="C264" s="13"/>
      <c r="D264" s="13"/>
      <c r="E264" s="13"/>
      <c r="F264" s="13"/>
      <c r="G264" s="13"/>
      <c r="H264" s="13"/>
      <c r="I264" s="13"/>
      <c r="J264" s="13"/>
    </row>
    <row r="265" spans="1:10">
      <c r="A265" s="134"/>
      <c r="B265" s="13"/>
      <c r="C265" s="13"/>
      <c r="D265" s="13"/>
      <c r="E265" s="13"/>
      <c r="F265" s="13"/>
      <c r="G265" s="13"/>
      <c r="H265" s="13"/>
      <c r="I265" s="13"/>
      <c r="J265" s="13"/>
    </row>
    <row r="266" spans="1:10">
      <c r="A266" s="134"/>
      <c r="B266" s="13"/>
      <c r="C266" s="13"/>
      <c r="D266" s="13"/>
      <c r="E266" s="13"/>
      <c r="F266" s="13"/>
      <c r="G266" s="13"/>
      <c r="H266" s="13"/>
      <c r="I266" s="13"/>
      <c r="J266" s="13"/>
    </row>
    <row r="267" spans="1:10">
      <c r="A267" s="134"/>
      <c r="B267" s="13"/>
      <c r="C267" s="13"/>
      <c r="D267" s="13"/>
      <c r="E267" s="13"/>
      <c r="F267" s="13"/>
      <c r="G267" s="13"/>
      <c r="H267" s="13"/>
      <c r="I267" s="13"/>
      <c r="J267" s="13"/>
    </row>
    <row r="268" spans="1:10">
      <c r="A268" s="134"/>
      <c r="B268" s="13"/>
      <c r="C268" s="13"/>
      <c r="D268" s="13"/>
      <c r="E268" s="13"/>
      <c r="F268" s="13"/>
      <c r="G268" s="13"/>
      <c r="H268" s="13"/>
      <c r="I268" s="13"/>
      <c r="J268" s="13"/>
    </row>
    <row r="269" spans="1:10">
      <c r="A269" s="134"/>
      <c r="B269" s="13"/>
      <c r="C269" s="13"/>
      <c r="D269" s="13"/>
      <c r="E269" s="13"/>
      <c r="F269" s="13"/>
      <c r="G269" s="13"/>
      <c r="H269" s="13"/>
      <c r="I269" s="13"/>
      <c r="J269" s="13"/>
    </row>
    <row r="270" spans="1:10">
      <c r="A270" s="134"/>
      <c r="B270" s="13"/>
      <c r="C270" s="13"/>
      <c r="D270" s="13"/>
      <c r="E270" s="13"/>
      <c r="F270" s="13"/>
      <c r="G270" s="13"/>
      <c r="H270" s="13"/>
      <c r="I270" s="13"/>
      <c r="J270" s="13"/>
    </row>
    <row r="271" spans="1:10">
      <c r="A271" s="134"/>
      <c r="B271" s="13"/>
      <c r="C271" s="13"/>
      <c r="D271" s="13"/>
      <c r="E271" s="13"/>
      <c r="F271" s="13"/>
      <c r="G271" s="13"/>
      <c r="H271" s="13"/>
      <c r="I271" s="13"/>
      <c r="J271" s="13"/>
    </row>
    <row r="272" spans="1:10">
      <c r="A272" s="134"/>
      <c r="B272" s="13"/>
      <c r="C272" s="13"/>
      <c r="D272" s="13"/>
      <c r="E272" s="13"/>
      <c r="F272" s="13"/>
      <c r="G272" s="13"/>
      <c r="H272" s="13"/>
      <c r="I272" s="13"/>
      <c r="J272" s="13"/>
    </row>
    <row r="273" spans="1:10">
      <c r="A273" s="134"/>
      <c r="B273" s="13"/>
      <c r="C273" s="13"/>
      <c r="D273" s="13"/>
      <c r="E273" s="13"/>
      <c r="F273" s="13"/>
      <c r="G273" s="13"/>
      <c r="H273" s="13"/>
      <c r="I273" s="13"/>
      <c r="J273" s="13"/>
    </row>
    <row r="274" spans="1:10">
      <c r="A274" s="134"/>
      <c r="B274" s="13"/>
      <c r="C274" s="13"/>
      <c r="D274" s="13"/>
      <c r="E274" s="13"/>
      <c r="F274" s="13"/>
      <c r="G274" s="13"/>
      <c r="H274" s="13"/>
      <c r="I274" s="13"/>
      <c r="J274" s="13"/>
    </row>
    <row r="275" spans="1:10">
      <c r="A275" s="134"/>
      <c r="B275" s="13"/>
      <c r="C275" s="13"/>
      <c r="D275" s="13"/>
      <c r="E275" s="13"/>
      <c r="F275" s="13"/>
      <c r="G275" s="13"/>
      <c r="H275" s="13"/>
      <c r="I275" s="13"/>
      <c r="J275" s="13"/>
    </row>
    <row r="276" spans="1:10">
      <c r="A276" s="134"/>
      <c r="B276" s="13"/>
      <c r="C276" s="13"/>
      <c r="D276" s="13"/>
      <c r="E276" s="13"/>
      <c r="F276" s="13"/>
      <c r="G276" s="13"/>
      <c r="H276" s="13"/>
      <c r="I276" s="13"/>
      <c r="J276" s="13"/>
    </row>
    <row r="277" spans="1:10">
      <c r="A277" s="134"/>
      <c r="B277" s="13"/>
      <c r="C277" s="13"/>
      <c r="D277" s="13"/>
      <c r="E277" s="13"/>
      <c r="F277" s="13"/>
      <c r="G277" s="13"/>
      <c r="H277" s="13"/>
      <c r="I277" s="13"/>
      <c r="J277" s="13"/>
    </row>
    <row r="278" spans="1:10">
      <c r="A278" s="134"/>
      <c r="B278" s="13"/>
      <c r="C278" s="13"/>
      <c r="D278" s="13"/>
      <c r="E278" s="13"/>
      <c r="F278" s="13"/>
      <c r="G278" s="13"/>
      <c r="H278" s="13"/>
      <c r="I278" s="13"/>
      <c r="J278" s="13"/>
    </row>
    <row r="279" spans="1:10">
      <c r="A279" s="134"/>
      <c r="B279" s="13"/>
      <c r="C279" s="13"/>
      <c r="D279" s="13"/>
      <c r="E279" s="13"/>
      <c r="F279" s="13"/>
      <c r="G279" s="13"/>
      <c r="H279" s="13"/>
      <c r="I279" s="13"/>
      <c r="J279" s="13"/>
    </row>
    <row r="280" spans="1:10">
      <c r="A280" s="134"/>
      <c r="B280" s="13"/>
      <c r="C280" s="13"/>
      <c r="D280" s="13"/>
      <c r="E280" s="13"/>
      <c r="F280" s="13"/>
      <c r="G280" s="13"/>
      <c r="H280" s="13"/>
      <c r="I280" s="13"/>
      <c r="J280" s="13"/>
    </row>
    <row r="281" spans="1:10">
      <c r="A281" s="134"/>
      <c r="B281" s="13"/>
      <c r="C281" s="13"/>
      <c r="D281" s="13"/>
      <c r="E281" s="13"/>
      <c r="F281" s="13"/>
      <c r="G281" s="13"/>
      <c r="H281" s="13"/>
      <c r="I281" s="13"/>
      <c r="J281" s="13"/>
    </row>
    <row r="282" spans="1:10">
      <c r="A282" s="134"/>
      <c r="B282" s="13"/>
      <c r="C282" s="13"/>
      <c r="D282" s="13"/>
      <c r="E282" s="13"/>
      <c r="F282" s="13"/>
      <c r="G282" s="13"/>
      <c r="H282" s="13"/>
      <c r="I282" s="13"/>
      <c r="J282" s="13"/>
    </row>
    <row r="283" spans="1:10">
      <c r="A283" s="134"/>
      <c r="B283" s="13"/>
      <c r="C283" s="13"/>
      <c r="D283" s="13"/>
      <c r="E283" s="13"/>
      <c r="F283" s="13"/>
      <c r="G283" s="13"/>
      <c r="H283" s="13"/>
      <c r="I283" s="13"/>
      <c r="J283" s="13"/>
    </row>
    <row r="284" spans="1:10">
      <c r="A284" s="134"/>
      <c r="B284" s="13"/>
      <c r="C284" s="13"/>
      <c r="D284" s="13"/>
      <c r="E284" s="13"/>
      <c r="F284" s="13"/>
      <c r="G284" s="13"/>
      <c r="H284" s="13"/>
      <c r="I284" s="13"/>
      <c r="J284" s="13"/>
    </row>
    <row r="285" spans="1:10">
      <c r="A285" s="134"/>
      <c r="B285" s="13"/>
      <c r="C285" s="13"/>
      <c r="D285" s="13"/>
      <c r="E285" s="13"/>
      <c r="F285" s="13"/>
      <c r="G285" s="13"/>
      <c r="H285" s="13"/>
      <c r="I285" s="13"/>
      <c r="J285" s="13"/>
    </row>
    <row r="286" spans="1:10">
      <c r="A286" s="134"/>
      <c r="B286" s="13"/>
      <c r="C286" s="13"/>
      <c r="D286" s="13"/>
      <c r="E286" s="13"/>
      <c r="F286" s="13"/>
      <c r="G286" s="13"/>
      <c r="H286" s="13"/>
      <c r="I286" s="13"/>
      <c r="J286" s="13"/>
    </row>
    <row r="287" spans="1:10">
      <c r="A287" s="134"/>
      <c r="B287" s="13"/>
      <c r="C287" s="13"/>
      <c r="D287" s="13"/>
      <c r="E287" s="13"/>
      <c r="F287" s="13"/>
      <c r="G287" s="13"/>
      <c r="H287" s="13"/>
      <c r="I287" s="13"/>
      <c r="J287" s="13"/>
    </row>
    <row r="288" spans="1:10">
      <c r="A288" s="134"/>
      <c r="B288" s="13"/>
      <c r="C288" s="13"/>
      <c r="D288" s="13"/>
      <c r="E288" s="13"/>
      <c r="F288" s="13"/>
      <c r="G288" s="13"/>
      <c r="H288" s="13"/>
      <c r="I288" s="13"/>
      <c r="J288" s="13"/>
    </row>
    <row r="289" spans="1:10">
      <c r="A289" s="134"/>
      <c r="B289" s="13"/>
      <c r="C289" s="13"/>
      <c r="D289" s="13"/>
      <c r="E289" s="13"/>
      <c r="F289" s="13"/>
      <c r="G289" s="13"/>
      <c r="H289" s="13"/>
      <c r="I289" s="13"/>
      <c r="J289" s="13"/>
    </row>
    <row r="290" spans="1:10">
      <c r="A290" s="134"/>
      <c r="B290" s="13"/>
      <c r="C290" s="13"/>
      <c r="D290" s="13"/>
      <c r="E290" s="13"/>
      <c r="F290" s="13"/>
      <c r="G290" s="13"/>
      <c r="H290" s="13"/>
      <c r="I290" s="13"/>
      <c r="J290" s="13"/>
    </row>
    <row r="291" spans="1:10">
      <c r="A291" s="134"/>
      <c r="B291" s="13"/>
      <c r="C291" s="13"/>
      <c r="D291" s="13"/>
      <c r="E291" s="13"/>
      <c r="F291" s="13"/>
      <c r="G291" s="13"/>
      <c r="H291" s="13"/>
      <c r="I291" s="13"/>
      <c r="J291" s="13"/>
    </row>
    <row r="292" spans="1:10">
      <c r="A292" s="134"/>
      <c r="B292" s="13"/>
      <c r="C292" s="13"/>
      <c r="D292" s="13"/>
      <c r="E292" s="13"/>
      <c r="F292" s="13"/>
      <c r="G292" s="13"/>
      <c r="H292" s="13"/>
      <c r="I292" s="13"/>
      <c r="J292" s="13"/>
    </row>
    <row r="293" spans="1:10">
      <c r="A293" s="134"/>
      <c r="B293" s="13"/>
      <c r="C293" s="13"/>
      <c r="D293" s="13"/>
      <c r="E293" s="13"/>
      <c r="F293" s="13"/>
      <c r="G293" s="13"/>
      <c r="H293" s="13"/>
      <c r="I293" s="13"/>
      <c r="J293" s="13"/>
    </row>
    <row r="294" spans="1:10">
      <c r="A294" s="134"/>
      <c r="B294" s="13"/>
      <c r="C294" s="13"/>
      <c r="D294" s="13"/>
      <c r="E294" s="13"/>
      <c r="F294" s="13"/>
      <c r="G294" s="13"/>
      <c r="H294" s="13"/>
      <c r="I294" s="13"/>
      <c r="J294" s="13"/>
    </row>
    <row r="295" spans="1:10">
      <c r="A295" s="134"/>
      <c r="B295" s="13"/>
      <c r="C295" s="13"/>
      <c r="D295" s="13"/>
      <c r="E295" s="13"/>
      <c r="F295" s="13"/>
      <c r="G295" s="13"/>
      <c r="H295" s="13"/>
      <c r="I295" s="13"/>
      <c r="J295" s="13"/>
    </row>
    <row r="296" spans="1:10">
      <c r="A296" s="134"/>
      <c r="B296" s="13"/>
      <c r="C296" s="13"/>
      <c r="D296" s="13"/>
      <c r="E296" s="13"/>
      <c r="F296" s="13"/>
      <c r="G296" s="13"/>
      <c r="H296" s="13"/>
      <c r="I296" s="13"/>
      <c r="J296" s="13"/>
    </row>
    <row r="297" spans="1:10">
      <c r="A297" s="134"/>
      <c r="B297" s="13"/>
      <c r="C297" s="13"/>
      <c r="D297" s="13"/>
      <c r="E297" s="13"/>
      <c r="F297" s="13"/>
      <c r="G297" s="13"/>
      <c r="H297" s="13"/>
      <c r="I297" s="13"/>
      <c r="J297" s="13"/>
    </row>
    <row r="298" spans="1:10">
      <c r="A298" s="134"/>
      <c r="B298" s="13"/>
      <c r="C298" s="13"/>
      <c r="D298" s="13"/>
      <c r="E298" s="13"/>
      <c r="F298" s="13"/>
      <c r="G298" s="13"/>
      <c r="H298" s="13"/>
      <c r="I298" s="13"/>
      <c r="J298" s="13"/>
    </row>
    <row r="299" spans="1:10">
      <c r="A299" s="134"/>
      <c r="B299" s="13"/>
      <c r="C299" s="13"/>
      <c r="D299" s="13"/>
      <c r="E299" s="13"/>
      <c r="F299" s="13"/>
      <c r="G299" s="13"/>
      <c r="H299" s="13"/>
      <c r="I299" s="13"/>
      <c r="J299" s="13"/>
    </row>
    <row r="300" spans="1:10">
      <c r="A300" s="134"/>
      <c r="B300" s="13"/>
      <c r="C300" s="13"/>
      <c r="D300" s="13"/>
      <c r="E300" s="13"/>
      <c r="F300" s="13"/>
      <c r="G300" s="13"/>
      <c r="H300" s="13"/>
      <c r="I300" s="13"/>
      <c r="J300" s="13"/>
    </row>
    <row r="301" spans="1:10">
      <c r="A301" s="134"/>
      <c r="B301" s="13"/>
      <c r="C301" s="13"/>
      <c r="D301" s="13"/>
      <c r="E301" s="13"/>
      <c r="F301" s="13"/>
      <c r="G301" s="13"/>
      <c r="H301" s="13"/>
      <c r="I301" s="13"/>
      <c r="J301" s="13"/>
    </row>
    <row r="302" spans="1:10">
      <c r="A302" s="134"/>
      <c r="B302" s="13"/>
      <c r="C302" s="13"/>
      <c r="D302" s="13"/>
      <c r="E302" s="13"/>
      <c r="F302" s="13"/>
      <c r="G302" s="13"/>
      <c r="H302" s="13"/>
      <c r="I302" s="13"/>
      <c r="J302" s="13"/>
    </row>
    <row r="303" spans="1:10">
      <c r="A303" s="134"/>
      <c r="B303" s="13"/>
      <c r="C303" s="13"/>
      <c r="D303" s="13"/>
      <c r="E303" s="13"/>
      <c r="F303" s="13"/>
      <c r="G303" s="13"/>
      <c r="H303" s="13"/>
      <c r="I303" s="13"/>
      <c r="J303" s="13"/>
    </row>
    <row r="304" spans="1:10">
      <c r="A304" s="134"/>
      <c r="B304" s="13"/>
      <c r="C304" s="13"/>
      <c r="D304" s="13"/>
      <c r="E304" s="13"/>
      <c r="F304" s="13"/>
      <c r="G304" s="13"/>
      <c r="H304" s="13"/>
      <c r="I304" s="13"/>
      <c r="J304" s="13"/>
    </row>
    <row r="305" spans="1:10">
      <c r="A305" s="134"/>
      <c r="B305" s="13"/>
      <c r="C305" s="13"/>
      <c r="D305" s="13"/>
      <c r="E305" s="13"/>
      <c r="F305" s="13"/>
      <c r="G305" s="13"/>
      <c r="H305" s="13"/>
      <c r="I305" s="13"/>
      <c r="J305" s="13"/>
    </row>
    <row r="306" spans="1:10">
      <c r="A306" s="134"/>
      <c r="B306" s="13"/>
      <c r="C306" s="13"/>
      <c r="D306" s="13"/>
      <c r="E306" s="13"/>
      <c r="F306" s="13"/>
      <c r="G306" s="13"/>
      <c r="H306" s="13"/>
      <c r="I306" s="13"/>
      <c r="J306" s="13"/>
    </row>
    <row r="307" spans="1:10">
      <c r="A307" s="134"/>
      <c r="B307" s="13"/>
      <c r="C307" s="13"/>
      <c r="D307" s="13"/>
      <c r="E307" s="13"/>
      <c r="F307" s="13"/>
      <c r="G307" s="13"/>
      <c r="H307" s="13"/>
      <c r="I307" s="13"/>
      <c r="J307" s="13"/>
    </row>
    <row r="308" spans="1:10">
      <c r="A308" s="134"/>
      <c r="B308" s="13"/>
      <c r="C308" s="13"/>
      <c r="D308" s="13"/>
      <c r="E308" s="13"/>
      <c r="F308" s="13"/>
      <c r="G308" s="13"/>
      <c r="H308" s="13"/>
      <c r="I308" s="13"/>
      <c r="J308" s="13"/>
    </row>
    <row r="309" spans="1:10">
      <c r="A309" s="134"/>
      <c r="B309" s="13"/>
      <c r="C309" s="13"/>
      <c r="D309" s="13"/>
      <c r="E309" s="13"/>
      <c r="F309" s="13"/>
      <c r="G309" s="13"/>
      <c r="H309" s="13"/>
      <c r="I309" s="13"/>
      <c r="J309" s="13"/>
    </row>
    <row r="310" spans="1:10">
      <c r="A310" s="134"/>
      <c r="B310" s="13"/>
      <c r="C310" s="13"/>
      <c r="D310" s="13"/>
      <c r="E310" s="13"/>
      <c r="F310" s="13"/>
      <c r="G310" s="13"/>
      <c r="H310" s="13"/>
      <c r="I310" s="13"/>
      <c r="J310" s="13"/>
    </row>
    <row r="311" spans="1:10">
      <c r="A311" s="134"/>
      <c r="B311" s="13"/>
      <c r="C311" s="13"/>
      <c r="D311" s="13"/>
      <c r="E311" s="13"/>
      <c r="F311" s="13"/>
      <c r="G311" s="13"/>
      <c r="H311" s="13"/>
      <c r="I311" s="13"/>
      <c r="J311" s="13"/>
    </row>
    <row r="312" spans="1:10">
      <c r="A312" s="134"/>
      <c r="B312" s="13"/>
      <c r="C312" s="13"/>
      <c r="D312" s="13"/>
      <c r="E312" s="13"/>
      <c r="F312" s="13"/>
      <c r="G312" s="13"/>
      <c r="H312" s="13"/>
      <c r="I312" s="13"/>
      <c r="J312" s="13"/>
    </row>
    <row r="313" spans="1:10">
      <c r="A313" s="134"/>
      <c r="B313" s="13"/>
      <c r="C313" s="13"/>
      <c r="D313" s="13"/>
      <c r="E313" s="13"/>
      <c r="F313" s="13"/>
      <c r="G313" s="13"/>
      <c r="H313" s="13"/>
      <c r="I313" s="13"/>
      <c r="J313" s="13"/>
    </row>
    <row r="314" spans="1:10">
      <c r="A314" s="134"/>
      <c r="B314" s="13"/>
      <c r="C314" s="13"/>
      <c r="D314" s="13"/>
      <c r="E314" s="13"/>
      <c r="F314" s="13"/>
      <c r="G314" s="13"/>
      <c r="H314" s="13"/>
      <c r="I314" s="13"/>
      <c r="J314" s="13"/>
    </row>
    <row r="315" spans="1:10">
      <c r="A315" s="134"/>
      <c r="B315" s="13"/>
      <c r="C315" s="13"/>
      <c r="D315" s="13"/>
      <c r="E315" s="13"/>
      <c r="F315" s="13"/>
      <c r="G315" s="13"/>
      <c r="H315" s="13"/>
      <c r="I315" s="13"/>
      <c r="J315" s="13"/>
    </row>
    <row r="316" spans="1:10">
      <c r="A316" s="134"/>
      <c r="B316" s="13"/>
      <c r="C316" s="13"/>
      <c r="D316" s="13"/>
      <c r="E316" s="13"/>
      <c r="F316" s="13"/>
      <c r="G316" s="13"/>
      <c r="H316" s="13"/>
      <c r="I316" s="13"/>
      <c r="J316" s="13"/>
    </row>
    <row r="317" spans="1:10">
      <c r="A317" s="134"/>
      <c r="B317" s="13"/>
      <c r="C317" s="13"/>
      <c r="D317" s="13"/>
      <c r="E317" s="13"/>
      <c r="F317" s="13"/>
      <c r="G317" s="13"/>
      <c r="H317" s="13"/>
      <c r="I317" s="13"/>
      <c r="J317" s="13"/>
    </row>
    <row r="318" spans="1:10">
      <c r="A318" s="134"/>
      <c r="B318" s="13"/>
      <c r="C318" s="13"/>
      <c r="D318" s="13"/>
      <c r="E318" s="13"/>
      <c r="F318" s="13"/>
      <c r="G318" s="13"/>
      <c r="H318" s="13"/>
      <c r="I318" s="13"/>
      <c r="J318" s="13"/>
    </row>
    <row r="319" spans="1:10">
      <c r="A319" s="134"/>
      <c r="B319" s="13"/>
      <c r="C319" s="13"/>
      <c r="D319" s="13"/>
      <c r="E319" s="13"/>
      <c r="F319" s="13"/>
      <c r="G319" s="13"/>
      <c r="H319" s="13"/>
      <c r="I319" s="13"/>
      <c r="J319" s="13"/>
    </row>
    <row r="320" spans="1:10">
      <c r="A320" s="134"/>
      <c r="B320" s="13"/>
      <c r="C320" s="13"/>
      <c r="D320" s="13"/>
      <c r="E320" s="13"/>
      <c r="F320" s="13"/>
      <c r="G320" s="13"/>
      <c r="H320" s="13"/>
      <c r="I320" s="13"/>
      <c r="J320" s="13"/>
    </row>
    <row r="321" spans="1:10">
      <c r="A321" s="134"/>
      <c r="B321" s="13"/>
      <c r="C321" s="13"/>
      <c r="D321" s="13"/>
      <c r="E321" s="13"/>
      <c r="F321" s="13"/>
      <c r="G321" s="13"/>
      <c r="H321" s="13"/>
      <c r="I321" s="13"/>
      <c r="J321" s="13"/>
    </row>
    <row r="322" spans="1:10">
      <c r="A322" s="134"/>
      <c r="B322" s="13"/>
      <c r="C322" s="13"/>
      <c r="D322" s="13"/>
      <c r="E322" s="13"/>
      <c r="F322" s="13"/>
      <c r="G322" s="13"/>
      <c r="H322" s="13"/>
      <c r="I322" s="13"/>
      <c r="J322" s="13"/>
    </row>
    <row r="323" spans="1:10">
      <c r="A323" s="134"/>
      <c r="B323" s="13"/>
      <c r="C323" s="13"/>
      <c r="D323" s="13"/>
      <c r="E323" s="13"/>
      <c r="F323" s="13"/>
      <c r="G323" s="13"/>
      <c r="H323" s="13"/>
      <c r="I323" s="13"/>
      <c r="J323" s="13"/>
    </row>
    <row r="324" spans="1:10">
      <c r="A324" s="134"/>
      <c r="B324" s="13"/>
      <c r="C324" s="13"/>
      <c r="D324" s="13"/>
      <c r="E324" s="13"/>
      <c r="F324" s="13"/>
      <c r="G324" s="13"/>
      <c r="H324" s="13"/>
      <c r="I324" s="13"/>
      <c r="J324" s="13"/>
    </row>
    <row r="325" spans="1:10">
      <c r="A325" s="134"/>
      <c r="B325" s="13"/>
      <c r="C325" s="13"/>
      <c r="D325" s="13"/>
      <c r="E325" s="13"/>
      <c r="F325" s="13"/>
      <c r="G325" s="13"/>
      <c r="H325" s="13"/>
      <c r="I325" s="13"/>
      <c r="J325" s="13"/>
    </row>
    <row r="326" spans="1:10">
      <c r="A326" s="134"/>
      <c r="B326" s="13"/>
      <c r="C326" s="13"/>
      <c r="D326" s="13"/>
      <c r="E326" s="13"/>
      <c r="F326" s="13"/>
      <c r="G326" s="13"/>
      <c r="H326" s="13"/>
      <c r="I326" s="13"/>
      <c r="J326" s="13"/>
    </row>
    <row r="327" spans="1:10">
      <c r="A327" s="134"/>
      <c r="B327" s="13"/>
      <c r="C327" s="13"/>
      <c r="D327" s="13"/>
      <c r="E327" s="13"/>
      <c r="F327" s="13"/>
      <c r="G327" s="13"/>
      <c r="H327" s="13"/>
      <c r="I327" s="13"/>
      <c r="J327" s="13"/>
    </row>
    <row r="328" spans="1:10">
      <c r="A328" s="134"/>
      <c r="B328" s="13"/>
      <c r="C328" s="13"/>
      <c r="D328" s="13"/>
      <c r="E328" s="13"/>
      <c r="F328" s="13"/>
      <c r="G328" s="13"/>
      <c r="H328" s="13"/>
      <c r="I328" s="13"/>
      <c r="J328" s="13"/>
    </row>
    <row r="329" spans="1:10">
      <c r="A329" s="134"/>
      <c r="B329" s="13"/>
      <c r="C329" s="13"/>
      <c r="D329" s="13"/>
      <c r="E329" s="13"/>
      <c r="F329" s="13"/>
      <c r="G329" s="13"/>
      <c r="H329" s="13"/>
      <c r="I329" s="13"/>
      <c r="J329" s="13"/>
    </row>
    <row r="330" spans="1:10">
      <c r="A330" s="134"/>
      <c r="B330" s="13"/>
      <c r="C330" s="13"/>
      <c r="D330" s="13"/>
      <c r="E330" s="13"/>
      <c r="F330" s="13"/>
      <c r="G330" s="13"/>
      <c r="H330" s="13"/>
      <c r="I330" s="13"/>
      <c r="J330" s="13"/>
    </row>
    <row r="331" spans="1:10">
      <c r="A331" s="134"/>
      <c r="B331" s="13"/>
      <c r="C331" s="13"/>
      <c r="D331" s="13"/>
      <c r="E331" s="13"/>
      <c r="F331" s="13"/>
      <c r="G331" s="13"/>
      <c r="H331" s="13"/>
      <c r="I331" s="13"/>
      <c r="J331" s="13"/>
    </row>
    <row r="332" spans="1:10">
      <c r="A332" s="134"/>
      <c r="B332" s="13"/>
      <c r="C332" s="13"/>
      <c r="D332" s="13"/>
      <c r="E332" s="13"/>
      <c r="F332" s="13"/>
      <c r="G332" s="13"/>
      <c r="H332" s="13"/>
      <c r="I332" s="13"/>
      <c r="J332" s="13"/>
    </row>
    <row r="333" spans="1:10">
      <c r="A333" s="134"/>
      <c r="B333" s="13"/>
      <c r="C333" s="13"/>
      <c r="D333" s="13"/>
      <c r="E333" s="13"/>
      <c r="F333" s="13"/>
      <c r="G333" s="13"/>
      <c r="H333" s="13"/>
      <c r="I333" s="13"/>
      <c r="J333" s="13"/>
    </row>
    <row r="334" spans="1:10">
      <c r="A334" s="134"/>
      <c r="B334" s="13"/>
      <c r="C334" s="13"/>
      <c r="D334" s="13"/>
      <c r="E334" s="13"/>
      <c r="F334" s="13"/>
      <c r="G334" s="13"/>
      <c r="H334" s="13"/>
      <c r="I334" s="13"/>
      <c r="J334" s="13"/>
    </row>
    <row r="335" spans="1:10">
      <c r="A335" s="134"/>
      <c r="B335" s="13"/>
      <c r="C335" s="13"/>
      <c r="D335" s="13"/>
      <c r="E335" s="13"/>
      <c r="F335" s="13"/>
      <c r="G335" s="13"/>
      <c r="H335" s="13"/>
      <c r="I335" s="13"/>
      <c r="J335" s="13"/>
    </row>
    <row r="336" spans="1:10">
      <c r="A336" s="134"/>
      <c r="B336" s="13"/>
      <c r="C336" s="13"/>
      <c r="D336" s="13"/>
      <c r="E336" s="13"/>
      <c r="F336" s="13"/>
      <c r="G336" s="13"/>
      <c r="H336" s="13"/>
      <c r="I336" s="13"/>
      <c r="J336" s="13"/>
    </row>
    <row r="337" spans="1:10">
      <c r="A337" s="134"/>
      <c r="B337" s="13"/>
      <c r="C337" s="13"/>
      <c r="D337" s="13"/>
      <c r="E337" s="13"/>
      <c r="F337" s="13"/>
      <c r="G337" s="13"/>
      <c r="H337" s="13"/>
      <c r="I337" s="13"/>
      <c r="J337" s="13"/>
    </row>
    <row r="338" spans="1:10">
      <c r="A338" s="134"/>
      <c r="B338" s="13"/>
      <c r="C338" s="13"/>
      <c r="D338" s="13"/>
      <c r="E338" s="13"/>
      <c r="F338" s="13"/>
      <c r="G338" s="13"/>
      <c r="H338" s="13"/>
      <c r="I338" s="13"/>
      <c r="J338" s="13"/>
    </row>
    <row r="339" spans="1:10">
      <c r="A339" s="134"/>
      <c r="B339" s="13"/>
      <c r="C339" s="13"/>
      <c r="D339" s="13"/>
      <c r="E339" s="13"/>
      <c r="F339" s="13"/>
      <c r="G339" s="13"/>
      <c r="H339" s="13"/>
      <c r="I339" s="13"/>
      <c r="J339" s="13"/>
    </row>
    <row r="340" spans="1:10">
      <c r="A340" s="134"/>
      <c r="B340" s="13"/>
      <c r="C340" s="13"/>
      <c r="D340" s="13"/>
      <c r="E340" s="13"/>
      <c r="F340" s="13"/>
      <c r="G340" s="13"/>
      <c r="H340" s="13"/>
      <c r="I340" s="13"/>
      <c r="J340" s="13"/>
    </row>
    <row r="341" spans="1:10">
      <c r="A341" s="134"/>
      <c r="B341" s="13"/>
      <c r="C341" s="13"/>
      <c r="D341" s="13"/>
      <c r="E341" s="13"/>
      <c r="F341" s="13"/>
      <c r="G341" s="13"/>
      <c r="H341" s="13"/>
      <c r="I341" s="13"/>
      <c r="J341" s="13"/>
    </row>
    <row r="342" spans="1:10">
      <c r="A342" s="134"/>
      <c r="B342" s="13"/>
      <c r="C342" s="13"/>
      <c r="D342" s="13"/>
      <c r="E342" s="13"/>
      <c r="F342" s="13"/>
      <c r="G342" s="13"/>
      <c r="H342" s="13"/>
      <c r="I342" s="13"/>
      <c r="J342" s="13"/>
    </row>
    <row r="343" spans="1:10">
      <c r="A343" s="134"/>
      <c r="B343" s="13"/>
      <c r="C343" s="13"/>
      <c r="D343" s="13"/>
      <c r="E343" s="13"/>
      <c r="F343" s="13"/>
      <c r="G343" s="13"/>
      <c r="H343" s="13"/>
      <c r="I343" s="13"/>
      <c r="J343" s="13"/>
    </row>
    <row r="344" spans="1:10">
      <c r="A344" s="134"/>
      <c r="B344" s="13"/>
      <c r="C344" s="13"/>
      <c r="D344" s="13"/>
      <c r="E344" s="13"/>
      <c r="F344" s="13"/>
      <c r="G344" s="13"/>
      <c r="H344" s="13"/>
      <c r="I344" s="13"/>
      <c r="J344" s="13"/>
    </row>
    <row r="345" spans="1:10">
      <c r="A345" s="134"/>
      <c r="B345" s="13"/>
      <c r="C345" s="13"/>
      <c r="D345" s="13"/>
      <c r="E345" s="13"/>
      <c r="F345" s="13"/>
      <c r="G345" s="13"/>
      <c r="H345" s="13"/>
      <c r="I345" s="13"/>
      <c r="J345" s="13"/>
    </row>
    <row r="346" spans="1:10">
      <c r="A346" s="134"/>
      <c r="B346" s="13"/>
      <c r="C346" s="13"/>
      <c r="D346" s="13"/>
      <c r="E346" s="13"/>
      <c r="F346" s="13"/>
      <c r="G346" s="13"/>
      <c r="H346" s="13"/>
      <c r="I346" s="13"/>
      <c r="J346" s="13"/>
    </row>
    <row r="347" spans="1:10">
      <c r="A347" s="134"/>
      <c r="B347" s="13"/>
      <c r="C347" s="13"/>
      <c r="D347" s="13"/>
      <c r="E347" s="13"/>
      <c r="F347" s="13"/>
      <c r="G347" s="13"/>
      <c r="H347" s="13"/>
      <c r="I347" s="13"/>
      <c r="J347" s="13"/>
    </row>
    <row r="348" spans="1:10">
      <c r="A348" s="134"/>
      <c r="B348" s="13"/>
      <c r="C348" s="13"/>
      <c r="D348" s="13"/>
      <c r="E348" s="13"/>
      <c r="F348" s="13"/>
      <c r="G348" s="13"/>
      <c r="H348" s="13"/>
      <c r="I348" s="13"/>
      <c r="J348" s="13"/>
    </row>
    <row r="349" spans="1:10">
      <c r="A349" s="134"/>
      <c r="B349" s="13"/>
      <c r="C349" s="13"/>
      <c r="D349" s="13"/>
      <c r="E349" s="13"/>
      <c r="F349" s="13"/>
      <c r="G349" s="13"/>
      <c r="H349" s="13"/>
      <c r="I349" s="13"/>
      <c r="J349" s="13"/>
    </row>
    <row r="350" spans="1:10">
      <c r="A350" s="134"/>
      <c r="B350" s="13"/>
      <c r="C350" s="13"/>
      <c r="D350" s="13"/>
      <c r="E350" s="13"/>
      <c r="F350" s="13"/>
      <c r="G350" s="13"/>
      <c r="H350" s="13"/>
      <c r="I350" s="13"/>
      <c r="J350" s="13"/>
    </row>
    <row r="351" spans="1:10">
      <c r="A351" s="134"/>
      <c r="B351" s="13"/>
      <c r="C351" s="13"/>
      <c r="D351" s="13"/>
      <c r="E351" s="13"/>
      <c r="F351" s="13"/>
      <c r="G351" s="13"/>
      <c r="H351" s="13"/>
      <c r="I351" s="13"/>
      <c r="J351" s="13"/>
    </row>
    <row r="352" spans="1:10">
      <c r="A352" s="134"/>
      <c r="B352" s="13"/>
      <c r="C352" s="13"/>
      <c r="D352" s="13"/>
      <c r="E352" s="13"/>
      <c r="F352" s="13"/>
      <c r="G352" s="13"/>
      <c r="H352" s="13"/>
      <c r="I352" s="13"/>
      <c r="J352" s="13"/>
    </row>
    <row r="353" spans="1:10">
      <c r="A353" s="134"/>
      <c r="B353" s="13"/>
      <c r="C353" s="13"/>
      <c r="D353" s="13"/>
      <c r="E353" s="13"/>
      <c r="F353" s="13"/>
      <c r="G353" s="13"/>
      <c r="H353" s="13"/>
      <c r="I353" s="13"/>
      <c r="J353" s="13"/>
    </row>
    <row r="354" spans="1:10">
      <c r="A354" s="134"/>
      <c r="B354" s="13"/>
      <c r="C354" s="13"/>
      <c r="D354" s="13"/>
      <c r="E354" s="13"/>
      <c r="F354" s="13"/>
      <c r="G354" s="13"/>
      <c r="H354" s="13"/>
      <c r="I354" s="13"/>
      <c r="J354" s="13"/>
    </row>
    <row r="355" spans="1:10">
      <c r="A355" s="134"/>
      <c r="B355" s="13"/>
      <c r="C355" s="13"/>
      <c r="D355" s="13"/>
      <c r="E355" s="13"/>
      <c r="F355" s="13"/>
      <c r="G355" s="13"/>
      <c r="H355" s="13"/>
      <c r="I355" s="13"/>
      <c r="J355" s="13"/>
    </row>
    <row r="356" spans="1:10">
      <c r="A356" s="134"/>
      <c r="B356" s="13"/>
      <c r="C356" s="13"/>
      <c r="D356" s="13"/>
      <c r="E356" s="13"/>
      <c r="F356" s="13"/>
      <c r="G356" s="13"/>
      <c r="H356" s="13"/>
      <c r="I356" s="13"/>
      <c r="J356" s="13"/>
    </row>
    <row r="357" spans="1:10">
      <c r="A357" s="134"/>
      <c r="B357" s="13"/>
      <c r="C357" s="13"/>
      <c r="D357" s="13"/>
      <c r="E357" s="13"/>
      <c r="F357" s="13"/>
      <c r="G357" s="13"/>
      <c r="H357" s="13"/>
      <c r="I357" s="13"/>
      <c r="J357" s="13"/>
    </row>
    <row r="358" spans="1:10">
      <c r="A358" s="134"/>
      <c r="B358" s="13"/>
      <c r="C358" s="13"/>
      <c r="D358" s="13"/>
      <c r="E358" s="13"/>
      <c r="F358" s="13"/>
      <c r="G358" s="13"/>
      <c r="H358" s="13"/>
      <c r="I358" s="13"/>
      <c r="J358" s="13"/>
    </row>
    <row r="359" spans="1:10">
      <c r="A359" s="134"/>
      <c r="B359" s="13"/>
      <c r="C359" s="13"/>
      <c r="D359" s="13"/>
      <c r="E359" s="13"/>
      <c r="F359" s="13"/>
      <c r="G359" s="13"/>
      <c r="H359" s="13"/>
      <c r="I359" s="13"/>
      <c r="J359" s="13"/>
    </row>
    <row r="360" spans="1:10">
      <c r="A360" s="134"/>
      <c r="B360" s="13"/>
      <c r="C360" s="13"/>
      <c r="D360" s="13"/>
      <c r="E360" s="13"/>
      <c r="F360" s="13"/>
      <c r="G360" s="13"/>
      <c r="H360" s="13"/>
      <c r="I360" s="13"/>
      <c r="J360" s="13"/>
    </row>
    <row r="361" spans="1:10">
      <c r="A361" s="134"/>
      <c r="B361" s="13"/>
      <c r="C361" s="13"/>
      <c r="D361" s="13"/>
      <c r="E361" s="13"/>
      <c r="F361" s="13"/>
      <c r="G361" s="13"/>
      <c r="H361" s="13"/>
      <c r="I361" s="13"/>
      <c r="J361" s="13"/>
    </row>
    <row r="362" spans="1:10">
      <c r="A362" s="134"/>
      <c r="B362" s="13"/>
      <c r="C362" s="13"/>
      <c r="D362" s="13"/>
      <c r="E362" s="13"/>
      <c r="F362" s="13"/>
      <c r="G362" s="13"/>
      <c r="H362" s="13"/>
      <c r="I362" s="13"/>
      <c r="J362" s="13"/>
    </row>
    <row r="363" spans="1:10">
      <c r="A363" s="134"/>
      <c r="B363" s="13"/>
      <c r="C363" s="13"/>
      <c r="D363" s="13"/>
      <c r="E363" s="13"/>
      <c r="F363" s="13"/>
      <c r="G363" s="13"/>
      <c r="H363" s="13"/>
      <c r="I363" s="13"/>
      <c r="J363" s="13"/>
    </row>
    <row r="364" spans="1:10">
      <c r="A364" s="134"/>
      <c r="B364" s="13"/>
      <c r="C364" s="13"/>
      <c r="D364" s="13"/>
      <c r="E364" s="13"/>
      <c r="F364" s="13"/>
      <c r="G364" s="13"/>
      <c r="H364" s="13"/>
      <c r="I364" s="13"/>
      <c r="J364" s="13"/>
    </row>
    <row r="365" spans="1:10">
      <c r="A365" s="134"/>
      <c r="B365" s="13"/>
      <c r="C365" s="13"/>
      <c r="D365" s="13"/>
      <c r="E365" s="13"/>
      <c r="F365" s="13"/>
      <c r="G365" s="13"/>
      <c r="H365" s="13"/>
      <c r="I365" s="13"/>
      <c r="J365" s="13"/>
    </row>
    <row r="366" spans="1:10">
      <c r="A366" s="134"/>
      <c r="B366" s="13"/>
      <c r="C366" s="13"/>
      <c r="D366" s="13"/>
      <c r="E366" s="13"/>
      <c r="F366" s="13"/>
      <c r="G366" s="13"/>
      <c r="H366" s="13"/>
      <c r="I366" s="13"/>
      <c r="J366" s="13"/>
    </row>
    <row r="367" spans="1:10">
      <c r="A367" s="134"/>
      <c r="B367" s="13"/>
      <c r="C367" s="13"/>
      <c r="D367" s="13"/>
      <c r="E367" s="13"/>
      <c r="F367" s="13"/>
      <c r="G367" s="13"/>
      <c r="H367" s="13"/>
      <c r="I367" s="13"/>
      <c r="J367" s="13"/>
    </row>
    <row r="368" spans="1:10">
      <c r="A368" s="134"/>
      <c r="B368" s="13"/>
      <c r="C368" s="13"/>
      <c r="D368" s="13"/>
      <c r="E368" s="13"/>
      <c r="F368" s="13"/>
      <c r="G368" s="13"/>
      <c r="H368" s="13"/>
      <c r="I368" s="13"/>
      <c r="J368" s="13"/>
    </row>
    <row r="369" spans="1:10">
      <c r="A369" s="134"/>
      <c r="B369" s="13"/>
      <c r="C369" s="13"/>
      <c r="D369" s="13"/>
      <c r="E369" s="13"/>
      <c r="F369" s="13"/>
      <c r="G369" s="13"/>
      <c r="H369" s="13"/>
      <c r="I369" s="13"/>
      <c r="J369" s="13"/>
    </row>
    <row r="370" spans="1:10">
      <c r="A370" s="134"/>
      <c r="B370" s="13"/>
      <c r="C370" s="13"/>
      <c r="D370" s="13"/>
      <c r="E370" s="13"/>
      <c r="F370" s="13"/>
      <c r="G370" s="13"/>
      <c r="H370" s="13"/>
      <c r="I370" s="13"/>
      <c r="J370" s="13"/>
    </row>
    <row r="371" spans="1:10">
      <c r="A371" s="134"/>
      <c r="B371" s="13"/>
      <c r="C371" s="13"/>
      <c r="D371" s="13"/>
      <c r="E371" s="13"/>
      <c r="F371" s="13"/>
      <c r="G371" s="13"/>
      <c r="H371" s="13"/>
      <c r="I371" s="13"/>
      <c r="J371" s="13"/>
    </row>
    <row r="372" spans="1:10">
      <c r="A372" s="134"/>
      <c r="B372" s="13"/>
      <c r="C372" s="13"/>
      <c r="D372" s="13"/>
      <c r="E372" s="13"/>
      <c r="F372" s="13"/>
      <c r="G372" s="13"/>
      <c r="H372" s="13"/>
      <c r="I372" s="13"/>
      <c r="J372" s="13"/>
    </row>
    <row r="373" spans="1:10">
      <c r="A373" s="134"/>
      <c r="B373" s="13"/>
      <c r="C373" s="13"/>
      <c r="D373" s="13"/>
      <c r="E373" s="13"/>
      <c r="F373" s="13"/>
      <c r="G373" s="13"/>
      <c r="H373" s="13"/>
      <c r="I373" s="13"/>
      <c r="J373" s="13"/>
    </row>
    <row r="374" spans="1:10">
      <c r="A374" s="134"/>
      <c r="B374" s="13"/>
      <c r="C374" s="13"/>
      <c r="D374" s="13"/>
      <c r="E374" s="13"/>
      <c r="F374" s="13"/>
      <c r="G374" s="13"/>
      <c r="H374" s="13"/>
      <c r="I374" s="13"/>
      <c r="J374" s="13"/>
    </row>
    <row r="375" spans="1:10">
      <c r="A375" s="134"/>
      <c r="B375" s="13"/>
      <c r="C375" s="13"/>
      <c r="D375" s="13"/>
      <c r="E375" s="13"/>
      <c r="F375" s="13"/>
      <c r="G375" s="13"/>
      <c r="H375" s="13"/>
      <c r="I375" s="13"/>
      <c r="J375" s="13"/>
    </row>
    <row r="376" spans="1:10">
      <c r="A376" s="134"/>
      <c r="B376" s="13"/>
      <c r="C376" s="13"/>
      <c r="D376" s="13"/>
      <c r="E376" s="13"/>
      <c r="F376" s="13"/>
      <c r="G376" s="13"/>
      <c r="H376" s="13"/>
      <c r="I376" s="13"/>
      <c r="J376" s="13"/>
    </row>
    <row r="377" spans="1:10">
      <c r="A377" s="134"/>
      <c r="B377" s="13"/>
      <c r="C377" s="13"/>
      <c r="D377" s="13"/>
      <c r="E377" s="13"/>
      <c r="F377" s="13"/>
      <c r="G377" s="13"/>
      <c r="H377" s="13"/>
      <c r="I377" s="13"/>
      <c r="J377" s="13"/>
    </row>
    <row r="378" spans="1:10">
      <c r="A378" s="134"/>
      <c r="B378" s="13"/>
      <c r="C378" s="13"/>
      <c r="D378" s="13"/>
      <c r="E378" s="13"/>
      <c r="F378" s="13"/>
      <c r="G378" s="13"/>
      <c r="H378" s="13"/>
      <c r="I378" s="13"/>
      <c r="J378" s="13"/>
    </row>
    <row r="379" spans="1:10">
      <c r="A379" s="134"/>
      <c r="B379" s="13"/>
      <c r="C379" s="13"/>
      <c r="D379" s="13"/>
      <c r="E379" s="13"/>
      <c r="F379" s="13"/>
      <c r="G379" s="13"/>
      <c r="H379" s="13"/>
      <c r="I379" s="13"/>
      <c r="J379" s="13"/>
    </row>
    <row r="380" spans="1:10">
      <c r="A380" s="134"/>
      <c r="B380" s="13"/>
      <c r="C380" s="13"/>
      <c r="D380" s="13"/>
      <c r="E380" s="13"/>
      <c r="F380" s="13"/>
      <c r="G380" s="13"/>
      <c r="H380" s="13"/>
      <c r="I380" s="13"/>
      <c r="J380" s="13"/>
    </row>
    <row r="381" spans="1:10">
      <c r="A381" s="134"/>
      <c r="B381" s="13"/>
      <c r="C381" s="13"/>
      <c r="D381" s="13"/>
      <c r="E381" s="13"/>
      <c r="F381" s="13"/>
      <c r="G381" s="13"/>
      <c r="H381" s="13"/>
      <c r="I381" s="13"/>
      <c r="J381" s="13"/>
    </row>
    <row r="382" spans="1:10">
      <c r="A382" s="134"/>
      <c r="B382" s="13"/>
      <c r="C382" s="13"/>
      <c r="D382" s="13"/>
      <c r="E382" s="13"/>
      <c r="F382" s="13"/>
      <c r="G382" s="13"/>
      <c r="H382" s="13"/>
      <c r="I382" s="13"/>
      <c r="J382" s="13"/>
    </row>
    <row r="383" spans="1:10">
      <c r="A383" s="134"/>
      <c r="B383" s="13"/>
      <c r="C383" s="13"/>
      <c r="D383" s="13"/>
      <c r="E383" s="13"/>
      <c r="F383" s="13"/>
      <c r="G383" s="13"/>
      <c r="H383" s="13"/>
      <c r="I383" s="13"/>
      <c r="J383" s="13"/>
    </row>
    <row r="384" spans="1:10">
      <c r="A384" s="134"/>
      <c r="B384" s="13"/>
      <c r="C384" s="13"/>
      <c r="D384" s="13"/>
      <c r="E384" s="13"/>
      <c r="F384" s="13"/>
      <c r="G384" s="13"/>
      <c r="H384" s="13"/>
      <c r="I384" s="13"/>
      <c r="J384" s="13"/>
    </row>
    <row r="385" spans="1:10">
      <c r="A385" s="134"/>
      <c r="B385" s="13"/>
      <c r="C385" s="13"/>
      <c r="D385" s="13"/>
      <c r="E385" s="13"/>
      <c r="F385" s="13"/>
      <c r="G385" s="13"/>
      <c r="H385" s="13"/>
      <c r="I385" s="13"/>
      <c r="J385" s="13"/>
    </row>
    <row r="386" spans="1:10">
      <c r="A386" s="134"/>
      <c r="B386" s="13"/>
      <c r="C386" s="13"/>
      <c r="D386" s="13"/>
      <c r="E386" s="13"/>
      <c r="F386" s="13"/>
      <c r="G386" s="13"/>
      <c r="H386" s="13"/>
      <c r="I386" s="13"/>
      <c r="J386" s="13"/>
    </row>
    <row r="387" spans="1:10">
      <c r="A387" s="134"/>
      <c r="B387" s="13"/>
      <c r="C387" s="13"/>
      <c r="D387" s="13"/>
      <c r="E387" s="13"/>
      <c r="F387" s="13"/>
      <c r="G387" s="13"/>
      <c r="H387" s="13"/>
      <c r="I387" s="13"/>
      <c r="J387" s="13"/>
    </row>
    <row r="388" spans="1:10">
      <c r="A388" s="134"/>
      <c r="B388" s="13"/>
      <c r="C388" s="13"/>
      <c r="D388" s="13"/>
      <c r="E388" s="13"/>
      <c r="F388" s="13"/>
      <c r="G388" s="13"/>
      <c r="H388" s="13"/>
      <c r="I388" s="13"/>
      <c r="J388" s="13"/>
    </row>
    <row r="389" spans="1:10">
      <c r="A389" s="134"/>
      <c r="B389" s="13"/>
      <c r="C389" s="13"/>
      <c r="D389" s="13"/>
      <c r="E389" s="13"/>
      <c r="F389" s="13"/>
      <c r="G389" s="13"/>
      <c r="H389" s="13"/>
      <c r="I389" s="13"/>
      <c r="J389" s="13"/>
    </row>
    <row r="390" spans="1:10">
      <c r="A390" s="134"/>
      <c r="B390" s="13"/>
      <c r="C390" s="13"/>
      <c r="D390" s="13"/>
      <c r="E390" s="13"/>
      <c r="F390" s="13"/>
      <c r="G390" s="13"/>
      <c r="H390" s="13"/>
      <c r="I390" s="13"/>
      <c r="J390" s="13"/>
    </row>
    <row r="391" spans="1:10">
      <c r="A391" s="134"/>
      <c r="B391" s="13"/>
      <c r="C391" s="13"/>
      <c r="D391" s="13"/>
      <c r="E391" s="13"/>
      <c r="F391" s="13"/>
      <c r="G391" s="13"/>
      <c r="H391" s="13"/>
      <c r="I391" s="13"/>
      <c r="J391" s="13"/>
    </row>
    <row r="392" spans="1:10">
      <c r="A392" s="134"/>
      <c r="B392" s="13"/>
      <c r="C392" s="13"/>
      <c r="D392" s="13"/>
      <c r="E392" s="13"/>
      <c r="F392" s="13"/>
      <c r="G392" s="13"/>
      <c r="H392" s="13"/>
      <c r="I392" s="13"/>
      <c r="J392" s="13"/>
    </row>
    <row r="393" spans="1:10">
      <c r="A393" s="134"/>
      <c r="B393" s="13"/>
      <c r="C393" s="13"/>
      <c r="D393" s="13"/>
      <c r="E393" s="13"/>
      <c r="F393" s="13"/>
      <c r="G393" s="13"/>
      <c r="H393" s="13"/>
      <c r="I393" s="13"/>
      <c r="J393" s="13"/>
    </row>
    <row r="394" spans="1:10">
      <c r="A394" s="134"/>
      <c r="B394" s="13"/>
      <c r="C394" s="13"/>
      <c r="D394" s="13"/>
      <c r="E394" s="13"/>
      <c r="F394" s="13"/>
      <c r="G394" s="13"/>
      <c r="H394" s="13"/>
      <c r="I394" s="13"/>
      <c r="J394" s="13"/>
    </row>
    <row r="395" spans="1:10">
      <c r="A395" s="134"/>
      <c r="B395" s="13"/>
      <c r="C395" s="13"/>
      <c r="D395" s="13"/>
      <c r="E395" s="13"/>
      <c r="F395" s="13"/>
      <c r="G395" s="13"/>
      <c r="H395" s="13"/>
      <c r="I395" s="13"/>
      <c r="J395" s="13"/>
    </row>
    <row r="396" spans="1:10">
      <c r="A396" s="134"/>
      <c r="B396" s="13"/>
      <c r="C396" s="13"/>
      <c r="D396" s="13"/>
      <c r="E396" s="13"/>
      <c r="F396" s="13"/>
      <c r="G396" s="13"/>
      <c r="H396" s="13"/>
      <c r="I396" s="13"/>
      <c r="J396" s="13"/>
    </row>
    <row r="397" spans="1:10">
      <c r="A397" s="134"/>
      <c r="B397" s="13"/>
      <c r="C397" s="13"/>
      <c r="D397" s="13"/>
      <c r="E397" s="13"/>
      <c r="F397" s="13"/>
      <c r="G397" s="13"/>
      <c r="H397" s="13"/>
      <c r="I397" s="13"/>
      <c r="J397" s="13"/>
    </row>
    <row r="398" spans="1:10">
      <c r="A398" s="134"/>
      <c r="B398" s="13"/>
      <c r="C398" s="13"/>
      <c r="D398" s="13"/>
      <c r="E398" s="13"/>
      <c r="F398" s="13"/>
      <c r="G398" s="13"/>
      <c r="H398" s="13"/>
      <c r="I398" s="13"/>
      <c r="J398" s="13"/>
    </row>
    <row r="399" spans="1:10">
      <c r="A399" s="134"/>
      <c r="B399" s="13"/>
      <c r="C399" s="13"/>
      <c r="D399" s="13"/>
      <c r="E399" s="13"/>
      <c r="F399" s="13"/>
      <c r="G399" s="13"/>
      <c r="H399" s="13"/>
      <c r="I399" s="13"/>
      <c r="J399" s="13"/>
    </row>
    <row r="400" spans="1:10">
      <c r="A400" s="134"/>
      <c r="B400" s="13"/>
      <c r="C400" s="13"/>
      <c r="D400" s="13"/>
      <c r="E400" s="13"/>
      <c r="F400" s="13"/>
      <c r="G400" s="13"/>
      <c r="H400" s="13"/>
      <c r="I400" s="13"/>
      <c r="J400" s="13"/>
    </row>
    <row r="401" spans="1:10">
      <c r="A401" s="134"/>
      <c r="B401" s="13"/>
      <c r="C401" s="13"/>
      <c r="D401" s="13"/>
      <c r="E401" s="13"/>
      <c r="F401" s="13"/>
      <c r="G401" s="13"/>
      <c r="H401" s="13"/>
      <c r="I401" s="13"/>
      <c r="J401" s="13"/>
    </row>
    <row r="402" spans="1:10">
      <c r="A402" s="134"/>
      <c r="B402" s="13"/>
      <c r="C402" s="13"/>
      <c r="D402" s="13"/>
      <c r="E402" s="13"/>
      <c r="F402" s="13"/>
      <c r="G402" s="13"/>
      <c r="H402" s="13"/>
      <c r="I402" s="13"/>
      <c r="J402" s="13"/>
    </row>
    <row r="403" spans="1:10">
      <c r="A403" s="134"/>
      <c r="B403" s="13"/>
      <c r="C403" s="13"/>
      <c r="D403" s="13"/>
      <c r="E403" s="13"/>
      <c r="F403" s="13"/>
      <c r="G403" s="13"/>
      <c r="H403" s="13"/>
      <c r="I403" s="13"/>
      <c r="J403" s="13"/>
    </row>
    <row r="404" spans="1:10">
      <c r="A404" s="134"/>
      <c r="B404" s="13"/>
      <c r="C404" s="13"/>
      <c r="D404" s="13"/>
      <c r="E404" s="13"/>
      <c r="F404" s="13"/>
      <c r="G404" s="13"/>
      <c r="H404" s="13"/>
      <c r="I404" s="13"/>
      <c r="J404" s="13"/>
    </row>
    <row r="405" spans="1:10">
      <c r="A405" s="134"/>
      <c r="B405" s="13"/>
      <c r="C405" s="13"/>
      <c r="D405" s="13"/>
      <c r="E405" s="13"/>
      <c r="F405" s="13"/>
      <c r="G405" s="13"/>
      <c r="H405" s="13"/>
      <c r="I405" s="13"/>
      <c r="J405" s="13"/>
    </row>
    <row r="406" spans="1:10">
      <c r="A406" s="134"/>
      <c r="B406" s="13"/>
      <c r="C406" s="13"/>
      <c r="D406" s="13"/>
      <c r="E406" s="13"/>
      <c r="F406" s="13"/>
      <c r="G406" s="13"/>
      <c r="H406" s="13"/>
      <c r="I406" s="13"/>
      <c r="J406" s="13"/>
    </row>
    <row r="407" spans="1:10">
      <c r="A407" s="134"/>
      <c r="B407" s="13"/>
      <c r="C407" s="13"/>
      <c r="D407" s="13"/>
      <c r="E407" s="13"/>
      <c r="F407" s="13"/>
      <c r="G407" s="13"/>
      <c r="H407" s="13"/>
      <c r="I407" s="13"/>
      <c r="J407" s="13"/>
    </row>
    <row r="408" spans="1:10">
      <c r="A408" s="134"/>
      <c r="B408" s="13"/>
      <c r="C408" s="13"/>
      <c r="D408" s="13"/>
      <c r="E408" s="13"/>
      <c r="F408" s="13"/>
      <c r="G408" s="13"/>
      <c r="H408" s="13"/>
      <c r="I408" s="13"/>
      <c r="J408" s="13"/>
    </row>
    <row r="409" spans="1:10">
      <c r="A409" s="134"/>
      <c r="B409" s="13"/>
      <c r="C409" s="13"/>
      <c r="D409" s="13"/>
      <c r="E409" s="13"/>
      <c r="F409" s="13"/>
      <c r="G409" s="13"/>
      <c r="H409" s="13"/>
      <c r="I409" s="13"/>
      <c r="J409" s="13"/>
    </row>
    <row r="410" spans="1:10">
      <c r="A410" s="134"/>
      <c r="B410" s="13"/>
      <c r="C410" s="13"/>
      <c r="D410" s="13"/>
      <c r="E410" s="13"/>
      <c r="F410" s="13"/>
      <c r="G410" s="13"/>
      <c r="H410" s="13"/>
      <c r="I410" s="13"/>
      <c r="J410" s="13"/>
    </row>
    <row r="411" spans="1:10">
      <c r="A411" s="134"/>
      <c r="B411" s="13"/>
      <c r="C411" s="13"/>
      <c r="D411" s="13"/>
      <c r="E411" s="13"/>
      <c r="F411" s="13"/>
      <c r="G411" s="13"/>
      <c r="H411" s="13"/>
      <c r="I411" s="13"/>
      <c r="J411" s="13"/>
    </row>
    <row r="412" spans="1:10">
      <c r="A412" s="134"/>
      <c r="B412" s="13"/>
      <c r="C412" s="13"/>
      <c r="D412" s="13"/>
      <c r="E412" s="13"/>
      <c r="F412" s="13"/>
      <c r="G412" s="13"/>
      <c r="H412" s="13"/>
      <c r="I412" s="13"/>
      <c r="J412" s="13"/>
    </row>
    <row r="413" spans="1:10">
      <c r="A413" s="134"/>
      <c r="B413" s="13"/>
      <c r="C413" s="13"/>
      <c r="D413" s="13"/>
      <c r="E413" s="13"/>
      <c r="F413" s="13"/>
      <c r="G413" s="13"/>
      <c r="H413" s="13"/>
      <c r="I413" s="13"/>
      <c r="J413" s="13"/>
    </row>
    <row r="414" spans="1:10">
      <c r="A414" s="134"/>
      <c r="B414" s="13"/>
      <c r="C414" s="13"/>
      <c r="D414" s="13"/>
      <c r="E414" s="13"/>
      <c r="F414" s="13"/>
      <c r="G414" s="13"/>
      <c r="H414" s="13"/>
      <c r="I414" s="13"/>
      <c r="J414" s="13"/>
    </row>
    <row r="415" spans="1:10">
      <c r="A415" s="134"/>
      <c r="B415" s="13"/>
      <c r="C415" s="13"/>
      <c r="D415" s="13"/>
      <c r="E415" s="13"/>
      <c r="F415" s="13"/>
      <c r="G415" s="13"/>
      <c r="H415" s="13"/>
      <c r="I415" s="13"/>
      <c r="J415" s="13"/>
    </row>
    <row r="416" spans="1:10">
      <c r="A416" s="134"/>
      <c r="B416" s="13"/>
      <c r="C416" s="13"/>
      <c r="D416" s="13"/>
      <c r="E416" s="13"/>
      <c r="F416" s="13"/>
      <c r="G416" s="13"/>
      <c r="H416" s="13"/>
      <c r="I416" s="13"/>
      <c r="J416" s="13"/>
    </row>
    <row r="417" spans="1:10">
      <c r="A417" s="134"/>
      <c r="B417" s="13"/>
      <c r="C417" s="13"/>
      <c r="D417" s="13"/>
      <c r="E417" s="13"/>
      <c r="F417" s="13"/>
      <c r="G417" s="13"/>
      <c r="H417" s="13"/>
      <c r="I417" s="13"/>
      <c r="J417" s="13"/>
    </row>
    <row r="418" spans="1:10">
      <c r="A418" s="134"/>
      <c r="B418" s="13"/>
      <c r="C418" s="13"/>
      <c r="D418" s="13"/>
      <c r="E418" s="13"/>
      <c r="F418" s="13"/>
      <c r="G418" s="13"/>
      <c r="H418" s="13"/>
      <c r="I418" s="13"/>
      <c r="J418" s="13"/>
    </row>
    <row r="419" spans="1:10">
      <c r="A419" s="134"/>
      <c r="B419" s="13"/>
      <c r="C419" s="13"/>
      <c r="D419" s="13"/>
      <c r="E419" s="13"/>
      <c r="F419" s="13"/>
      <c r="G419" s="13"/>
      <c r="H419" s="13"/>
      <c r="I419" s="13"/>
      <c r="J419" s="13"/>
    </row>
    <row r="420" spans="1:10">
      <c r="A420" s="134"/>
      <c r="B420" s="13"/>
      <c r="C420" s="13"/>
      <c r="D420" s="13"/>
      <c r="E420" s="13"/>
      <c r="F420" s="13"/>
      <c r="G420" s="13"/>
      <c r="H420" s="13"/>
      <c r="I420" s="13"/>
      <c r="J420" s="13"/>
    </row>
    <row r="421" spans="1:10">
      <c r="A421" s="134"/>
      <c r="B421" s="13"/>
      <c r="C421" s="13"/>
      <c r="D421" s="13"/>
      <c r="E421" s="13"/>
      <c r="F421" s="13"/>
      <c r="G421" s="13"/>
      <c r="H421" s="13"/>
      <c r="I421" s="13"/>
      <c r="J421" s="13"/>
    </row>
    <row r="422" spans="1:10">
      <c r="A422" s="134"/>
      <c r="B422" s="13"/>
      <c r="C422" s="13"/>
      <c r="D422" s="13"/>
      <c r="E422" s="13"/>
      <c r="F422" s="13"/>
      <c r="G422" s="13"/>
      <c r="H422" s="13"/>
      <c r="I422" s="13"/>
      <c r="J422" s="13"/>
    </row>
    <row r="423" spans="1:10">
      <c r="A423" s="134"/>
      <c r="B423" s="13"/>
      <c r="C423" s="13"/>
      <c r="D423" s="13"/>
      <c r="E423" s="13"/>
      <c r="F423" s="13"/>
      <c r="G423" s="13"/>
      <c r="H423" s="13"/>
      <c r="I423" s="13"/>
      <c r="J423" s="13"/>
    </row>
    <row r="424" spans="1:10">
      <c r="A424" s="134"/>
      <c r="B424" s="13"/>
      <c r="C424" s="13"/>
      <c r="D424" s="13"/>
      <c r="E424" s="13"/>
      <c r="F424" s="13"/>
      <c r="G424" s="13"/>
      <c r="H424" s="13"/>
      <c r="I424" s="13"/>
      <c r="J424" s="13"/>
    </row>
    <row r="425" spans="1:10">
      <c r="A425" s="134"/>
      <c r="B425" s="13"/>
      <c r="C425" s="13"/>
      <c r="D425" s="13"/>
      <c r="E425" s="13"/>
      <c r="F425" s="13"/>
      <c r="G425" s="13"/>
      <c r="H425" s="13"/>
      <c r="I425" s="13"/>
      <c r="J425" s="13"/>
    </row>
    <row r="426" spans="1:10">
      <c r="A426" s="134"/>
      <c r="B426" s="13"/>
      <c r="C426" s="13"/>
      <c r="D426" s="13"/>
      <c r="E426" s="13"/>
      <c r="F426" s="13"/>
      <c r="G426" s="13"/>
      <c r="H426" s="13"/>
      <c r="I426" s="13"/>
      <c r="J426" s="13"/>
    </row>
    <row r="427" spans="1:10">
      <c r="A427" s="134"/>
      <c r="B427" s="13"/>
      <c r="C427" s="13"/>
      <c r="D427" s="13"/>
      <c r="E427" s="13"/>
      <c r="F427" s="13"/>
      <c r="G427" s="13"/>
      <c r="H427" s="13"/>
      <c r="I427" s="13"/>
      <c r="J427" s="13"/>
    </row>
    <row r="428" spans="1:10">
      <c r="A428" s="134"/>
      <c r="B428" s="13"/>
      <c r="C428" s="13"/>
      <c r="D428" s="13"/>
      <c r="E428" s="13"/>
      <c r="F428" s="13"/>
      <c r="G428" s="13"/>
      <c r="H428" s="13"/>
      <c r="I428" s="13"/>
      <c r="J428" s="13"/>
    </row>
    <row r="429" spans="1:10">
      <c r="A429" s="134"/>
      <c r="B429" s="13"/>
      <c r="C429" s="13"/>
      <c r="D429" s="13"/>
      <c r="E429" s="13"/>
      <c r="F429" s="13"/>
      <c r="G429" s="13"/>
      <c r="H429" s="13"/>
      <c r="I429" s="13"/>
      <c r="J429" s="13"/>
    </row>
    <row r="430" spans="1:10">
      <c r="A430" s="134"/>
      <c r="B430" s="13"/>
      <c r="C430" s="13"/>
      <c r="D430" s="13"/>
      <c r="E430" s="13"/>
      <c r="F430" s="13"/>
      <c r="G430" s="13"/>
      <c r="H430" s="13"/>
      <c r="I430" s="13"/>
      <c r="J430" s="13"/>
    </row>
  </sheetData>
  <mergeCells count="30">
    <mergeCell ref="A4:O4"/>
    <mergeCell ref="A1:H1"/>
    <mergeCell ref="J1:O1"/>
    <mergeCell ref="A2:H2"/>
    <mergeCell ref="J2:O2"/>
    <mergeCell ref="A3:O3"/>
    <mergeCell ref="A5:O5"/>
    <mergeCell ref="A6:O6"/>
    <mergeCell ref="A7:A10"/>
    <mergeCell ref="B7:B10"/>
    <mergeCell ref="C7:C10"/>
    <mergeCell ref="D7:D10"/>
    <mergeCell ref="E7:G7"/>
    <mergeCell ref="H7:J7"/>
    <mergeCell ref="K7:K10"/>
    <mergeCell ref="L7:N7"/>
    <mergeCell ref="J9:J10"/>
    <mergeCell ref="M9:M10"/>
    <mergeCell ref="N9:N10"/>
    <mergeCell ref="B45:G45"/>
    <mergeCell ref="O7:O10"/>
    <mergeCell ref="E8:E10"/>
    <mergeCell ref="F8:G8"/>
    <mergeCell ref="H8:H10"/>
    <mergeCell ref="I8:J8"/>
    <mergeCell ref="L8:L10"/>
    <mergeCell ref="M8:N8"/>
    <mergeCell ref="F9:F10"/>
    <mergeCell ref="G9:G10"/>
    <mergeCell ref="I9:I10"/>
  </mergeCells>
  <printOptions horizontalCentered="1"/>
  <pageMargins left="0.25" right="0.25" top="0.75" bottom="0.75" header="0.3" footer="0.3"/>
  <pageSetup paperSize="9" scale="61" fitToHeight="0" orientation="landscape" useFirstPageNumber="1" r:id="rId1"/>
  <headerFooter scaleWithDoc="0">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21"/>
  <sheetViews>
    <sheetView zoomScale="70" zoomScaleNormal="70" workbookViewId="0">
      <selection activeCell="M11" sqref="M11"/>
    </sheetView>
  </sheetViews>
  <sheetFormatPr defaultRowHeight="15.75"/>
  <cols>
    <col min="1" max="1" width="10.7109375" style="1249" customWidth="1"/>
    <col min="2" max="2" width="43.42578125" style="1250" customWidth="1"/>
    <col min="3" max="4" width="20" style="1251" customWidth="1"/>
    <col min="5" max="5" width="24.42578125" style="1252" customWidth="1"/>
    <col min="6" max="6" width="9.140625" style="1235"/>
    <col min="7" max="7" width="0" style="1235" hidden="1" customWidth="1"/>
    <col min="8" max="8" width="11" style="1235" hidden="1" customWidth="1"/>
    <col min="9" max="9" width="11.7109375" style="1235" hidden="1" customWidth="1"/>
    <col min="10" max="10" width="9.28515625" style="1235" hidden="1" customWidth="1"/>
    <col min="11" max="11" width="10.5703125" style="1235" hidden="1" customWidth="1"/>
    <col min="12" max="12" width="14.28515625" style="1235" hidden="1" customWidth="1"/>
    <col min="13" max="199" width="9.140625" style="1235"/>
    <col min="200" max="200" width="4.140625" style="1235" customWidth="1"/>
    <col min="201" max="201" width="58.5703125" style="1235" customWidth="1"/>
    <col min="202" max="202" width="0" style="1235" hidden="1" customWidth="1"/>
    <col min="203" max="203" width="15" style="1235" customWidth="1"/>
    <col min="204" max="204" width="13.28515625" style="1235" customWidth="1"/>
    <col min="205" max="205" width="12.5703125" style="1235" customWidth="1"/>
    <col min="206" max="206" width="13.5703125" style="1235" customWidth="1"/>
    <col min="207" max="207" width="12" style="1235" customWidth="1"/>
    <col min="208" max="208" width="12.140625" style="1235" customWidth="1"/>
    <col min="209" max="209" width="11.42578125" style="1235" customWidth="1"/>
    <col min="210" max="210" width="0" style="1235" hidden="1" customWidth="1"/>
    <col min="211" max="211" width="13.42578125" style="1235" customWidth="1"/>
    <col min="212" max="212" width="24" style="1235" customWidth="1"/>
    <col min="213" max="213" width="12.28515625" style="1235" customWidth="1"/>
    <col min="214" max="214" width="12.7109375" style="1235" bestFit="1" customWidth="1"/>
    <col min="215" max="215" width="12.7109375" style="1235" customWidth="1"/>
    <col min="216" max="216" width="12.140625" style="1235" customWidth="1"/>
    <col min="217" max="217" width="12.42578125" style="1235" customWidth="1"/>
    <col min="218" max="218" width="12.7109375" style="1235" customWidth="1"/>
    <col min="219" max="455" width="9.140625" style="1235"/>
    <col min="456" max="456" width="4.140625" style="1235" customWidth="1"/>
    <col min="457" max="457" width="58.5703125" style="1235" customWidth="1"/>
    <col min="458" max="458" width="0" style="1235" hidden="1" customWidth="1"/>
    <col min="459" max="459" width="15" style="1235" customWidth="1"/>
    <col min="460" max="460" width="13.28515625" style="1235" customWidth="1"/>
    <col min="461" max="461" width="12.5703125" style="1235" customWidth="1"/>
    <col min="462" max="462" width="13.5703125" style="1235" customWidth="1"/>
    <col min="463" max="463" width="12" style="1235" customWidth="1"/>
    <col min="464" max="464" width="12.140625" style="1235" customWidth="1"/>
    <col min="465" max="465" width="11.42578125" style="1235" customWidth="1"/>
    <col min="466" max="466" width="0" style="1235" hidden="1" customWidth="1"/>
    <col min="467" max="467" width="13.42578125" style="1235" customWidth="1"/>
    <col min="468" max="468" width="24" style="1235" customWidth="1"/>
    <col min="469" max="469" width="12.28515625" style="1235" customWidth="1"/>
    <col min="470" max="470" width="12.7109375" style="1235" bestFit="1" customWidth="1"/>
    <col min="471" max="471" width="12.7109375" style="1235" customWidth="1"/>
    <col min="472" max="472" width="12.140625" style="1235" customWidth="1"/>
    <col min="473" max="473" width="12.42578125" style="1235" customWidth="1"/>
    <col min="474" max="474" width="12.7109375" style="1235" customWidth="1"/>
    <col min="475" max="711" width="9.140625" style="1235"/>
    <col min="712" max="712" width="4.140625" style="1235" customWidth="1"/>
    <col min="713" max="713" width="58.5703125" style="1235" customWidth="1"/>
    <col min="714" max="714" width="0" style="1235" hidden="1" customWidth="1"/>
    <col min="715" max="715" width="15" style="1235" customWidth="1"/>
    <col min="716" max="716" width="13.28515625" style="1235" customWidth="1"/>
    <col min="717" max="717" width="12.5703125" style="1235" customWidth="1"/>
    <col min="718" max="718" width="13.5703125" style="1235" customWidth="1"/>
    <col min="719" max="719" width="12" style="1235" customWidth="1"/>
    <col min="720" max="720" width="12.140625" style="1235" customWidth="1"/>
    <col min="721" max="721" width="11.42578125" style="1235" customWidth="1"/>
    <col min="722" max="722" width="0" style="1235" hidden="1" customWidth="1"/>
    <col min="723" max="723" width="13.42578125" style="1235" customWidth="1"/>
    <col min="724" max="724" width="24" style="1235" customWidth="1"/>
    <col min="725" max="725" width="12.28515625" style="1235" customWidth="1"/>
    <col min="726" max="726" width="12.7109375" style="1235" bestFit="1" customWidth="1"/>
    <col min="727" max="727" width="12.7109375" style="1235" customWidth="1"/>
    <col min="728" max="728" width="12.140625" style="1235" customWidth="1"/>
    <col min="729" max="729" width="12.42578125" style="1235" customWidth="1"/>
    <col min="730" max="730" width="12.7109375" style="1235" customWidth="1"/>
    <col min="731" max="967" width="9.140625" style="1235"/>
    <col min="968" max="968" width="4.140625" style="1235" customWidth="1"/>
    <col min="969" max="969" width="58.5703125" style="1235" customWidth="1"/>
    <col min="970" max="970" width="0" style="1235" hidden="1" customWidth="1"/>
    <col min="971" max="971" width="15" style="1235" customWidth="1"/>
    <col min="972" max="972" width="13.28515625" style="1235" customWidth="1"/>
    <col min="973" max="973" width="12.5703125" style="1235" customWidth="1"/>
    <col min="974" max="974" width="13.5703125" style="1235" customWidth="1"/>
    <col min="975" max="975" width="12" style="1235" customWidth="1"/>
    <col min="976" max="976" width="12.140625" style="1235" customWidth="1"/>
    <col min="977" max="977" width="11.42578125" style="1235" customWidth="1"/>
    <col min="978" max="978" width="0" style="1235" hidden="1" customWidth="1"/>
    <col min="979" max="979" width="13.42578125" style="1235" customWidth="1"/>
    <col min="980" max="980" width="24" style="1235" customWidth="1"/>
    <col min="981" max="981" width="12.28515625" style="1235" customWidth="1"/>
    <col min="982" max="982" width="12.7109375" style="1235" bestFit="1" customWidth="1"/>
    <col min="983" max="983" width="12.7109375" style="1235" customWidth="1"/>
    <col min="984" max="984" width="12.140625" style="1235" customWidth="1"/>
    <col min="985" max="985" width="12.42578125" style="1235" customWidth="1"/>
    <col min="986" max="986" width="12.7109375" style="1235" customWidth="1"/>
    <col min="987" max="1223" width="9.140625" style="1235"/>
    <col min="1224" max="1224" width="4.140625" style="1235" customWidth="1"/>
    <col min="1225" max="1225" width="58.5703125" style="1235" customWidth="1"/>
    <col min="1226" max="1226" width="0" style="1235" hidden="1" customWidth="1"/>
    <col min="1227" max="1227" width="15" style="1235" customWidth="1"/>
    <col min="1228" max="1228" width="13.28515625" style="1235" customWidth="1"/>
    <col min="1229" max="1229" width="12.5703125" style="1235" customWidth="1"/>
    <col min="1230" max="1230" width="13.5703125" style="1235" customWidth="1"/>
    <col min="1231" max="1231" width="12" style="1235" customWidth="1"/>
    <col min="1232" max="1232" width="12.140625" style="1235" customWidth="1"/>
    <col min="1233" max="1233" width="11.42578125" style="1235" customWidth="1"/>
    <col min="1234" max="1234" width="0" style="1235" hidden="1" customWidth="1"/>
    <col min="1235" max="1235" width="13.42578125" style="1235" customWidth="1"/>
    <col min="1236" max="1236" width="24" style="1235" customWidth="1"/>
    <col min="1237" max="1237" width="12.28515625" style="1235" customWidth="1"/>
    <col min="1238" max="1238" width="12.7109375" style="1235" bestFit="1" customWidth="1"/>
    <col min="1239" max="1239" width="12.7109375" style="1235" customWidth="1"/>
    <col min="1240" max="1240" width="12.140625" style="1235" customWidth="1"/>
    <col min="1241" max="1241" width="12.42578125" style="1235" customWidth="1"/>
    <col min="1242" max="1242" width="12.7109375" style="1235" customWidth="1"/>
    <col min="1243" max="1479" width="9.140625" style="1235"/>
    <col min="1480" max="1480" width="4.140625" style="1235" customWidth="1"/>
    <col min="1481" max="1481" width="58.5703125" style="1235" customWidth="1"/>
    <col min="1482" max="1482" width="0" style="1235" hidden="1" customWidth="1"/>
    <col min="1483" max="1483" width="15" style="1235" customWidth="1"/>
    <col min="1484" max="1484" width="13.28515625" style="1235" customWidth="1"/>
    <col min="1485" max="1485" width="12.5703125" style="1235" customWidth="1"/>
    <col min="1486" max="1486" width="13.5703125" style="1235" customWidth="1"/>
    <col min="1487" max="1487" width="12" style="1235" customWidth="1"/>
    <col min="1488" max="1488" width="12.140625" style="1235" customWidth="1"/>
    <col min="1489" max="1489" width="11.42578125" style="1235" customWidth="1"/>
    <col min="1490" max="1490" width="0" style="1235" hidden="1" customWidth="1"/>
    <col min="1491" max="1491" width="13.42578125" style="1235" customWidth="1"/>
    <col min="1492" max="1492" width="24" style="1235" customWidth="1"/>
    <col min="1493" max="1493" width="12.28515625" style="1235" customWidth="1"/>
    <col min="1494" max="1494" width="12.7109375" style="1235" bestFit="1" customWidth="1"/>
    <col min="1495" max="1495" width="12.7109375" style="1235" customWidth="1"/>
    <col min="1496" max="1496" width="12.140625" style="1235" customWidth="1"/>
    <col min="1497" max="1497" width="12.42578125" style="1235" customWidth="1"/>
    <col min="1498" max="1498" width="12.7109375" style="1235" customWidth="1"/>
    <col min="1499" max="1735" width="9.140625" style="1235"/>
    <col min="1736" max="1736" width="4.140625" style="1235" customWidth="1"/>
    <col min="1737" max="1737" width="58.5703125" style="1235" customWidth="1"/>
    <col min="1738" max="1738" width="0" style="1235" hidden="1" customWidth="1"/>
    <col min="1739" max="1739" width="15" style="1235" customWidth="1"/>
    <col min="1740" max="1740" width="13.28515625" style="1235" customWidth="1"/>
    <col min="1741" max="1741" width="12.5703125" style="1235" customWidth="1"/>
    <col min="1742" max="1742" width="13.5703125" style="1235" customWidth="1"/>
    <col min="1743" max="1743" width="12" style="1235" customWidth="1"/>
    <col min="1744" max="1744" width="12.140625" style="1235" customWidth="1"/>
    <col min="1745" max="1745" width="11.42578125" style="1235" customWidth="1"/>
    <col min="1746" max="1746" width="0" style="1235" hidden="1" customWidth="1"/>
    <col min="1747" max="1747" width="13.42578125" style="1235" customWidth="1"/>
    <col min="1748" max="1748" width="24" style="1235" customWidth="1"/>
    <col min="1749" max="1749" width="12.28515625" style="1235" customWidth="1"/>
    <col min="1750" max="1750" width="12.7109375" style="1235" bestFit="1" customWidth="1"/>
    <col min="1751" max="1751" width="12.7109375" style="1235" customWidth="1"/>
    <col min="1752" max="1752" width="12.140625" style="1235" customWidth="1"/>
    <col min="1753" max="1753" width="12.42578125" style="1235" customWidth="1"/>
    <col min="1754" max="1754" width="12.7109375" style="1235" customWidth="1"/>
    <col min="1755" max="1991" width="9.140625" style="1235"/>
    <col min="1992" max="1992" width="4.140625" style="1235" customWidth="1"/>
    <col min="1993" max="1993" width="58.5703125" style="1235" customWidth="1"/>
    <col min="1994" max="1994" width="0" style="1235" hidden="1" customWidth="1"/>
    <col min="1995" max="1995" width="15" style="1235" customWidth="1"/>
    <col min="1996" max="1996" width="13.28515625" style="1235" customWidth="1"/>
    <col min="1997" max="1997" width="12.5703125" style="1235" customWidth="1"/>
    <col min="1998" max="1998" width="13.5703125" style="1235" customWidth="1"/>
    <col min="1999" max="1999" width="12" style="1235" customWidth="1"/>
    <col min="2000" max="2000" width="12.140625" style="1235" customWidth="1"/>
    <col min="2001" max="2001" width="11.42578125" style="1235" customWidth="1"/>
    <col min="2002" max="2002" width="0" style="1235" hidden="1" customWidth="1"/>
    <col min="2003" max="2003" width="13.42578125" style="1235" customWidth="1"/>
    <col min="2004" max="2004" width="24" style="1235" customWidth="1"/>
    <col min="2005" max="2005" width="12.28515625" style="1235" customWidth="1"/>
    <col min="2006" max="2006" width="12.7109375" style="1235" bestFit="1" customWidth="1"/>
    <col min="2007" max="2007" width="12.7109375" style="1235" customWidth="1"/>
    <col min="2008" max="2008" width="12.140625" style="1235" customWidth="1"/>
    <col min="2009" max="2009" width="12.42578125" style="1235" customWidth="1"/>
    <col min="2010" max="2010" width="12.7109375" style="1235" customWidth="1"/>
    <col min="2011" max="2247" width="9.140625" style="1235"/>
    <col min="2248" max="2248" width="4.140625" style="1235" customWidth="1"/>
    <col min="2249" max="2249" width="58.5703125" style="1235" customWidth="1"/>
    <col min="2250" max="2250" width="0" style="1235" hidden="1" customWidth="1"/>
    <col min="2251" max="2251" width="15" style="1235" customWidth="1"/>
    <col min="2252" max="2252" width="13.28515625" style="1235" customWidth="1"/>
    <col min="2253" max="2253" width="12.5703125" style="1235" customWidth="1"/>
    <col min="2254" max="2254" width="13.5703125" style="1235" customWidth="1"/>
    <col min="2255" max="2255" width="12" style="1235" customWidth="1"/>
    <col min="2256" max="2256" width="12.140625" style="1235" customWidth="1"/>
    <col min="2257" max="2257" width="11.42578125" style="1235" customWidth="1"/>
    <col min="2258" max="2258" width="0" style="1235" hidden="1" customWidth="1"/>
    <col min="2259" max="2259" width="13.42578125" style="1235" customWidth="1"/>
    <col min="2260" max="2260" width="24" style="1235" customWidth="1"/>
    <col min="2261" max="2261" width="12.28515625" style="1235" customWidth="1"/>
    <col min="2262" max="2262" width="12.7109375" style="1235" bestFit="1" customWidth="1"/>
    <col min="2263" max="2263" width="12.7109375" style="1235" customWidth="1"/>
    <col min="2264" max="2264" width="12.140625" style="1235" customWidth="1"/>
    <col min="2265" max="2265" width="12.42578125" style="1235" customWidth="1"/>
    <col min="2266" max="2266" width="12.7109375" style="1235" customWidth="1"/>
    <col min="2267" max="2503" width="9.140625" style="1235"/>
    <col min="2504" max="2504" width="4.140625" style="1235" customWidth="1"/>
    <col min="2505" max="2505" width="58.5703125" style="1235" customWidth="1"/>
    <col min="2506" max="2506" width="0" style="1235" hidden="1" customWidth="1"/>
    <col min="2507" max="2507" width="15" style="1235" customWidth="1"/>
    <col min="2508" max="2508" width="13.28515625" style="1235" customWidth="1"/>
    <col min="2509" max="2509" width="12.5703125" style="1235" customWidth="1"/>
    <col min="2510" max="2510" width="13.5703125" style="1235" customWidth="1"/>
    <col min="2511" max="2511" width="12" style="1235" customWidth="1"/>
    <col min="2512" max="2512" width="12.140625" style="1235" customWidth="1"/>
    <col min="2513" max="2513" width="11.42578125" style="1235" customWidth="1"/>
    <col min="2514" max="2514" width="0" style="1235" hidden="1" customWidth="1"/>
    <col min="2515" max="2515" width="13.42578125" style="1235" customWidth="1"/>
    <col min="2516" max="2516" width="24" style="1235" customWidth="1"/>
    <col min="2517" max="2517" width="12.28515625" style="1235" customWidth="1"/>
    <col min="2518" max="2518" width="12.7109375" style="1235" bestFit="1" customWidth="1"/>
    <col min="2519" max="2519" width="12.7109375" style="1235" customWidth="1"/>
    <col min="2520" max="2520" width="12.140625" style="1235" customWidth="1"/>
    <col min="2521" max="2521" width="12.42578125" style="1235" customWidth="1"/>
    <col min="2522" max="2522" width="12.7109375" style="1235" customWidth="1"/>
    <col min="2523" max="2759" width="9.140625" style="1235"/>
    <col min="2760" max="2760" width="4.140625" style="1235" customWidth="1"/>
    <col min="2761" max="2761" width="58.5703125" style="1235" customWidth="1"/>
    <col min="2762" max="2762" width="0" style="1235" hidden="1" customWidth="1"/>
    <col min="2763" max="2763" width="15" style="1235" customWidth="1"/>
    <col min="2764" max="2764" width="13.28515625" style="1235" customWidth="1"/>
    <col min="2765" max="2765" width="12.5703125" style="1235" customWidth="1"/>
    <col min="2766" max="2766" width="13.5703125" style="1235" customWidth="1"/>
    <col min="2767" max="2767" width="12" style="1235" customWidth="1"/>
    <col min="2768" max="2768" width="12.140625" style="1235" customWidth="1"/>
    <col min="2769" max="2769" width="11.42578125" style="1235" customWidth="1"/>
    <col min="2770" max="2770" width="0" style="1235" hidden="1" customWidth="1"/>
    <col min="2771" max="2771" width="13.42578125" style="1235" customWidth="1"/>
    <col min="2772" max="2772" width="24" style="1235" customWidth="1"/>
    <col min="2773" max="2773" width="12.28515625" style="1235" customWidth="1"/>
    <col min="2774" max="2774" width="12.7109375" style="1235" bestFit="1" customWidth="1"/>
    <col min="2775" max="2775" width="12.7109375" style="1235" customWidth="1"/>
    <col min="2776" max="2776" width="12.140625" style="1235" customWidth="1"/>
    <col min="2777" max="2777" width="12.42578125" style="1235" customWidth="1"/>
    <col min="2778" max="2778" width="12.7109375" style="1235" customWidth="1"/>
    <col min="2779" max="3015" width="9.140625" style="1235"/>
    <col min="3016" max="3016" width="4.140625" style="1235" customWidth="1"/>
    <col min="3017" max="3017" width="58.5703125" style="1235" customWidth="1"/>
    <col min="3018" max="3018" width="0" style="1235" hidden="1" customWidth="1"/>
    <col min="3019" max="3019" width="15" style="1235" customWidth="1"/>
    <col min="3020" max="3020" width="13.28515625" style="1235" customWidth="1"/>
    <col min="3021" max="3021" width="12.5703125" style="1235" customWidth="1"/>
    <col min="3022" max="3022" width="13.5703125" style="1235" customWidth="1"/>
    <col min="3023" max="3023" width="12" style="1235" customWidth="1"/>
    <col min="3024" max="3024" width="12.140625" style="1235" customWidth="1"/>
    <col min="3025" max="3025" width="11.42578125" style="1235" customWidth="1"/>
    <col min="3026" max="3026" width="0" style="1235" hidden="1" customWidth="1"/>
    <col min="3027" max="3027" width="13.42578125" style="1235" customWidth="1"/>
    <col min="3028" max="3028" width="24" style="1235" customWidth="1"/>
    <col min="3029" max="3029" width="12.28515625" style="1235" customWidth="1"/>
    <col min="3030" max="3030" width="12.7109375" style="1235" bestFit="1" customWidth="1"/>
    <col min="3031" max="3031" width="12.7109375" style="1235" customWidth="1"/>
    <col min="3032" max="3032" width="12.140625" style="1235" customWidth="1"/>
    <col min="3033" max="3033" width="12.42578125" style="1235" customWidth="1"/>
    <col min="3034" max="3034" width="12.7109375" style="1235" customWidth="1"/>
    <col min="3035" max="3271" width="9.140625" style="1235"/>
    <col min="3272" max="3272" width="4.140625" style="1235" customWidth="1"/>
    <col min="3273" max="3273" width="58.5703125" style="1235" customWidth="1"/>
    <col min="3274" max="3274" width="0" style="1235" hidden="1" customWidth="1"/>
    <col min="3275" max="3275" width="15" style="1235" customWidth="1"/>
    <col min="3276" max="3276" width="13.28515625" style="1235" customWidth="1"/>
    <col min="3277" max="3277" width="12.5703125" style="1235" customWidth="1"/>
    <col min="3278" max="3278" width="13.5703125" style="1235" customWidth="1"/>
    <col min="3279" max="3279" width="12" style="1235" customWidth="1"/>
    <col min="3280" max="3280" width="12.140625" style="1235" customWidth="1"/>
    <col min="3281" max="3281" width="11.42578125" style="1235" customWidth="1"/>
    <col min="3282" max="3282" width="0" style="1235" hidden="1" customWidth="1"/>
    <col min="3283" max="3283" width="13.42578125" style="1235" customWidth="1"/>
    <col min="3284" max="3284" width="24" style="1235" customWidth="1"/>
    <col min="3285" max="3285" width="12.28515625" style="1235" customWidth="1"/>
    <col min="3286" max="3286" width="12.7109375" style="1235" bestFit="1" customWidth="1"/>
    <col min="3287" max="3287" width="12.7109375" style="1235" customWidth="1"/>
    <col min="3288" max="3288" width="12.140625" style="1235" customWidth="1"/>
    <col min="3289" max="3289" width="12.42578125" style="1235" customWidth="1"/>
    <col min="3290" max="3290" width="12.7109375" style="1235" customWidth="1"/>
    <col min="3291" max="3527" width="9.140625" style="1235"/>
    <col min="3528" max="3528" width="4.140625" style="1235" customWidth="1"/>
    <col min="3529" max="3529" width="58.5703125" style="1235" customWidth="1"/>
    <col min="3530" max="3530" width="0" style="1235" hidden="1" customWidth="1"/>
    <col min="3531" max="3531" width="15" style="1235" customWidth="1"/>
    <col min="3532" max="3532" width="13.28515625" style="1235" customWidth="1"/>
    <col min="3533" max="3533" width="12.5703125" style="1235" customWidth="1"/>
    <col min="3534" max="3534" width="13.5703125" style="1235" customWidth="1"/>
    <col min="3535" max="3535" width="12" style="1235" customWidth="1"/>
    <col min="3536" max="3536" width="12.140625" style="1235" customWidth="1"/>
    <col min="3537" max="3537" width="11.42578125" style="1235" customWidth="1"/>
    <col min="3538" max="3538" width="0" style="1235" hidden="1" customWidth="1"/>
    <col min="3539" max="3539" width="13.42578125" style="1235" customWidth="1"/>
    <col min="3540" max="3540" width="24" style="1235" customWidth="1"/>
    <col min="3541" max="3541" width="12.28515625" style="1235" customWidth="1"/>
    <col min="3542" max="3542" width="12.7109375" style="1235" bestFit="1" customWidth="1"/>
    <col min="3543" max="3543" width="12.7109375" style="1235" customWidth="1"/>
    <col min="3544" max="3544" width="12.140625" style="1235" customWidth="1"/>
    <col min="3545" max="3545" width="12.42578125" style="1235" customWidth="1"/>
    <col min="3546" max="3546" width="12.7109375" style="1235" customWidth="1"/>
    <col min="3547" max="3783" width="9.140625" style="1235"/>
    <col min="3784" max="3784" width="4.140625" style="1235" customWidth="1"/>
    <col min="3785" max="3785" width="58.5703125" style="1235" customWidth="1"/>
    <col min="3786" max="3786" width="0" style="1235" hidden="1" customWidth="1"/>
    <col min="3787" max="3787" width="15" style="1235" customWidth="1"/>
    <col min="3788" max="3788" width="13.28515625" style="1235" customWidth="1"/>
    <col min="3789" max="3789" width="12.5703125" style="1235" customWidth="1"/>
    <col min="3790" max="3790" width="13.5703125" style="1235" customWidth="1"/>
    <col min="3791" max="3791" width="12" style="1235" customWidth="1"/>
    <col min="3792" max="3792" width="12.140625" style="1235" customWidth="1"/>
    <col min="3793" max="3793" width="11.42578125" style="1235" customWidth="1"/>
    <col min="3794" max="3794" width="0" style="1235" hidden="1" customWidth="1"/>
    <col min="3795" max="3795" width="13.42578125" style="1235" customWidth="1"/>
    <col min="3796" max="3796" width="24" style="1235" customWidth="1"/>
    <col min="3797" max="3797" width="12.28515625" style="1235" customWidth="1"/>
    <col min="3798" max="3798" width="12.7109375" style="1235" bestFit="1" customWidth="1"/>
    <col min="3799" max="3799" width="12.7109375" style="1235" customWidth="1"/>
    <col min="3800" max="3800" width="12.140625" style="1235" customWidth="1"/>
    <col min="3801" max="3801" width="12.42578125" style="1235" customWidth="1"/>
    <col min="3802" max="3802" width="12.7109375" style="1235" customWidth="1"/>
    <col min="3803" max="4039" width="9.140625" style="1235"/>
    <col min="4040" max="4040" width="4.140625" style="1235" customWidth="1"/>
    <col min="4041" max="4041" width="58.5703125" style="1235" customWidth="1"/>
    <col min="4042" max="4042" width="0" style="1235" hidden="1" customWidth="1"/>
    <col min="4043" max="4043" width="15" style="1235" customWidth="1"/>
    <col min="4044" max="4044" width="13.28515625" style="1235" customWidth="1"/>
    <col min="4045" max="4045" width="12.5703125" style="1235" customWidth="1"/>
    <col min="4046" max="4046" width="13.5703125" style="1235" customWidth="1"/>
    <col min="4047" max="4047" width="12" style="1235" customWidth="1"/>
    <col min="4048" max="4048" width="12.140625" style="1235" customWidth="1"/>
    <col min="4049" max="4049" width="11.42578125" style="1235" customWidth="1"/>
    <col min="4050" max="4050" width="0" style="1235" hidden="1" customWidth="1"/>
    <col min="4051" max="4051" width="13.42578125" style="1235" customWidth="1"/>
    <col min="4052" max="4052" width="24" style="1235" customWidth="1"/>
    <col min="4053" max="4053" width="12.28515625" style="1235" customWidth="1"/>
    <col min="4054" max="4054" width="12.7109375" style="1235" bestFit="1" customWidth="1"/>
    <col min="4055" max="4055" width="12.7109375" style="1235" customWidth="1"/>
    <col min="4056" max="4056" width="12.140625" style="1235" customWidth="1"/>
    <col min="4057" max="4057" width="12.42578125" style="1235" customWidth="1"/>
    <col min="4058" max="4058" width="12.7109375" style="1235" customWidth="1"/>
    <col min="4059" max="4295" width="9.140625" style="1235"/>
    <col min="4296" max="4296" width="4.140625" style="1235" customWidth="1"/>
    <col min="4297" max="4297" width="58.5703125" style="1235" customWidth="1"/>
    <col min="4298" max="4298" width="0" style="1235" hidden="1" customWidth="1"/>
    <col min="4299" max="4299" width="15" style="1235" customWidth="1"/>
    <col min="4300" max="4300" width="13.28515625" style="1235" customWidth="1"/>
    <col min="4301" max="4301" width="12.5703125" style="1235" customWidth="1"/>
    <col min="4302" max="4302" width="13.5703125" style="1235" customWidth="1"/>
    <col min="4303" max="4303" width="12" style="1235" customWidth="1"/>
    <col min="4304" max="4304" width="12.140625" style="1235" customWidth="1"/>
    <col min="4305" max="4305" width="11.42578125" style="1235" customWidth="1"/>
    <col min="4306" max="4306" width="0" style="1235" hidden="1" customWidth="1"/>
    <col min="4307" max="4307" width="13.42578125" style="1235" customWidth="1"/>
    <col min="4308" max="4308" width="24" style="1235" customWidth="1"/>
    <col min="4309" max="4309" width="12.28515625" style="1235" customWidth="1"/>
    <col min="4310" max="4310" width="12.7109375" style="1235" bestFit="1" customWidth="1"/>
    <col min="4311" max="4311" width="12.7109375" style="1235" customWidth="1"/>
    <col min="4312" max="4312" width="12.140625" style="1235" customWidth="1"/>
    <col min="4313" max="4313" width="12.42578125" style="1235" customWidth="1"/>
    <col min="4314" max="4314" width="12.7109375" style="1235" customWidth="1"/>
    <col min="4315" max="4551" width="9.140625" style="1235"/>
    <col min="4552" max="4552" width="4.140625" style="1235" customWidth="1"/>
    <col min="4553" max="4553" width="58.5703125" style="1235" customWidth="1"/>
    <col min="4554" max="4554" width="0" style="1235" hidden="1" customWidth="1"/>
    <col min="4555" max="4555" width="15" style="1235" customWidth="1"/>
    <col min="4556" max="4556" width="13.28515625" style="1235" customWidth="1"/>
    <col min="4557" max="4557" width="12.5703125" style="1235" customWidth="1"/>
    <col min="4558" max="4558" width="13.5703125" style="1235" customWidth="1"/>
    <col min="4559" max="4559" width="12" style="1235" customWidth="1"/>
    <col min="4560" max="4560" width="12.140625" style="1235" customWidth="1"/>
    <col min="4561" max="4561" width="11.42578125" style="1235" customWidth="1"/>
    <col min="4562" max="4562" width="0" style="1235" hidden="1" customWidth="1"/>
    <col min="4563" max="4563" width="13.42578125" style="1235" customWidth="1"/>
    <col min="4564" max="4564" width="24" style="1235" customWidth="1"/>
    <col min="4565" max="4565" width="12.28515625" style="1235" customWidth="1"/>
    <col min="4566" max="4566" width="12.7109375" style="1235" bestFit="1" customWidth="1"/>
    <col min="4567" max="4567" width="12.7109375" style="1235" customWidth="1"/>
    <col min="4568" max="4568" width="12.140625" style="1235" customWidth="1"/>
    <col min="4569" max="4569" width="12.42578125" style="1235" customWidth="1"/>
    <col min="4570" max="4570" width="12.7109375" style="1235" customWidth="1"/>
    <col min="4571" max="4807" width="9.140625" style="1235"/>
    <col min="4808" max="4808" width="4.140625" style="1235" customWidth="1"/>
    <col min="4809" max="4809" width="58.5703125" style="1235" customWidth="1"/>
    <col min="4810" max="4810" width="0" style="1235" hidden="1" customWidth="1"/>
    <col min="4811" max="4811" width="15" style="1235" customWidth="1"/>
    <col min="4812" max="4812" width="13.28515625" style="1235" customWidth="1"/>
    <col min="4813" max="4813" width="12.5703125" style="1235" customWidth="1"/>
    <col min="4814" max="4814" width="13.5703125" style="1235" customWidth="1"/>
    <col min="4815" max="4815" width="12" style="1235" customWidth="1"/>
    <col min="4816" max="4816" width="12.140625" style="1235" customWidth="1"/>
    <col min="4817" max="4817" width="11.42578125" style="1235" customWidth="1"/>
    <col min="4818" max="4818" width="0" style="1235" hidden="1" customWidth="1"/>
    <col min="4819" max="4819" width="13.42578125" style="1235" customWidth="1"/>
    <col min="4820" max="4820" width="24" style="1235" customWidth="1"/>
    <col min="4821" max="4821" width="12.28515625" style="1235" customWidth="1"/>
    <col min="4822" max="4822" width="12.7109375" style="1235" bestFit="1" customWidth="1"/>
    <col min="4823" max="4823" width="12.7109375" style="1235" customWidth="1"/>
    <col min="4824" max="4824" width="12.140625" style="1235" customWidth="1"/>
    <col min="4825" max="4825" width="12.42578125" style="1235" customWidth="1"/>
    <col min="4826" max="4826" width="12.7109375" style="1235" customWidth="1"/>
    <col min="4827" max="5063" width="9.140625" style="1235"/>
    <col min="5064" max="5064" width="4.140625" style="1235" customWidth="1"/>
    <col min="5065" max="5065" width="58.5703125" style="1235" customWidth="1"/>
    <col min="5066" max="5066" width="0" style="1235" hidden="1" customWidth="1"/>
    <col min="5067" max="5067" width="15" style="1235" customWidth="1"/>
    <col min="5068" max="5068" width="13.28515625" style="1235" customWidth="1"/>
    <col min="5069" max="5069" width="12.5703125" style="1235" customWidth="1"/>
    <col min="5070" max="5070" width="13.5703125" style="1235" customWidth="1"/>
    <col min="5071" max="5071" width="12" style="1235" customWidth="1"/>
    <col min="5072" max="5072" width="12.140625" style="1235" customWidth="1"/>
    <col min="5073" max="5073" width="11.42578125" style="1235" customWidth="1"/>
    <col min="5074" max="5074" width="0" style="1235" hidden="1" customWidth="1"/>
    <col min="5075" max="5075" width="13.42578125" style="1235" customWidth="1"/>
    <col min="5076" max="5076" width="24" style="1235" customWidth="1"/>
    <col min="5077" max="5077" width="12.28515625" style="1235" customWidth="1"/>
    <col min="5078" max="5078" width="12.7109375" style="1235" bestFit="1" customWidth="1"/>
    <col min="5079" max="5079" width="12.7109375" style="1235" customWidth="1"/>
    <col min="5080" max="5080" width="12.140625" style="1235" customWidth="1"/>
    <col min="5081" max="5081" width="12.42578125" style="1235" customWidth="1"/>
    <col min="5082" max="5082" width="12.7109375" style="1235" customWidth="1"/>
    <col min="5083" max="5319" width="9.140625" style="1235"/>
    <col min="5320" max="5320" width="4.140625" style="1235" customWidth="1"/>
    <col min="5321" max="5321" width="58.5703125" style="1235" customWidth="1"/>
    <col min="5322" max="5322" width="0" style="1235" hidden="1" customWidth="1"/>
    <col min="5323" max="5323" width="15" style="1235" customWidth="1"/>
    <col min="5324" max="5324" width="13.28515625" style="1235" customWidth="1"/>
    <col min="5325" max="5325" width="12.5703125" style="1235" customWidth="1"/>
    <col min="5326" max="5326" width="13.5703125" style="1235" customWidth="1"/>
    <col min="5327" max="5327" width="12" style="1235" customWidth="1"/>
    <col min="5328" max="5328" width="12.140625" style="1235" customWidth="1"/>
    <col min="5329" max="5329" width="11.42578125" style="1235" customWidth="1"/>
    <col min="5330" max="5330" width="0" style="1235" hidden="1" customWidth="1"/>
    <col min="5331" max="5331" width="13.42578125" style="1235" customWidth="1"/>
    <col min="5332" max="5332" width="24" style="1235" customWidth="1"/>
    <col min="5333" max="5333" width="12.28515625" style="1235" customWidth="1"/>
    <col min="5334" max="5334" width="12.7109375" style="1235" bestFit="1" customWidth="1"/>
    <col min="5335" max="5335" width="12.7109375" style="1235" customWidth="1"/>
    <col min="5336" max="5336" width="12.140625" style="1235" customWidth="1"/>
    <col min="5337" max="5337" width="12.42578125" style="1235" customWidth="1"/>
    <col min="5338" max="5338" width="12.7109375" style="1235" customWidth="1"/>
    <col min="5339" max="5575" width="9.140625" style="1235"/>
    <col min="5576" max="5576" width="4.140625" style="1235" customWidth="1"/>
    <col min="5577" max="5577" width="58.5703125" style="1235" customWidth="1"/>
    <col min="5578" max="5578" width="0" style="1235" hidden="1" customWidth="1"/>
    <col min="5579" max="5579" width="15" style="1235" customWidth="1"/>
    <col min="5580" max="5580" width="13.28515625" style="1235" customWidth="1"/>
    <col min="5581" max="5581" width="12.5703125" style="1235" customWidth="1"/>
    <col min="5582" max="5582" width="13.5703125" style="1235" customWidth="1"/>
    <col min="5583" max="5583" width="12" style="1235" customWidth="1"/>
    <col min="5584" max="5584" width="12.140625" style="1235" customWidth="1"/>
    <col min="5585" max="5585" width="11.42578125" style="1235" customWidth="1"/>
    <col min="5586" max="5586" width="0" style="1235" hidden="1" customWidth="1"/>
    <col min="5587" max="5587" width="13.42578125" style="1235" customWidth="1"/>
    <col min="5588" max="5588" width="24" style="1235" customWidth="1"/>
    <col min="5589" max="5589" width="12.28515625" style="1235" customWidth="1"/>
    <col min="5590" max="5590" width="12.7109375" style="1235" bestFit="1" customWidth="1"/>
    <col min="5591" max="5591" width="12.7109375" style="1235" customWidth="1"/>
    <col min="5592" max="5592" width="12.140625" style="1235" customWidth="1"/>
    <col min="5593" max="5593" width="12.42578125" style="1235" customWidth="1"/>
    <col min="5594" max="5594" width="12.7109375" style="1235" customWidth="1"/>
    <col min="5595" max="5831" width="9.140625" style="1235"/>
    <col min="5832" max="5832" width="4.140625" style="1235" customWidth="1"/>
    <col min="5833" max="5833" width="58.5703125" style="1235" customWidth="1"/>
    <col min="5834" max="5834" width="0" style="1235" hidden="1" customWidth="1"/>
    <col min="5835" max="5835" width="15" style="1235" customWidth="1"/>
    <col min="5836" max="5836" width="13.28515625" style="1235" customWidth="1"/>
    <col min="5837" max="5837" width="12.5703125" style="1235" customWidth="1"/>
    <col min="5838" max="5838" width="13.5703125" style="1235" customWidth="1"/>
    <col min="5839" max="5839" width="12" style="1235" customWidth="1"/>
    <col min="5840" max="5840" width="12.140625" style="1235" customWidth="1"/>
    <col min="5841" max="5841" width="11.42578125" style="1235" customWidth="1"/>
    <col min="5842" max="5842" width="0" style="1235" hidden="1" customWidth="1"/>
    <col min="5843" max="5843" width="13.42578125" style="1235" customWidth="1"/>
    <col min="5844" max="5844" width="24" style="1235" customWidth="1"/>
    <col min="5845" max="5845" width="12.28515625" style="1235" customWidth="1"/>
    <col min="5846" max="5846" width="12.7109375" style="1235" bestFit="1" customWidth="1"/>
    <col min="5847" max="5847" width="12.7109375" style="1235" customWidth="1"/>
    <col min="5848" max="5848" width="12.140625" style="1235" customWidth="1"/>
    <col min="5849" max="5849" width="12.42578125" style="1235" customWidth="1"/>
    <col min="5850" max="5850" width="12.7109375" style="1235" customWidth="1"/>
    <col min="5851" max="6087" width="9.140625" style="1235"/>
    <col min="6088" max="6088" width="4.140625" style="1235" customWidth="1"/>
    <col min="6089" max="6089" width="58.5703125" style="1235" customWidth="1"/>
    <col min="6090" max="6090" width="0" style="1235" hidden="1" customWidth="1"/>
    <col min="6091" max="6091" width="15" style="1235" customWidth="1"/>
    <col min="6092" max="6092" width="13.28515625" style="1235" customWidth="1"/>
    <col min="6093" max="6093" width="12.5703125" style="1235" customWidth="1"/>
    <col min="6094" max="6094" width="13.5703125" style="1235" customWidth="1"/>
    <col min="6095" max="6095" width="12" style="1235" customWidth="1"/>
    <col min="6096" max="6096" width="12.140625" style="1235" customWidth="1"/>
    <col min="6097" max="6097" width="11.42578125" style="1235" customWidth="1"/>
    <col min="6098" max="6098" width="0" style="1235" hidden="1" customWidth="1"/>
    <col min="6099" max="6099" width="13.42578125" style="1235" customWidth="1"/>
    <col min="6100" max="6100" width="24" style="1235" customWidth="1"/>
    <col min="6101" max="6101" width="12.28515625" style="1235" customWidth="1"/>
    <col min="6102" max="6102" width="12.7109375" style="1235" bestFit="1" customWidth="1"/>
    <col min="6103" max="6103" width="12.7109375" style="1235" customWidth="1"/>
    <col min="6104" max="6104" width="12.140625" style="1235" customWidth="1"/>
    <col min="6105" max="6105" width="12.42578125" style="1235" customWidth="1"/>
    <col min="6106" max="6106" width="12.7109375" style="1235" customWidth="1"/>
    <col min="6107" max="6343" width="9.140625" style="1235"/>
    <col min="6344" max="6344" width="4.140625" style="1235" customWidth="1"/>
    <col min="6345" max="6345" width="58.5703125" style="1235" customWidth="1"/>
    <col min="6346" max="6346" width="0" style="1235" hidden="1" customWidth="1"/>
    <col min="6347" max="6347" width="15" style="1235" customWidth="1"/>
    <col min="6348" max="6348" width="13.28515625" style="1235" customWidth="1"/>
    <col min="6349" max="6349" width="12.5703125" style="1235" customWidth="1"/>
    <col min="6350" max="6350" width="13.5703125" style="1235" customWidth="1"/>
    <col min="6351" max="6351" width="12" style="1235" customWidth="1"/>
    <col min="6352" max="6352" width="12.140625" style="1235" customWidth="1"/>
    <col min="6353" max="6353" width="11.42578125" style="1235" customWidth="1"/>
    <col min="6354" max="6354" width="0" style="1235" hidden="1" customWidth="1"/>
    <col min="6355" max="6355" width="13.42578125" style="1235" customWidth="1"/>
    <col min="6356" max="6356" width="24" style="1235" customWidth="1"/>
    <col min="6357" max="6357" width="12.28515625" style="1235" customWidth="1"/>
    <col min="6358" max="6358" width="12.7109375" style="1235" bestFit="1" customWidth="1"/>
    <col min="6359" max="6359" width="12.7109375" style="1235" customWidth="1"/>
    <col min="6360" max="6360" width="12.140625" style="1235" customWidth="1"/>
    <col min="6361" max="6361" width="12.42578125" style="1235" customWidth="1"/>
    <col min="6362" max="6362" width="12.7109375" style="1235" customWidth="1"/>
    <col min="6363" max="6599" width="9.140625" style="1235"/>
    <col min="6600" max="6600" width="4.140625" style="1235" customWidth="1"/>
    <col min="6601" max="6601" width="58.5703125" style="1235" customWidth="1"/>
    <col min="6602" max="6602" width="0" style="1235" hidden="1" customWidth="1"/>
    <col min="6603" max="6603" width="15" style="1235" customWidth="1"/>
    <col min="6604" max="6604" width="13.28515625" style="1235" customWidth="1"/>
    <col min="6605" max="6605" width="12.5703125" style="1235" customWidth="1"/>
    <col min="6606" max="6606" width="13.5703125" style="1235" customWidth="1"/>
    <col min="6607" max="6607" width="12" style="1235" customWidth="1"/>
    <col min="6608" max="6608" width="12.140625" style="1235" customWidth="1"/>
    <col min="6609" max="6609" width="11.42578125" style="1235" customWidth="1"/>
    <col min="6610" max="6610" width="0" style="1235" hidden="1" customWidth="1"/>
    <col min="6611" max="6611" width="13.42578125" style="1235" customWidth="1"/>
    <col min="6612" max="6612" width="24" style="1235" customWidth="1"/>
    <col min="6613" max="6613" width="12.28515625" style="1235" customWidth="1"/>
    <col min="6614" max="6614" width="12.7109375" style="1235" bestFit="1" customWidth="1"/>
    <col min="6615" max="6615" width="12.7109375" style="1235" customWidth="1"/>
    <col min="6616" max="6616" width="12.140625" style="1235" customWidth="1"/>
    <col min="6617" max="6617" width="12.42578125" style="1235" customWidth="1"/>
    <col min="6618" max="6618" width="12.7109375" style="1235" customWidth="1"/>
    <col min="6619" max="6855" width="9.140625" style="1235"/>
    <col min="6856" max="6856" width="4.140625" style="1235" customWidth="1"/>
    <col min="6857" max="6857" width="58.5703125" style="1235" customWidth="1"/>
    <col min="6858" max="6858" width="0" style="1235" hidden="1" customWidth="1"/>
    <col min="6859" max="6859" width="15" style="1235" customWidth="1"/>
    <col min="6860" max="6860" width="13.28515625" style="1235" customWidth="1"/>
    <col min="6861" max="6861" width="12.5703125" style="1235" customWidth="1"/>
    <col min="6862" max="6862" width="13.5703125" style="1235" customWidth="1"/>
    <col min="6863" max="6863" width="12" style="1235" customWidth="1"/>
    <col min="6864" max="6864" width="12.140625" style="1235" customWidth="1"/>
    <col min="6865" max="6865" width="11.42578125" style="1235" customWidth="1"/>
    <col min="6866" max="6866" width="0" style="1235" hidden="1" customWidth="1"/>
    <col min="6867" max="6867" width="13.42578125" style="1235" customWidth="1"/>
    <col min="6868" max="6868" width="24" style="1235" customWidth="1"/>
    <col min="6869" max="6869" width="12.28515625" style="1235" customWidth="1"/>
    <col min="6870" max="6870" width="12.7109375" style="1235" bestFit="1" customWidth="1"/>
    <col min="6871" max="6871" width="12.7109375" style="1235" customWidth="1"/>
    <col min="6872" max="6872" width="12.140625" style="1235" customWidth="1"/>
    <col min="6873" max="6873" width="12.42578125" style="1235" customWidth="1"/>
    <col min="6874" max="6874" width="12.7109375" style="1235" customWidth="1"/>
    <col min="6875" max="7111" width="9.140625" style="1235"/>
    <col min="7112" max="7112" width="4.140625" style="1235" customWidth="1"/>
    <col min="7113" max="7113" width="58.5703125" style="1235" customWidth="1"/>
    <col min="7114" max="7114" width="0" style="1235" hidden="1" customWidth="1"/>
    <col min="7115" max="7115" width="15" style="1235" customWidth="1"/>
    <col min="7116" max="7116" width="13.28515625" style="1235" customWidth="1"/>
    <col min="7117" max="7117" width="12.5703125" style="1235" customWidth="1"/>
    <col min="7118" max="7118" width="13.5703125" style="1235" customWidth="1"/>
    <col min="7119" max="7119" width="12" style="1235" customWidth="1"/>
    <col min="7120" max="7120" width="12.140625" style="1235" customWidth="1"/>
    <col min="7121" max="7121" width="11.42578125" style="1235" customWidth="1"/>
    <col min="7122" max="7122" width="0" style="1235" hidden="1" customWidth="1"/>
    <col min="7123" max="7123" width="13.42578125" style="1235" customWidth="1"/>
    <col min="7124" max="7124" width="24" style="1235" customWidth="1"/>
    <col min="7125" max="7125" width="12.28515625" style="1235" customWidth="1"/>
    <col min="7126" max="7126" width="12.7109375" style="1235" bestFit="1" customWidth="1"/>
    <col min="7127" max="7127" width="12.7109375" style="1235" customWidth="1"/>
    <col min="7128" max="7128" width="12.140625" style="1235" customWidth="1"/>
    <col min="7129" max="7129" width="12.42578125" style="1235" customWidth="1"/>
    <col min="7130" max="7130" width="12.7109375" style="1235" customWidth="1"/>
    <col min="7131" max="7367" width="9.140625" style="1235"/>
    <col min="7368" max="7368" width="4.140625" style="1235" customWidth="1"/>
    <col min="7369" max="7369" width="58.5703125" style="1235" customWidth="1"/>
    <col min="7370" max="7370" width="0" style="1235" hidden="1" customWidth="1"/>
    <col min="7371" max="7371" width="15" style="1235" customWidth="1"/>
    <col min="7372" max="7372" width="13.28515625" style="1235" customWidth="1"/>
    <col min="7373" max="7373" width="12.5703125" style="1235" customWidth="1"/>
    <col min="7374" max="7374" width="13.5703125" style="1235" customWidth="1"/>
    <col min="7375" max="7375" width="12" style="1235" customWidth="1"/>
    <col min="7376" max="7376" width="12.140625" style="1235" customWidth="1"/>
    <col min="7377" max="7377" width="11.42578125" style="1235" customWidth="1"/>
    <col min="7378" max="7378" width="0" style="1235" hidden="1" customWidth="1"/>
    <col min="7379" max="7379" width="13.42578125" style="1235" customWidth="1"/>
    <col min="7380" max="7380" width="24" style="1235" customWidth="1"/>
    <col min="7381" max="7381" width="12.28515625" style="1235" customWidth="1"/>
    <col min="7382" max="7382" width="12.7109375" style="1235" bestFit="1" customWidth="1"/>
    <col min="7383" max="7383" width="12.7109375" style="1235" customWidth="1"/>
    <col min="7384" max="7384" width="12.140625" style="1235" customWidth="1"/>
    <col min="7385" max="7385" width="12.42578125" style="1235" customWidth="1"/>
    <col min="7386" max="7386" width="12.7109375" style="1235" customWidth="1"/>
    <col min="7387" max="7623" width="9.140625" style="1235"/>
    <col min="7624" max="7624" width="4.140625" style="1235" customWidth="1"/>
    <col min="7625" max="7625" width="58.5703125" style="1235" customWidth="1"/>
    <col min="7626" max="7626" width="0" style="1235" hidden="1" customWidth="1"/>
    <col min="7627" max="7627" width="15" style="1235" customWidth="1"/>
    <col min="7628" max="7628" width="13.28515625" style="1235" customWidth="1"/>
    <col min="7629" max="7629" width="12.5703125" style="1235" customWidth="1"/>
    <col min="7630" max="7630" width="13.5703125" style="1235" customWidth="1"/>
    <col min="7631" max="7631" width="12" style="1235" customWidth="1"/>
    <col min="7632" max="7632" width="12.140625" style="1235" customWidth="1"/>
    <col min="7633" max="7633" width="11.42578125" style="1235" customWidth="1"/>
    <col min="7634" max="7634" width="0" style="1235" hidden="1" customWidth="1"/>
    <col min="7635" max="7635" width="13.42578125" style="1235" customWidth="1"/>
    <col min="7636" max="7636" width="24" style="1235" customWidth="1"/>
    <col min="7637" max="7637" width="12.28515625" style="1235" customWidth="1"/>
    <col min="7638" max="7638" width="12.7109375" style="1235" bestFit="1" customWidth="1"/>
    <col min="7639" max="7639" width="12.7109375" style="1235" customWidth="1"/>
    <col min="7640" max="7640" width="12.140625" style="1235" customWidth="1"/>
    <col min="7641" max="7641" width="12.42578125" style="1235" customWidth="1"/>
    <col min="7642" max="7642" width="12.7109375" style="1235" customWidth="1"/>
    <col min="7643" max="7879" width="9.140625" style="1235"/>
    <col min="7880" max="7880" width="4.140625" style="1235" customWidth="1"/>
    <col min="7881" max="7881" width="58.5703125" style="1235" customWidth="1"/>
    <col min="7882" max="7882" width="0" style="1235" hidden="1" customWidth="1"/>
    <col min="7883" max="7883" width="15" style="1235" customWidth="1"/>
    <col min="7884" max="7884" width="13.28515625" style="1235" customWidth="1"/>
    <col min="7885" max="7885" width="12.5703125" style="1235" customWidth="1"/>
    <col min="7886" max="7886" width="13.5703125" style="1235" customWidth="1"/>
    <col min="7887" max="7887" width="12" style="1235" customWidth="1"/>
    <col min="7888" max="7888" width="12.140625" style="1235" customWidth="1"/>
    <col min="7889" max="7889" width="11.42578125" style="1235" customWidth="1"/>
    <col min="7890" max="7890" width="0" style="1235" hidden="1" customWidth="1"/>
    <col min="7891" max="7891" width="13.42578125" style="1235" customWidth="1"/>
    <col min="7892" max="7892" width="24" style="1235" customWidth="1"/>
    <col min="7893" max="7893" width="12.28515625" style="1235" customWidth="1"/>
    <col min="7894" max="7894" width="12.7109375" style="1235" bestFit="1" customWidth="1"/>
    <col min="7895" max="7895" width="12.7109375" style="1235" customWidth="1"/>
    <col min="7896" max="7896" width="12.140625" style="1235" customWidth="1"/>
    <col min="7897" max="7897" width="12.42578125" style="1235" customWidth="1"/>
    <col min="7898" max="7898" width="12.7109375" style="1235" customWidth="1"/>
    <col min="7899" max="8135" width="9.140625" style="1235"/>
    <col min="8136" max="8136" width="4.140625" style="1235" customWidth="1"/>
    <col min="8137" max="8137" width="58.5703125" style="1235" customWidth="1"/>
    <col min="8138" max="8138" width="0" style="1235" hidden="1" customWidth="1"/>
    <col min="8139" max="8139" width="15" style="1235" customWidth="1"/>
    <col min="8140" max="8140" width="13.28515625" style="1235" customWidth="1"/>
    <col min="8141" max="8141" width="12.5703125" style="1235" customWidth="1"/>
    <col min="8142" max="8142" width="13.5703125" style="1235" customWidth="1"/>
    <col min="8143" max="8143" width="12" style="1235" customWidth="1"/>
    <col min="8144" max="8144" width="12.140625" style="1235" customWidth="1"/>
    <col min="8145" max="8145" width="11.42578125" style="1235" customWidth="1"/>
    <col min="8146" max="8146" width="0" style="1235" hidden="1" customWidth="1"/>
    <col min="8147" max="8147" width="13.42578125" style="1235" customWidth="1"/>
    <col min="8148" max="8148" width="24" style="1235" customWidth="1"/>
    <col min="8149" max="8149" width="12.28515625" style="1235" customWidth="1"/>
    <col min="8150" max="8150" width="12.7109375" style="1235" bestFit="1" customWidth="1"/>
    <col min="8151" max="8151" width="12.7109375" style="1235" customWidth="1"/>
    <col min="8152" max="8152" width="12.140625" style="1235" customWidth="1"/>
    <col min="8153" max="8153" width="12.42578125" style="1235" customWidth="1"/>
    <col min="8154" max="8154" width="12.7109375" style="1235" customWidth="1"/>
    <col min="8155" max="8391" width="9.140625" style="1235"/>
    <col min="8392" max="8392" width="4.140625" style="1235" customWidth="1"/>
    <col min="8393" max="8393" width="58.5703125" style="1235" customWidth="1"/>
    <col min="8394" max="8394" width="0" style="1235" hidden="1" customWidth="1"/>
    <col min="8395" max="8395" width="15" style="1235" customWidth="1"/>
    <col min="8396" max="8396" width="13.28515625" style="1235" customWidth="1"/>
    <col min="8397" max="8397" width="12.5703125" style="1235" customWidth="1"/>
    <col min="8398" max="8398" width="13.5703125" style="1235" customWidth="1"/>
    <col min="8399" max="8399" width="12" style="1235" customWidth="1"/>
    <col min="8400" max="8400" width="12.140625" style="1235" customWidth="1"/>
    <col min="8401" max="8401" width="11.42578125" style="1235" customWidth="1"/>
    <col min="8402" max="8402" width="0" style="1235" hidden="1" customWidth="1"/>
    <col min="8403" max="8403" width="13.42578125" style="1235" customWidth="1"/>
    <col min="8404" max="8404" width="24" style="1235" customWidth="1"/>
    <col min="8405" max="8405" width="12.28515625" style="1235" customWidth="1"/>
    <col min="8406" max="8406" width="12.7109375" style="1235" bestFit="1" customWidth="1"/>
    <col min="8407" max="8407" width="12.7109375" style="1235" customWidth="1"/>
    <col min="8408" max="8408" width="12.140625" style="1235" customWidth="1"/>
    <col min="8409" max="8409" width="12.42578125" style="1235" customWidth="1"/>
    <col min="8410" max="8410" width="12.7109375" style="1235" customWidth="1"/>
    <col min="8411" max="8647" width="9.140625" style="1235"/>
    <col min="8648" max="8648" width="4.140625" style="1235" customWidth="1"/>
    <col min="8649" max="8649" width="58.5703125" style="1235" customWidth="1"/>
    <col min="8650" max="8650" width="0" style="1235" hidden="1" customWidth="1"/>
    <col min="8651" max="8651" width="15" style="1235" customWidth="1"/>
    <col min="8652" max="8652" width="13.28515625" style="1235" customWidth="1"/>
    <col min="8653" max="8653" width="12.5703125" style="1235" customWidth="1"/>
    <col min="8654" max="8654" width="13.5703125" style="1235" customWidth="1"/>
    <col min="8655" max="8655" width="12" style="1235" customWidth="1"/>
    <col min="8656" max="8656" width="12.140625" style="1235" customWidth="1"/>
    <col min="8657" max="8657" width="11.42578125" style="1235" customWidth="1"/>
    <col min="8658" max="8658" width="0" style="1235" hidden="1" customWidth="1"/>
    <col min="8659" max="8659" width="13.42578125" style="1235" customWidth="1"/>
    <col min="8660" max="8660" width="24" style="1235" customWidth="1"/>
    <col min="8661" max="8661" width="12.28515625" style="1235" customWidth="1"/>
    <col min="8662" max="8662" width="12.7109375" style="1235" bestFit="1" customWidth="1"/>
    <col min="8663" max="8663" width="12.7109375" style="1235" customWidth="1"/>
    <col min="8664" max="8664" width="12.140625" style="1235" customWidth="1"/>
    <col min="8665" max="8665" width="12.42578125" style="1235" customWidth="1"/>
    <col min="8666" max="8666" width="12.7109375" style="1235" customWidth="1"/>
    <col min="8667" max="8903" width="9.140625" style="1235"/>
    <col min="8904" max="8904" width="4.140625" style="1235" customWidth="1"/>
    <col min="8905" max="8905" width="58.5703125" style="1235" customWidth="1"/>
    <col min="8906" max="8906" width="0" style="1235" hidden="1" customWidth="1"/>
    <col min="8907" max="8907" width="15" style="1235" customWidth="1"/>
    <col min="8908" max="8908" width="13.28515625" style="1235" customWidth="1"/>
    <col min="8909" max="8909" width="12.5703125" style="1235" customWidth="1"/>
    <col min="8910" max="8910" width="13.5703125" style="1235" customWidth="1"/>
    <col min="8911" max="8911" width="12" style="1235" customWidth="1"/>
    <col min="8912" max="8912" width="12.140625" style="1235" customWidth="1"/>
    <col min="8913" max="8913" width="11.42578125" style="1235" customWidth="1"/>
    <col min="8914" max="8914" width="0" style="1235" hidden="1" customWidth="1"/>
    <col min="8915" max="8915" width="13.42578125" style="1235" customWidth="1"/>
    <col min="8916" max="8916" width="24" style="1235" customWidth="1"/>
    <col min="8917" max="8917" width="12.28515625" style="1235" customWidth="1"/>
    <col min="8918" max="8918" width="12.7109375" style="1235" bestFit="1" customWidth="1"/>
    <col min="8919" max="8919" width="12.7109375" style="1235" customWidth="1"/>
    <col min="8920" max="8920" width="12.140625" style="1235" customWidth="1"/>
    <col min="8921" max="8921" width="12.42578125" style="1235" customWidth="1"/>
    <col min="8922" max="8922" width="12.7109375" style="1235" customWidth="1"/>
    <col min="8923" max="9159" width="9.140625" style="1235"/>
    <col min="9160" max="9160" width="4.140625" style="1235" customWidth="1"/>
    <col min="9161" max="9161" width="58.5703125" style="1235" customWidth="1"/>
    <col min="9162" max="9162" width="0" style="1235" hidden="1" customWidth="1"/>
    <col min="9163" max="9163" width="15" style="1235" customWidth="1"/>
    <col min="9164" max="9164" width="13.28515625" style="1235" customWidth="1"/>
    <col min="9165" max="9165" width="12.5703125" style="1235" customWidth="1"/>
    <col min="9166" max="9166" width="13.5703125" style="1235" customWidth="1"/>
    <col min="9167" max="9167" width="12" style="1235" customWidth="1"/>
    <col min="9168" max="9168" width="12.140625" style="1235" customWidth="1"/>
    <col min="9169" max="9169" width="11.42578125" style="1235" customWidth="1"/>
    <col min="9170" max="9170" width="0" style="1235" hidden="1" customWidth="1"/>
    <col min="9171" max="9171" width="13.42578125" style="1235" customWidth="1"/>
    <col min="9172" max="9172" width="24" style="1235" customWidth="1"/>
    <col min="9173" max="9173" width="12.28515625" style="1235" customWidth="1"/>
    <col min="9174" max="9174" width="12.7109375" style="1235" bestFit="1" customWidth="1"/>
    <col min="9175" max="9175" width="12.7109375" style="1235" customWidth="1"/>
    <col min="9176" max="9176" width="12.140625" style="1235" customWidth="1"/>
    <col min="9177" max="9177" width="12.42578125" style="1235" customWidth="1"/>
    <col min="9178" max="9178" width="12.7109375" style="1235" customWidth="1"/>
    <col min="9179" max="9415" width="9.140625" style="1235"/>
    <col min="9416" max="9416" width="4.140625" style="1235" customWidth="1"/>
    <col min="9417" max="9417" width="58.5703125" style="1235" customWidth="1"/>
    <col min="9418" max="9418" width="0" style="1235" hidden="1" customWidth="1"/>
    <col min="9419" max="9419" width="15" style="1235" customWidth="1"/>
    <col min="9420" max="9420" width="13.28515625" style="1235" customWidth="1"/>
    <col min="9421" max="9421" width="12.5703125" style="1235" customWidth="1"/>
    <col min="9422" max="9422" width="13.5703125" style="1235" customWidth="1"/>
    <col min="9423" max="9423" width="12" style="1235" customWidth="1"/>
    <col min="9424" max="9424" width="12.140625" style="1235" customWidth="1"/>
    <col min="9425" max="9425" width="11.42578125" style="1235" customWidth="1"/>
    <col min="9426" max="9426" width="0" style="1235" hidden="1" customWidth="1"/>
    <col min="9427" max="9427" width="13.42578125" style="1235" customWidth="1"/>
    <col min="9428" max="9428" width="24" style="1235" customWidth="1"/>
    <col min="9429" max="9429" width="12.28515625" style="1235" customWidth="1"/>
    <col min="9430" max="9430" width="12.7109375" style="1235" bestFit="1" customWidth="1"/>
    <col min="9431" max="9431" width="12.7109375" style="1235" customWidth="1"/>
    <col min="9432" max="9432" width="12.140625" style="1235" customWidth="1"/>
    <col min="9433" max="9433" width="12.42578125" style="1235" customWidth="1"/>
    <col min="9434" max="9434" width="12.7109375" style="1235" customWidth="1"/>
    <col min="9435" max="9671" width="9.140625" style="1235"/>
    <col min="9672" max="9672" width="4.140625" style="1235" customWidth="1"/>
    <col min="9673" max="9673" width="58.5703125" style="1235" customWidth="1"/>
    <col min="9674" max="9674" width="0" style="1235" hidden="1" customWidth="1"/>
    <col min="9675" max="9675" width="15" style="1235" customWidth="1"/>
    <col min="9676" max="9676" width="13.28515625" style="1235" customWidth="1"/>
    <col min="9677" max="9677" width="12.5703125" style="1235" customWidth="1"/>
    <col min="9678" max="9678" width="13.5703125" style="1235" customWidth="1"/>
    <col min="9679" max="9679" width="12" style="1235" customWidth="1"/>
    <col min="9680" max="9680" width="12.140625" style="1235" customWidth="1"/>
    <col min="9681" max="9681" width="11.42578125" style="1235" customWidth="1"/>
    <col min="9682" max="9682" width="0" style="1235" hidden="1" customWidth="1"/>
    <col min="9683" max="9683" width="13.42578125" style="1235" customWidth="1"/>
    <col min="9684" max="9684" width="24" style="1235" customWidth="1"/>
    <col min="9685" max="9685" width="12.28515625" style="1235" customWidth="1"/>
    <col min="9686" max="9686" width="12.7109375" style="1235" bestFit="1" customWidth="1"/>
    <col min="9687" max="9687" width="12.7109375" style="1235" customWidth="1"/>
    <col min="9688" max="9688" width="12.140625" style="1235" customWidth="1"/>
    <col min="9689" max="9689" width="12.42578125" style="1235" customWidth="1"/>
    <col min="9690" max="9690" width="12.7109375" style="1235" customWidth="1"/>
    <col min="9691" max="9927" width="9.140625" style="1235"/>
    <col min="9928" max="9928" width="4.140625" style="1235" customWidth="1"/>
    <col min="9929" max="9929" width="58.5703125" style="1235" customWidth="1"/>
    <col min="9930" max="9930" width="0" style="1235" hidden="1" customWidth="1"/>
    <col min="9931" max="9931" width="15" style="1235" customWidth="1"/>
    <col min="9932" max="9932" width="13.28515625" style="1235" customWidth="1"/>
    <col min="9933" max="9933" width="12.5703125" style="1235" customWidth="1"/>
    <col min="9934" max="9934" width="13.5703125" style="1235" customWidth="1"/>
    <col min="9935" max="9935" width="12" style="1235" customWidth="1"/>
    <col min="9936" max="9936" width="12.140625" style="1235" customWidth="1"/>
    <col min="9937" max="9937" width="11.42578125" style="1235" customWidth="1"/>
    <col min="9938" max="9938" width="0" style="1235" hidden="1" customWidth="1"/>
    <col min="9939" max="9939" width="13.42578125" style="1235" customWidth="1"/>
    <col min="9940" max="9940" width="24" style="1235" customWidth="1"/>
    <col min="9941" max="9941" width="12.28515625" style="1235" customWidth="1"/>
    <col min="9942" max="9942" width="12.7109375" style="1235" bestFit="1" customWidth="1"/>
    <col min="9943" max="9943" width="12.7109375" style="1235" customWidth="1"/>
    <col min="9944" max="9944" width="12.140625" style="1235" customWidth="1"/>
    <col min="9945" max="9945" width="12.42578125" style="1235" customWidth="1"/>
    <col min="9946" max="9946" width="12.7109375" style="1235" customWidth="1"/>
    <col min="9947" max="10183" width="9.140625" style="1235"/>
    <col min="10184" max="10184" width="4.140625" style="1235" customWidth="1"/>
    <col min="10185" max="10185" width="58.5703125" style="1235" customWidth="1"/>
    <col min="10186" max="10186" width="0" style="1235" hidden="1" customWidth="1"/>
    <col min="10187" max="10187" width="15" style="1235" customWidth="1"/>
    <col min="10188" max="10188" width="13.28515625" style="1235" customWidth="1"/>
    <col min="10189" max="10189" width="12.5703125" style="1235" customWidth="1"/>
    <col min="10190" max="10190" width="13.5703125" style="1235" customWidth="1"/>
    <col min="10191" max="10191" width="12" style="1235" customWidth="1"/>
    <col min="10192" max="10192" width="12.140625" style="1235" customWidth="1"/>
    <col min="10193" max="10193" width="11.42578125" style="1235" customWidth="1"/>
    <col min="10194" max="10194" width="0" style="1235" hidden="1" customWidth="1"/>
    <col min="10195" max="10195" width="13.42578125" style="1235" customWidth="1"/>
    <col min="10196" max="10196" width="24" style="1235" customWidth="1"/>
    <col min="10197" max="10197" width="12.28515625" style="1235" customWidth="1"/>
    <col min="10198" max="10198" width="12.7109375" style="1235" bestFit="1" customWidth="1"/>
    <col min="10199" max="10199" width="12.7109375" style="1235" customWidth="1"/>
    <col min="10200" max="10200" width="12.140625" style="1235" customWidth="1"/>
    <col min="10201" max="10201" width="12.42578125" style="1235" customWidth="1"/>
    <col min="10202" max="10202" width="12.7109375" style="1235" customWidth="1"/>
    <col min="10203" max="10439" width="9.140625" style="1235"/>
    <col min="10440" max="10440" width="4.140625" style="1235" customWidth="1"/>
    <col min="10441" max="10441" width="58.5703125" style="1235" customWidth="1"/>
    <col min="10442" max="10442" width="0" style="1235" hidden="1" customWidth="1"/>
    <col min="10443" max="10443" width="15" style="1235" customWidth="1"/>
    <col min="10444" max="10444" width="13.28515625" style="1235" customWidth="1"/>
    <col min="10445" max="10445" width="12.5703125" style="1235" customWidth="1"/>
    <col min="10446" max="10446" width="13.5703125" style="1235" customWidth="1"/>
    <col min="10447" max="10447" width="12" style="1235" customWidth="1"/>
    <col min="10448" max="10448" width="12.140625" style="1235" customWidth="1"/>
    <col min="10449" max="10449" width="11.42578125" style="1235" customWidth="1"/>
    <col min="10450" max="10450" width="0" style="1235" hidden="1" customWidth="1"/>
    <col min="10451" max="10451" width="13.42578125" style="1235" customWidth="1"/>
    <col min="10452" max="10452" width="24" style="1235" customWidth="1"/>
    <col min="10453" max="10453" width="12.28515625" style="1235" customWidth="1"/>
    <col min="10454" max="10454" width="12.7109375" style="1235" bestFit="1" customWidth="1"/>
    <col min="10455" max="10455" width="12.7109375" style="1235" customWidth="1"/>
    <col min="10456" max="10456" width="12.140625" style="1235" customWidth="1"/>
    <col min="10457" max="10457" width="12.42578125" style="1235" customWidth="1"/>
    <col min="10458" max="10458" width="12.7109375" style="1235" customWidth="1"/>
    <col min="10459" max="10695" width="9.140625" style="1235"/>
    <col min="10696" max="10696" width="4.140625" style="1235" customWidth="1"/>
    <col min="10697" max="10697" width="58.5703125" style="1235" customWidth="1"/>
    <col min="10698" max="10698" width="0" style="1235" hidden="1" customWidth="1"/>
    <col min="10699" max="10699" width="15" style="1235" customWidth="1"/>
    <col min="10700" max="10700" width="13.28515625" style="1235" customWidth="1"/>
    <col min="10701" max="10701" width="12.5703125" style="1235" customWidth="1"/>
    <col min="10702" max="10702" width="13.5703125" style="1235" customWidth="1"/>
    <col min="10703" max="10703" width="12" style="1235" customWidth="1"/>
    <col min="10704" max="10704" width="12.140625" style="1235" customWidth="1"/>
    <col min="10705" max="10705" width="11.42578125" style="1235" customWidth="1"/>
    <col min="10706" max="10706" width="0" style="1235" hidden="1" customWidth="1"/>
    <col min="10707" max="10707" width="13.42578125" style="1235" customWidth="1"/>
    <col min="10708" max="10708" width="24" style="1235" customWidth="1"/>
    <col min="10709" max="10709" width="12.28515625" style="1235" customWidth="1"/>
    <col min="10710" max="10710" width="12.7109375" style="1235" bestFit="1" customWidth="1"/>
    <col min="10711" max="10711" width="12.7109375" style="1235" customWidth="1"/>
    <col min="10712" max="10712" width="12.140625" style="1235" customWidth="1"/>
    <col min="10713" max="10713" width="12.42578125" style="1235" customWidth="1"/>
    <col min="10714" max="10714" width="12.7109375" style="1235" customWidth="1"/>
    <col min="10715" max="10951" width="9.140625" style="1235"/>
    <col min="10952" max="10952" width="4.140625" style="1235" customWidth="1"/>
    <col min="10953" max="10953" width="58.5703125" style="1235" customWidth="1"/>
    <col min="10954" max="10954" width="0" style="1235" hidden="1" customWidth="1"/>
    <col min="10955" max="10955" width="15" style="1235" customWidth="1"/>
    <col min="10956" max="10956" width="13.28515625" style="1235" customWidth="1"/>
    <col min="10957" max="10957" width="12.5703125" style="1235" customWidth="1"/>
    <col min="10958" max="10958" width="13.5703125" style="1235" customWidth="1"/>
    <col min="10959" max="10959" width="12" style="1235" customWidth="1"/>
    <col min="10960" max="10960" width="12.140625" style="1235" customWidth="1"/>
    <col min="10961" max="10961" width="11.42578125" style="1235" customWidth="1"/>
    <col min="10962" max="10962" width="0" style="1235" hidden="1" customWidth="1"/>
    <col min="10963" max="10963" width="13.42578125" style="1235" customWidth="1"/>
    <col min="10964" max="10964" width="24" style="1235" customWidth="1"/>
    <col min="10965" max="10965" width="12.28515625" style="1235" customWidth="1"/>
    <col min="10966" max="10966" width="12.7109375" style="1235" bestFit="1" customWidth="1"/>
    <col min="10967" max="10967" width="12.7109375" style="1235" customWidth="1"/>
    <col min="10968" max="10968" width="12.140625" style="1235" customWidth="1"/>
    <col min="10969" max="10969" width="12.42578125" style="1235" customWidth="1"/>
    <col min="10970" max="10970" width="12.7109375" style="1235" customWidth="1"/>
    <col min="10971" max="11207" width="9.140625" style="1235"/>
    <col min="11208" max="11208" width="4.140625" style="1235" customWidth="1"/>
    <col min="11209" max="11209" width="58.5703125" style="1235" customWidth="1"/>
    <col min="11210" max="11210" width="0" style="1235" hidden="1" customWidth="1"/>
    <col min="11211" max="11211" width="15" style="1235" customWidth="1"/>
    <col min="11212" max="11212" width="13.28515625" style="1235" customWidth="1"/>
    <col min="11213" max="11213" width="12.5703125" style="1235" customWidth="1"/>
    <col min="11214" max="11214" width="13.5703125" style="1235" customWidth="1"/>
    <col min="11215" max="11215" width="12" style="1235" customWidth="1"/>
    <col min="11216" max="11216" width="12.140625" style="1235" customWidth="1"/>
    <col min="11217" max="11217" width="11.42578125" style="1235" customWidth="1"/>
    <col min="11218" max="11218" width="0" style="1235" hidden="1" customWidth="1"/>
    <col min="11219" max="11219" width="13.42578125" style="1235" customWidth="1"/>
    <col min="11220" max="11220" width="24" style="1235" customWidth="1"/>
    <col min="11221" max="11221" width="12.28515625" style="1235" customWidth="1"/>
    <col min="11222" max="11222" width="12.7109375" style="1235" bestFit="1" customWidth="1"/>
    <col min="11223" max="11223" width="12.7109375" style="1235" customWidth="1"/>
    <col min="11224" max="11224" width="12.140625" style="1235" customWidth="1"/>
    <col min="11225" max="11225" width="12.42578125" style="1235" customWidth="1"/>
    <col min="11226" max="11226" width="12.7109375" style="1235" customWidth="1"/>
    <col min="11227" max="11463" width="9.140625" style="1235"/>
    <col min="11464" max="11464" width="4.140625" style="1235" customWidth="1"/>
    <col min="11465" max="11465" width="58.5703125" style="1235" customWidth="1"/>
    <col min="11466" max="11466" width="0" style="1235" hidden="1" customWidth="1"/>
    <col min="11467" max="11467" width="15" style="1235" customWidth="1"/>
    <col min="11468" max="11468" width="13.28515625" style="1235" customWidth="1"/>
    <col min="11469" max="11469" width="12.5703125" style="1235" customWidth="1"/>
    <col min="11470" max="11470" width="13.5703125" style="1235" customWidth="1"/>
    <col min="11471" max="11471" width="12" style="1235" customWidth="1"/>
    <col min="11472" max="11472" width="12.140625" style="1235" customWidth="1"/>
    <col min="11473" max="11473" width="11.42578125" style="1235" customWidth="1"/>
    <col min="11474" max="11474" width="0" style="1235" hidden="1" customWidth="1"/>
    <col min="11475" max="11475" width="13.42578125" style="1235" customWidth="1"/>
    <col min="11476" max="11476" width="24" style="1235" customWidth="1"/>
    <col min="11477" max="11477" width="12.28515625" style="1235" customWidth="1"/>
    <col min="11478" max="11478" width="12.7109375" style="1235" bestFit="1" customWidth="1"/>
    <col min="11479" max="11479" width="12.7109375" style="1235" customWidth="1"/>
    <col min="11480" max="11480" width="12.140625" style="1235" customWidth="1"/>
    <col min="11481" max="11481" width="12.42578125" style="1235" customWidth="1"/>
    <col min="11482" max="11482" width="12.7109375" style="1235" customWidth="1"/>
    <col min="11483" max="11719" width="9.140625" style="1235"/>
    <col min="11720" max="11720" width="4.140625" style="1235" customWidth="1"/>
    <col min="11721" max="11721" width="58.5703125" style="1235" customWidth="1"/>
    <col min="11722" max="11722" width="0" style="1235" hidden="1" customWidth="1"/>
    <col min="11723" max="11723" width="15" style="1235" customWidth="1"/>
    <col min="11724" max="11724" width="13.28515625" style="1235" customWidth="1"/>
    <col min="11725" max="11725" width="12.5703125" style="1235" customWidth="1"/>
    <col min="11726" max="11726" width="13.5703125" style="1235" customWidth="1"/>
    <col min="11727" max="11727" width="12" style="1235" customWidth="1"/>
    <col min="11728" max="11728" width="12.140625" style="1235" customWidth="1"/>
    <col min="11729" max="11729" width="11.42578125" style="1235" customWidth="1"/>
    <col min="11730" max="11730" width="0" style="1235" hidden="1" customWidth="1"/>
    <col min="11731" max="11731" width="13.42578125" style="1235" customWidth="1"/>
    <col min="11732" max="11732" width="24" style="1235" customWidth="1"/>
    <col min="11733" max="11733" width="12.28515625" style="1235" customWidth="1"/>
    <col min="11734" max="11734" width="12.7109375" style="1235" bestFit="1" customWidth="1"/>
    <col min="11735" max="11735" width="12.7109375" style="1235" customWidth="1"/>
    <col min="11736" max="11736" width="12.140625" style="1235" customWidth="1"/>
    <col min="11737" max="11737" width="12.42578125" style="1235" customWidth="1"/>
    <col min="11738" max="11738" width="12.7109375" style="1235" customWidth="1"/>
    <col min="11739" max="11975" width="9.140625" style="1235"/>
    <col min="11976" max="11976" width="4.140625" style="1235" customWidth="1"/>
    <col min="11977" max="11977" width="58.5703125" style="1235" customWidth="1"/>
    <col min="11978" max="11978" width="0" style="1235" hidden="1" customWidth="1"/>
    <col min="11979" max="11979" width="15" style="1235" customWidth="1"/>
    <col min="11980" max="11980" width="13.28515625" style="1235" customWidth="1"/>
    <col min="11981" max="11981" width="12.5703125" style="1235" customWidth="1"/>
    <col min="11982" max="11982" width="13.5703125" style="1235" customWidth="1"/>
    <col min="11983" max="11983" width="12" style="1235" customWidth="1"/>
    <col min="11984" max="11984" width="12.140625" style="1235" customWidth="1"/>
    <col min="11985" max="11985" width="11.42578125" style="1235" customWidth="1"/>
    <col min="11986" max="11986" width="0" style="1235" hidden="1" customWidth="1"/>
    <col min="11987" max="11987" width="13.42578125" style="1235" customWidth="1"/>
    <col min="11988" max="11988" width="24" style="1235" customWidth="1"/>
    <col min="11989" max="11989" width="12.28515625" style="1235" customWidth="1"/>
    <col min="11990" max="11990" width="12.7109375" style="1235" bestFit="1" customWidth="1"/>
    <col min="11991" max="11991" width="12.7109375" style="1235" customWidth="1"/>
    <col min="11992" max="11992" width="12.140625" style="1235" customWidth="1"/>
    <col min="11993" max="11993" width="12.42578125" style="1235" customWidth="1"/>
    <col min="11994" max="11994" width="12.7109375" style="1235" customWidth="1"/>
    <col min="11995" max="12231" width="9.140625" style="1235"/>
    <col min="12232" max="12232" width="4.140625" style="1235" customWidth="1"/>
    <col min="12233" max="12233" width="58.5703125" style="1235" customWidth="1"/>
    <col min="12234" max="12234" width="0" style="1235" hidden="1" customWidth="1"/>
    <col min="12235" max="12235" width="15" style="1235" customWidth="1"/>
    <col min="12236" max="12236" width="13.28515625" style="1235" customWidth="1"/>
    <col min="12237" max="12237" width="12.5703125" style="1235" customWidth="1"/>
    <col min="12238" max="12238" width="13.5703125" style="1235" customWidth="1"/>
    <col min="12239" max="12239" width="12" style="1235" customWidth="1"/>
    <col min="12240" max="12240" width="12.140625" style="1235" customWidth="1"/>
    <col min="12241" max="12241" width="11.42578125" style="1235" customWidth="1"/>
    <col min="12242" max="12242" width="0" style="1235" hidden="1" customWidth="1"/>
    <col min="12243" max="12243" width="13.42578125" style="1235" customWidth="1"/>
    <col min="12244" max="12244" width="24" style="1235" customWidth="1"/>
    <col min="12245" max="12245" width="12.28515625" style="1235" customWidth="1"/>
    <col min="12246" max="12246" width="12.7109375" style="1235" bestFit="1" customWidth="1"/>
    <col min="12247" max="12247" width="12.7109375" style="1235" customWidth="1"/>
    <col min="12248" max="12248" width="12.140625" style="1235" customWidth="1"/>
    <col min="12249" max="12249" width="12.42578125" style="1235" customWidth="1"/>
    <col min="12250" max="12250" width="12.7109375" style="1235" customWidth="1"/>
    <col min="12251" max="12487" width="9.140625" style="1235"/>
    <col min="12488" max="12488" width="4.140625" style="1235" customWidth="1"/>
    <col min="12489" max="12489" width="58.5703125" style="1235" customWidth="1"/>
    <col min="12490" max="12490" width="0" style="1235" hidden="1" customWidth="1"/>
    <col min="12491" max="12491" width="15" style="1235" customWidth="1"/>
    <col min="12492" max="12492" width="13.28515625" style="1235" customWidth="1"/>
    <col min="12493" max="12493" width="12.5703125" style="1235" customWidth="1"/>
    <col min="12494" max="12494" width="13.5703125" style="1235" customWidth="1"/>
    <col min="12495" max="12495" width="12" style="1235" customWidth="1"/>
    <col min="12496" max="12496" width="12.140625" style="1235" customWidth="1"/>
    <col min="12497" max="12497" width="11.42578125" style="1235" customWidth="1"/>
    <col min="12498" max="12498" width="0" style="1235" hidden="1" customWidth="1"/>
    <col min="12499" max="12499" width="13.42578125" style="1235" customWidth="1"/>
    <col min="12500" max="12500" width="24" style="1235" customWidth="1"/>
    <col min="12501" max="12501" width="12.28515625" style="1235" customWidth="1"/>
    <col min="12502" max="12502" width="12.7109375" style="1235" bestFit="1" customWidth="1"/>
    <col min="12503" max="12503" width="12.7109375" style="1235" customWidth="1"/>
    <col min="12504" max="12504" width="12.140625" style="1235" customWidth="1"/>
    <col min="12505" max="12505" width="12.42578125" style="1235" customWidth="1"/>
    <col min="12506" max="12506" width="12.7109375" style="1235" customWidth="1"/>
    <col min="12507" max="12743" width="9.140625" style="1235"/>
    <col min="12744" max="12744" width="4.140625" style="1235" customWidth="1"/>
    <col min="12745" max="12745" width="58.5703125" style="1235" customWidth="1"/>
    <col min="12746" max="12746" width="0" style="1235" hidden="1" customWidth="1"/>
    <col min="12747" max="12747" width="15" style="1235" customWidth="1"/>
    <col min="12748" max="12748" width="13.28515625" style="1235" customWidth="1"/>
    <col min="12749" max="12749" width="12.5703125" style="1235" customWidth="1"/>
    <col min="12750" max="12750" width="13.5703125" style="1235" customWidth="1"/>
    <col min="12751" max="12751" width="12" style="1235" customWidth="1"/>
    <col min="12752" max="12752" width="12.140625" style="1235" customWidth="1"/>
    <col min="12753" max="12753" width="11.42578125" style="1235" customWidth="1"/>
    <col min="12754" max="12754" width="0" style="1235" hidden="1" customWidth="1"/>
    <col min="12755" max="12755" width="13.42578125" style="1235" customWidth="1"/>
    <col min="12756" max="12756" width="24" style="1235" customWidth="1"/>
    <col min="12757" max="12757" width="12.28515625" style="1235" customWidth="1"/>
    <col min="12758" max="12758" width="12.7109375" style="1235" bestFit="1" customWidth="1"/>
    <col min="12759" max="12759" width="12.7109375" style="1235" customWidth="1"/>
    <col min="12760" max="12760" width="12.140625" style="1235" customWidth="1"/>
    <col min="12761" max="12761" width="12.42578125" style="1235" customWidth="1"/>
    <col min="12762" max="12762" width="12.7109375" style="1235" customWidth="1"/>
    <col min="12763" max="12999" width="9.140625" style="1235"/>
    <col min="13000" max="13000" width="4.140625" style="1235" customWidth="1"/>
    <col min="13001" max="13001" width="58.5703125" style="1235" customWidth="1"/>
    <col min="13002" max="13002" width="0" style="1235" hidden="1" customWidth="1"/>
    <col min="13003" max="13003" width="15" style="1235" customWidth="1"/>
    <col min="13004" max="13004" width="13.28515625" style="1235" customWidth="1"/>
    <col min="13005" max="13005" width="12.5703125" style="1235" customWidth="1"/>
    <col min="13006" max="13006" width="13.5703125" style="1235" customWidth="1"/>
    <col min="13007" max="13007" width="12" style="1235" customWidth="1"/>
    <col min="13008" max="13008" width="12.140625" style="1235" customWidth="1"/>
    <col min="13009" max="13009" width="11.42578125" style="1235" customWidth="1"/>
    <col min="13010" max="13010" width="0" style="1235" hidden="1" customWidth="1"/>
    <col min="13011" max="13011" width="13.42578125" style="1235" customWidth="1"/>
    <col min="13012" max="13012" width="24" style="1235" customWidth="1"/>
    <col min="13013" max="13013" width="12.28515625" style="1235" customWidth="1"/>
    <col min="13014" max="13014" width="12.7109375" style="1235" bestFit="1" customWidth="1"/>
    <col min="13015" max="13015" width="12.7109375" style="1235" customWidth="1"/>
    <col min="13016" max="13016" width="12.140625" style="1235" customWidth="1"/>
    <col min="13017" max="13017" width="12.42578125" style="1235" customWidth="1"/>
    <col min="13018" max="13018" width="12.7109375" style="1235" customWidth="1"/>
    <col min="13019" max="13255" width="9.140625" style="1235"/>
    <col min="13256" max="13256" width="4.140625" style="1235" customWidth="1"/>
    <col min="13257" max="13257" width="58.5703125" style="1235" customWidth="1"/>
    <col min="13258" max="13258" width="0" style="1235" hidden="1" customWidth="1"/>
    <col min="13259" max="13259" width="15" style="1235" customWidth="1"/>
    <col min="13260" max="13260" width="13.28515625" style="1235" customWidth="1"/>
    <col min="13261" max="13261" width="12.5703125" style="1235" customWidth="1"/>
    <col min="13262" max="13262" width="13.5703125" style="1235" customWidth="1"/>
    <col min="13263" max="13263" width="12" style="1235" customWidth="1"/>
    <col min="13264" max="13264" width="12.140625" style="1235" customWidth="1"/>
    <col min="13265" max="13265" width="11.42578125" style="1235" customWidth="1"/>
    <col min="13266" max="13266" width="0" style="1235" hidden="1" customWidth="1"/>
    <col min="13267" max="13267" width="13.42578125" style="1235" customWidth="1"/>
    <col min="13268" max="13268" width="24" style="1235" customWidth="1"/>
    <col min="13269" max="13269" width="12.28515625" style="1235" customWidth="1"/>
    <col min="13270" max="13270" width="12.7109375" style="1235" bestFit="1" customWidth="1"/>
    <col min="13271" max="13271" width="12.7109375" style="1235" customWidth="1"/>
    <col min="13272" max="13272" width="12.140625" style="1235" customWidth="1"/>
    <col min="13273" max="13273" width="12.42578125" style="1235" customWidth="1"/>
    <col min="13274" max="13274" width="12.7109375" style="1235" customWidth="1"/>
    <col min="13275" max="13511" width="9.140625" style="1235"/>
    <col min="13512" max="13512" width="4.140625" style="1235" customWidth="1"/>
    <col min="13513" max="13513" width="58.5703125" style="1235" customWidth="1"/>
    <col min="13514" max="13514" width="0" style="1235" hidden="1" customWidth="1"/>
    <col min="13515" max="13515" width="15" style="1235" customWidth="1"/>
    <col min="13516" max="13516" width="13.28515625" style="1235" customWidth="1"/>
    <col min="13517" max="13517" width="12.5703125" style="1235" customWidth="1"/>
    <col min="13518" max="13518" width="13.5703125" style="1235" customWidth="1"/>
    <col min="13519" max="13519" width="12" style="1235" customWidth="1"/>
    <col min="13520" max="13520" width="12.140625" style="1235" customWidth="1"/>
    <col min="13521" max="13521" width="11.42578125" style="1235" customWidth="1"/>
    <col min="13522" max="13522" width="0" style="1235" hidden="1" customWidth="1"/>
    <col min="13523" max="13523" width="13.42578125" style="1235" customWidth="1"/>
    <col min="13524" max="13524" width="24" style="1235" customWidth="1"/>
    <col min="13525" max="13525" width="12.28515625" style="1235" customWidth="1"/>
    <col min="13526" max="13526" width="12.7109375" style="1235" bestFit="1" customWidth="1"/>
    <col min="13527" max="13527" width="12.7109375" style="1235" customWidth="1"/>
    <col min="13528" max="13528" width="12.140625" style="1235" customWidth="1"/>
    <col min="13529" max="13529" width="12.42578125" style="1235" customWidth="1"/>
    <col min="13530" max="13530" width="12.7109375" style="1235" customWidth="1"/>
    <col min="13531" max="13767" width="9.140625" style="1235"/>
    <col min="13768" max="13768" width="4.140625" style="1235" customWidth="1"/>
    <col min="13769" max="13769" width="58.5703125" style="1235" customWidth="1"/>
    <col min="13770" max="13770" width="0" style="1235" hidden="1" customWidth="1"/>
    <col min="13771" max="13771" width="15" style="1235" customWidth="1"/>
    <col min="13772" max="13772" width="13.28515625" style="1235" customWidth="1"/>
    <col min="13773" max="13773" width="12.5703125" style="1235" customWidth="1"/>
    <col min="13774" max="13774" width="13.5703125" style="1235" customWidth="1"/>
    <col min="13775" max="13775" width="12" style="1235" customWidth="1"/>
    <col min="13776" max="13776" width="12.140625" style="1235" customWidth="1"/>
    <col min="13777" max="13777" width="11.42578125" style="1235" customWidth="1"/>
    <col min="13778" max="13778" width="0" style="1235" hidden="1" customWidth="1"/>
    <col min="13779" max="13779" width="13.42578125" style="1235" customWidth="1"/>
    <col min="13780" max="13780" width="24" style="1235" customWidth="1"/>
    <col min="13781" max="13781" width="12.28515625" style="1235" customWidth="1"/>
    <col min="13782" max="13782" width="12.7109375" style="1235" bestFit="1" customWidth="1"/>
    <col min="13783" max="13783" width="12.7109375" style="1235" customWidth="1"/>
    <col min="13784" max="13784" width="12.140625" style="1235" customWidth="1"/>
    <col min="13785" max="13785" width="12.42578125" style="1235" customWidth="1"/>
    <col min="13786" max="13786" width="12.7109375" style="1235" customWidth="1"/>
    <col min="13787" max="14023" width="9.140625" style="1235"/>
    <col min="14024" max="14024" width="4.140625" style="1235" customWidth="1"/>
    <col min="14025" max="14025" width="58.5703125" style="1235" customWidth="1"/>
    <col min="14026" max="14026" width="0" style="1235" hidden="1" customWidth="1"/>
    <col min="14027" max="14027" width="15" style="1235" customWidth="1"/>
    <col min="14028" max="14028" width="13.28515625" style="1235" customWidth="1"/>
    <col min="14029" max="14029" width="12.5703125" style="1235" customWidth="1"/>
    <col min="14030" max="14030" width="13.5703125" style="1235" customWidth="1"/>
    <col min="14031" max="14031" width="12" style="1235" customWidth="1"/>
    <col min="14032" max="14032" width="12.140625" style="1235" customWidth="1"/>
    <col min="14033" max="14033" width="11.42578125" style="1235" customWidth="1"/>
    <col min="14034" max="14034" width="0" style="1235" hidden="1" customWidth="1"/>
    <col min="14035" max="14035" width="13.42578125" style="1235" customWidth="1"/>
    <col min="14036" max="14036" width="24" style="1235" customWidth="1"/>
    <col min="14037" max="14037" width="12.28515625" style="1235" customWidth="1"/>
    <col min="14038" max="14038" width="12.7109375" style="1235" bestFit="1" customWidth="1"/>
    <col min="14039" max="14039" width="12.7109375" style="1235" customWidth="1"/>
    <col min="14040" max="14040" width="12.140625" style="1235" customWidth="1"/>
    <col min="14041" max="14041" width="12.42578125" style="1235" customWidth="1"/>
    <col min="14042" max="14042" width="12.7109375" style="1235" customWidth="1"/>
    <col min="14043" max="14279" width="9.140625" style="1235"/>
    <col min="14280" max="14280" width="4.140625" style="1235" customWidth="1"/>
    <col min="14281" max="14281" width="58.5703125" style="1235" customWidth="1"/>
    <col min="14282" max="14282" width="0" style="1235" hidden="1" customWidth="1"/>
    <col min="14283" max="14283" width="15" style="1235" customWidth="1"/>
    <col min="14284" max="14284" width="13.28515625" style="1235" customWidth="1"/>
    <col min="14285" max="14285" width="12.5703125" style="1235" customWidth="1"/>
    <col min="14286" max="14286" width="13.5703125" style="1235" customWidth="1"/>
    <col min="14287" max="14287" width="12" style="1235" customWidth="1"/>
    <col min="14288" max="14288" width="12.140625" style="1235" customWidth="1"/>
    <col min="14289" max="14289" width="11.42578125" style="1235" customWidth="1"/>
    <col min="14290" max="14290" width="0" style="1235" hidden="1" customWidth="1"/>
    <col min="14291" max="14291" width="13.42578125" style="1235" customWidth="1"/>
    <col min="14292" max="14292" width="24" style="1235" customWidth="1"/>
    <col min="14293" max="14293" width="12.28515625" style="1235" customWidth="1"/>
    <col min="14294" max="14294" width="12.7109375" style="1235" bestFit="1" customWidth="1"/>
    <col min="14295" max="14295" width="12.7109375" style="1235" customWidth="1"/>
    <col min="14296" max="14296" width="12.140625" style="1235" customWidth="1"/>
    <col min="14297" max="14297" width="12.42578125" style="1235" customWidth="1"/>
    <col min="14298" max="14298" width="12.7109375" style="1235" customWidth="1"/>
    <col min="14299" max="14535" width="9.140625" style="1235"/>
    <col min="14536" max="14536" width="4.140625" style="1235" customWidth="1"/>
    <col min="14537" max="14537" width="58.5703125" style="1235" customWidth="1"/>
    <col min="14538" max="14538" width="0" style="1235" hidden="1" customWidth="1"/>
    <col min="14539" max="14539" width="15" style="1235" customWidth="1"/>
    <col min="14540" max="14540" width="13.28515625" style="1235" customWidth="1"/>
    <col min="14541" max="14541" width="12.5703125" style="1235" customWidth="1"/>
    <col min="14542" max="14542" width="13.5703125" style="1235" customWidth="1"/>
    <col min="14543" max="14543" width="12" style="1235" customWidth="1"/>
    <col min="14544" max="14544" width="12.140625" style="1235" customWidth="1"/>
    <col min="14545" max="14545" width="11.42578125" style="1235" customWidth="1"/>
    <col min="14546" max="14546" width="0" style="1235" hidden="1" customWidth="1"/>
    <col min="14547" max="14547" width="13.42578125" style="1235" customWidth="1"/>
    <col min="14548" max="14548" width="24" style="1235" customWidth="1"/>
    <col min="14549" max="14549" width="12.28515625" style="1235" customWidth="1"/>
    <col min="14550" max="14550" width="12.7109375" style="1235" bestFit="1" customWidth="1"/>
    <col min="14551" max="14551" width="12.7109375" style="1235" customWidth="1"/>
    <col min="14552" max="14552" width="12.140625" style="1235" customWidth="1"/>
    <col min="14553" max="14553" width="12.42578125" style="1235" customWidth="1"/>
    <col min="14554" max="14554" width="12.7109375" style="1235" customWidth="1"/>
    <col min="14555" max="14791" width="9.140625" style="1235"/>
    <col min="14792" max="14792" width="4.140625" style="1235" customWidth="1"/>
    <col min="14793" max="14793" width="58.5703125" style="1235" customWidth="1"/>
    <col min="14794" max="14794" width="0" style="1235" hidden="1" customWidth="1"/>
    <col min="14795" max="14795" width="15" style="1235" customWidth="1"/>
    <col min="14796" max="14796" width="13.28515625" style="1235" customWidth="1"/>
    <col min="14797" max="14797" width="12.5703125" style="1235" customWidth="1"/>
    <col min="14798" max="14798" width="13.5703125" style="1235" customWidth="1"/>
    <col min="14799" max="14799" width="12" style="1235" customWidth="1"/>
    <col min="14800" max="14800" width="12.140625" style="1235" customWidth="1"/>
    <col min="14801" max="14801" width="11.42578125" style="1235" customWidth="1"/>
    <col min="14802" max="14802" width="0" style="1235" hidden="1" customWidth="1"/>
    <col min="14803" max="14803" width="13.42578125" style="1235" customWidth="1"/>
    <col min="14804" max="14804" width="24" style="1235" customWidth="1"/>
    <col min="14805" max="14805" width="12.28515625" style="1235" customWidth="1"/>
    <col min="14806" max="14806" width="12.7109375" style="1235" bestFit="1" customWidth="1"/>
    <col min="14807" max="14807" width="12.7109375" style="1235" customWidth="1"/>
    <col min="14808" max="14808" width="12.140625" style="1235" customWidth="1"/>
    <col min="14809" max="14809" width="12.42578125" style="1235" customWidth="1"/>
    <col min="14810" max="14810" width="12.7109375" style="1235" customWidth="1"/>
    <col min="14811" max="15047" width="9.140625" style="1235"/>
    <col min="15048" max="15048" width="4.140625" style="1235" customWidth="1"/>
    <col min="15049" max="15049" width="58.5703125" style="1235" customWidth="1"/>
    <col min="15050" max="15050" width="0" style="1235" hidden="1" customWidth="1"/>
    <col min="15051" max="15051" width="15" style="1235" customWidth="1"/>
    <col min="15052" max="15052" width="13.28515625" style="1235" customWidth="1"/>
    <col min="15053" max="15053" width="12.5703125" style="1235" customWidth="1"/>
    <col min="15054" max="15054" width="13.5703125" style="1235" customWidth="1"/>
    <col min="15055" max="15055" width="12" style="1235" customWidth="1"/>
    <col min="15056" max="15056" width="12.140625" style="1235" customWidth="1"/>
    <col min="15057" max="15057" width="11.42578125" style="1235" customWidth="1"/>
    <col min="15058" max="15058" width="0" style="1235" hidden="1" customWidth="1"/>
    <col min="15059" max="15059" width="13.42578125" style="1235" customWidth="1"/>
    <col min="15060" max="15060" width="24" style="1235" customWidth="1"/>
    <col min="15061" max="15061" width="12.28515625" style="1235" customWidth="1"/>
    <col min="15062" max="15062" width="12.7109375" style="1235" bestFit="1" customWidth="1"/>
    <col min="15063" max="15063" width="12.7109375" style="1235" customWidth="1"/>
    <col min="15064" max="15064" width="12.140625" style="1235" customWidth="1"/>
    <col min="15065" max="15065" width="12.42578125" style="1235" customWidth="1"/>
    <col min="15066" max="15066" width="12.7109375" style="1235" customWidth="1"/>
    <col min="15067" max="15303" width="9.140625" style="1235"/>
    <col min="15304" max="15304" width="4.140625" style="1235" customWidth="1"/>
    <col min="15305" max="15305" width="58.5703125" style="1235" customWidth="1"/>
    <col min="15306" max="15306" width="0" style="1235" hidden="1" customWidth="1"/>
    <col min="15307" max="15307" width="15" style="1235" customWidth="1"/>
    <col min="15308" max="15308" width="13.28515625" style="1235" customWidth="1"/>
    <col min="15309" max="15309" width="12.5703125" style="1235" customWidth="1"/>
    <col min="15310" max="15310" width="13.5703125" style="1235" customWidth="1"/>
    <col min="15311" max="15311" width="12" style="1235" customWidth="1"/>
    <col min="15312" max="15312" width="12.140625" style="1235" customWidth="1"/>
    <col min="15313" max="15313" width="11.42578125" style="1235" customWidth="1"/>
    <col min="15314" max="15314" width="0" style="1235" hidden="1" customWidth="1"/>
    <col min="15315" max="15315" width="13.42578125" style="1235" customWidth="1"/>
    <col min="15316" max="15316" width="24" style="1235" customWidth="1"/>
    <col min="15317" max="15317" width="12.28515625" style="1235" customWidth="1"/>
    <col min="15318" max="15318" width="12.7109375" style="1235" bestFit="1" customWidth="1"/>
    <col min="15319" max="15319" width="12.7109375" style="1235" customWidth="1"/>
    <col min="15320" max="15320" width="12.140625" style="1235" customWidth="1"/>
    <col min="15321" max="15321" width="12.42578125" style="1235" customWidth="1"/>
    <col min="15322" max="15322" width="12.7109375" style="1235" customWidth="1"/>
    <col min="15323" max="15559" width="9.140625" style="1235"/>
    <col min="15560" max="15560" width="4.140625" style="1235" customWidth="1"/>
    <col min="15561" max="15561" width="58.5703125" style="1235" customWidth="1"/>
    <col min="15562" max="15562" width="0" style="1235" hidden="1" customWidth="1"/>
    <col min="15563" max="15563" width="15" style="1235" customWidth="1"/>
    <col min="15564" max="15564" width="13.28515625" style="1235" customWidth="1"/>
    <col min="15565" max="15565" width="12.5703125" style="1235" customWidth="1"/>
    <col min="15566" max="15566" width="13.5703125" style="1235" customWidth="1"/>
    <col min="15567" max="15567" width="12" style="1235" customWidth="1"/>
    <col min="15568" max="15568" width="12.140625" style="1235" customWidth="1"/>
    <col min="15569" max="15569" width="11.42578125" style="1235" customWidth="1"/>
    <col min="15570" max="15570" width="0" style="1235" hidden="1" customWidth="1"/>
    <col min="15571" max="15571" width="13.42578125" style="1235" customWidth="1"/>
    <col min="15572" max="15572" width="24" style="1235" customWidth="1"/>
    <col min="15573" max="15573" width="12.28515625" style="1235" customWidth="1"/>
    <col min="15574" max="15574" width="12.7109375" style="1235" bestFit="1" customWidth="1"/>
    <col min="15575" max="15575" width="12.7109375" style="1235" customWidth="1"/>
    <col min="15576" max="15576" width="12.140625" style="1235" customWidth="1"/>
    <col min="15577" max="15577" width="12.42578125" style="1235" customWidth="1"/>
    <col min="15578" max="15578" width="12.7109375" style="1235" customWidth="1"/>
    <col min="15579" max="15815" width="9.140625" style="1235"/>
    <col min="15816" max="15816" width="4.140625" style="1235" customWidth="1"/>
    <col min="15817" max="15817" width="58.5703125" style="1235" customWidth="1"/>
    <col min="15818" max="15818" width="0" style="1235" hidden="1" customWidth="1"/>
    <col min="15819" max="15819" width="15" style="1235" customWidth="1"/>
    <col min="15820" max="15820" width="13.28515625" style="1235" customWidth="1"/>
    <col min="15821" max="15821" width="12.5703125" style="1235" customWidth="1"/>
    <col min="15822" max="15822" width="13.5703125" style="1235" customWidth="1"/>
    <col min="15823" max="15823" width="12" style="1235" customWidth="1"/>
    <col min="15824" max="15824" width="12.140625" style="1235" customWidth="1"/>
    <col min="15825" max="15825" width="11.42578125" style="1235" customWidth="1"/>
    <col min="15826" max="15826" width="0" style="1235" hidden="1" customWidth="1"/>
    <col min="15827" max="15827" width="13.42578125" style="1235" customWidth="1"/>
    <col min="15828" max="15828" width="24" style="1235" customWidth="1"/>
    <col min="15829" max="15829" width="12.28515625" style="1235" customWidth="1"/>
    <col min="15830" max="15830" width="12.7109375" style="1235" bestFit="1" customWidth="1"/>
    <col min="15831" max="15831" width="12.7109375" style="1235" customWidth="1"/>
    <col min="15832" max="15832" width="12.140625" style="1235" customWidth="1"/>
    <col min="15833" max="15833" width="12.42578125" style="1235" customWidth="1"/>
    <col min="15834" max="15834" width="12.7109375" style="1235" customWidth="1"/>
    <col min="15835" max="16071" width="9.140625" style="1235"/>
    <col min="16072" max="16072" width="4.140625" style="1235" customWidth="1"/>
    <col min="16073" max="16073" width="58.5703125" style="1235" customWidth="1"/>
    <col min="16074" max="16074" width="0" style="1235" hidden="1" customWidth="1"/>
    <col min="16075" max="16075" width="15" style="1235" customWidth="1"/>
    <col min="16076" max="16076" width="13.28515625" style="1235" customWidth="1"/>
    <col min="16077" max="16077" width="12.5703125" style="1235" customWidth="1"/>
    <col min="16078" max="16078" width="13.5703125" style="1235" customWidth="1"/>
    <col min="16079" max="16079" width="12" style="1235" customWidth="1"/>
    <col min="16080" max="16080" width="12.140625" style="1235" customWidth="1"/>
    <col min="16081" max="16081" width="11.42578125" style="1235" customWidth="1"/>
    <col min="16082" max="16082" width="0" style="1235" hidden="1" customWidth="1"/>
    <col min="16083" max="16083" width="13.42578125" style="1235" customWidth="1"/>
    <col min="16084" max="16084" width="24" style="1235" customWidth="1"/>
    <col min="16085" max="16085" width="12.28515625" style="1235" customWidth="1"/>
    <col min="16086" max="16086" width="12.7109375" style="1235" bestFit="1" customWidth="1"/>
    <col min="16087" max="16087" width="12.7109375" style="1235" customWidth="1"/>
    <col min="16088" max="16088" width="12.140625" style="1235" customWidth="1"/>
    <col min="16089" max="16089" width="12.42578125" style="1235" customWidth="1"/>
    <col min="16090" max="16090" width="12.7109375" style="1235" customWidth="1"/>
    <col min="16091" max="16323" width="9.140625" style="1235"/>
    <col min="16324" max="16343" width="9.140625" style="1235" customWidth="1"/>
    <col min="16344" max="16357" width="9.140625" style="1235"/>
    <col min="16358" max="16384" width="10.28515625" style="1235" customWidth="1"/>
  </cols>
  <sheetData>
    <row r="1" spans="1:12">
      <c r="A1" s="1233" t="s">
        <v>2551</v>
      </c>
      <c r="B1" s="1234"/>
      <c r="C1" s="1234"/>
      <c r="D1" s="1234"/>
      <c r="E1" s="1234"/>
    </row>
    <row r="2" spans="1:12" s="1226" customFormat="1">
      <c r="A2" s="1243" t="s">
        <v>2609</v>
      </c>
      <c r="B2" s="1236"/>
      <c r="C2" s="1237"/>
      <c r="D2" s="1238"/>
      <c r="E2" s="1237"/>
    </row>
    <row r="3" spans="1:12" s="1243" customFormat="1">
      <c r="A3" s="1239"/>
      <c r="B3" s="1240"/>
      <c r="C3" s="1239"/>
      <c r="D3" s="1241"/>
      <c r="E3" s="1242" t="s">
        <v>2008</v>
      </c>
    </row>
    <row r="4" spans="1:12" ht="27" customHeight="1">
      <c r="A4" s="1611" t="s">
        <v>22</v>
      </c>
      <c r="B4" s="1612" t="s">
        <v>2009</v>
      </c>
      <c r="C4" s="1662" t="s">
        <v>2025</v>
      </c>
      <c r="D4" s="1662" t="s">
        <v>2550</v>
      </c>
      <c r="E4" s="1613" t="s">
        <v>2010</v>
      </c>
      <c r="I4" s="1235" t="s">
        <v>2547</v>
      </c>
    </row>
    <row r="5" spans="1:12" s="1234" customFormat="1" ht="27" customHeight="1">
      <c r="A5" s="1611" t="s">
        <v>2011</v>
      </c>
      <c r="B5" s="1614" t="s">
        <v>2012</v>
      </c>
      <c r="C5" s="1615">
        <f>SUBTOTAL(9,C7:C13)</f>
        <v>1699800</v>
      </c>
      <c r="D5" s="1615">
        <f>SUBTOTAL(109,D7:D13)</f>
        <v>1842786</v>
      </c>
      <c r="E5" s="1615">
        <f>SUBTOTAL(9,E7:E13)</f>
        <v>142986</v>
      </c>
      <c r="I5" s="1244" t="s">
        <v>2060</v>
      </c>
      <c r="J5" s="1244" t="s">
        <v>2061</v>
      </c>
      <c r="K5" s="1244" t="s">
        <v>2062</v>
      </c>
      <c r="L5" s="1245" t="s">
        <v>2021</v>
      </c>
    </row>
    <row r="6" spans="1:12" s="1234" customFormat="1" ht="27" customHeight="1">
      <c r="A6" s="1611"/>
      <c r="B6" s="1614" t="s">
        <v>2360</v>
      </c>
      <c r="C6" s="1615">
        <f>SUBTOTAL(109,C7:C13)</f>
        <v>1699800</v>
      </c>
      <c r="D6" s="1615">
        <f>SUBTOTAL(109,D7:D13)</f>
        <v>1842786</v>
      </c>
      <c r="E6" s="1615">
        <f>SUBTOTAL(109,E7:E13)</f>
        <v>142986</v>
      </c>
      <c r="I6" s="1244"/>
      <c r="J6" s="1244"/>
      <c r="K6" s="1244"/>
      <c r="L6" s="1245"/>
    </row>
    <row r="7" spans="1:12" ht="27" customHeight="1">
      <c r="A7" s="1616">
        <v>1</v>
      </c>
      <c r="B7" s="1617" t="s">
        <v>2013</v>
      </c>
      <c r="C7" s="1618">
        <f>SUBTOTAL(109,C8:C9)</f>
        <v>497261</v>
      </c>
      <c r="D7" s="1618">
        <f>SUBTOTAL(109,D8:D9)</f>
        <v>455400</v>
      </c>
      <c r="E7" s="1664">
        <f>SUBTOTAL(9,E8:E9)</f>
        <v>-41861</v>
      </c>
      <c r="H7" s="1489"/>
      <c r="I7" s="1589">
        <v>455400</v>
      </c>
      <c r="J7" s="1589">
        <v>43000</v>
      </c>
      <c r="K7" s="1589">
        <v>569640</v>
      </c>
      <c r="L7" s="1589"/>
    </row>
    <row r="8" spans="1:12" s="1247" customFormat="1" ht="27" customHeight="1">
      <c r="A8" s="1619" t="s">
        <v>169</v>
      </c>
      <c r="B8" s="1620" t="s">
        <v>2014</v>
      </c>
      <c r="C8" s="1621">
        <v>298357</v>
      </c>
      <c r="D8" s="1622">
        <v>273240</v>
      </c>
      <c r="E8" s="1622">
        <f t="shared" ref="E8:E18" si="0">D8-C8</f>
        <v>-25117</v>
      </c>
      <c r="G8" s="1590" t="s">
        <v>2548</v>
      </c>
      <c r="H8" s="1591">
        <f>SUM(I8:K8)</f>
        <v>907706</v>
      </c>
      <c r="I8" s="1246">
        <f>I7*0.6</f>
        <v>273240</v>
      </c>
      <c r="J8" s="1246">
        <v>43000</v>
      </c>
      <c r="K8" s="1246">
        <v>591466</v>
      </c>
      <c r="L8" s="1590"/>
    </row>
    <row r="9" spans="1:12" s="1247" customFormat="1" ht="27" customHeight="1">
      <c r="A9" s="1619" t="s">
        <v>169</v>
      </c>
      <c r="B9" s="1620" t="s">
        <v>2015</v>
      </c>
      <c r="C9" s="1621">
        <v>198904</v>
      </c>
      <c r="D9" s="1621">
        <v>182160</v>
      </c>
      <c r="E9" s="1622">
        <f t="shared" si="0"/>
        <v>-16744</v>
      </c>
      <c r="G9" s="1590" t="s">
        <v>2549</v>
      </c>
      <c r="H9" s="1590"/>
      <c r="I9" s="1591">
        <f>I7-I8</f>
        <v>182160</v>
      </c>
      <c r="J9" s="1590"/>
      <c r="K9" s="1590">
        <v>752920</v>
      </c>
      <c r="L9" s="1590"/>
    </row>
    <row r="10" spans="1:12" ht="27" customHeight="1">
      <c r="A10" s="1616">
        <v>2</v>
      </c>
      <c r="B10" s="1617" t="s">
        <v>2016</v>
      </c>
      <c r="C10" s="1618">
        <f>SUBTOTAL(109,C11:C12)</f>
        <v>1159539</v>
      </c>
      <c r="D10" s="1618">
        <f>SUBTOTAL(109,D11:D12)</f>
        <v>1344386</v>
      </c>
      <c r="E10" s="1618">
        <f>SUBTOTAL(9,E11:E12)</f>
        <v>184847</v>
      </c>
    </row>
    <row r="11" spans="1:12" s="1247" customFormat="1" ht="27" customHeight="1">
      <c r="A11" s="1619" t="s">
        <v>2017</v>
      </c>
      <c r="B11" s="1620" t="s">
        <v>2018</v>
      </c>
      <c r="C11" s="1621">
        <v>569640</v>
      </c>
      <c r="D11" s="1621">
        <f>K8</f>
        <v>591466</v>
      </c>
      <c r="E11" s="1621">
        <f t="shared" si="0"/>
        <v>21826</v>
      </c>
    </row>
    <row r="12" spans="1:12" s="1247" customFormat="1" ht="27" customHeight="1">
      <c r="A12" s="1619" t="s">
        <v>2017</v>
      </c>
      <c r="B12" s="1620" t="s">
        <v>2019</v>
      </c>
      <c r="C12" s="1621">
        <v>589899</v>
      </c>
      <c r="D12" s="1621">
        <f>K9</f>
        <v>752920</v>
      </c>
      <c r="E12" s="1621">
        <f t="shared" si="0"/>
        <v>163021</v>
      </c>
      <c r="I12" s="1247">
        <v>479439</v>
      </c>
    </row>
    <row r="13" spans="1:12" ht="27" customHeight="1">
      <c r="A13" s="1616">
        <v>3</v>
      </c>
      <c r="B13" s="1617" t="s">
        <v>2020</v>
      </c>
      <c r="C13" s="1623">
        <v>43000</v>
      </c>
      <c r="D13" s="1623">
        <v>43000</v>
      </c>
      <c r="E13" s="1623">
        <f t="shared" si="0"/>
        <v>0</v>
      </c>
    </row>
    <row r="14" spans="1:12" ht="27" customHeight="1">
      <c r="A14" s="1611" t="s">
        <v>2011</v>
      </c>
      <c r="B14" s="1614" t="s">
        <v>2022</v>
      </c>
      <c r="C14" s="1615">
        <f>C15+C19</f>
        <v>1699800</v>
      </c>
      <c r="D14" s="1615">
        <f>D15+D19</f>
        <v>1842786</v>
      </c>
      <c r="E14" s="1615">
        <f t="shared" si="0"/>
        <v>142986</v>
      </c>
    </row>
    <row r="15" spans="1:12" s="1234" customFormat="1" ht="27" customHeight="1">
      <c r="A15" s="1611" t="s">
        <v>33</v>
      </c>
      <c r="B15" s="1624" t="s">
        <v>2023</v>
      </c>
      <c r="C15" s="1615">
        <f>SUBTOTAL(9,C16:C18)</f>
        <v>910997</v>
      </c>
      <c r="D15" s="1615">
        <f>SUBTOTAL(9,D16:D18)</f>
        <v>907706</v>
      </c>
      <c r="E15" s="1663">
        <f t="shared" si="0"/>
        <v>-3291</v>
      </c>
      <c r="I15" s="1248">
        <f>SUBTOTAL(9,I16:I18)</f>
        <v>841357</v>
      </c>
    </row>
    <row r="16" spans="1:12" ht="27" customHeight="1">
      <c r="A16" s="1616">
        <v>1</v>
      </c>
      <c r="B16" s="1617" t="s">
        <v>2013</v>
      </c>
      <c r="C16" s="1618">
        <f>C8</f>
        <v>298357</v>
      </c>
      <c r="D16" s="1618">
        <f>D8</f>
        <v>273240</v>
      </c>
      <c r="E16" s="1664">
        <f t="shared" si="0"/>
        <v>-25117</v>
      </c>
      <c r="I16" s="1235">
        <v>298357</v>
      </c>
    </row>
    <row r="17" spans="1:9" ht="27" customHeight="1">
      <c r="A17" s="1616">
        <v>2</v>
      </c>
      <c r="B17" s="1617" t="s">
        <v>2016</v>
      </c>
      <c r="C17" s="1618">
        <f>C11</f>
        <v>569640</v>
      </c>
      <c r="D17" s="1618">
        <f>D11</f>
        <v>591466</v>
      </c>
      <c r="E17" s="1623">
        <f t="shared" si="0"/>
        <v>21826</v>
      </c>
      <c r="I17" s="1235">
        <v>500000</v>
      </c>
    </row>
    <row r="18" spans="1:9" ht="27" customHeight="1">
      <c r="A18" s="1616">
        <v>3</v>
      </c>
      <c r="B18" s="1617" t="s">
        <v>2020</v>
      </c>
      <c r="C18" s="1618">
        <f>C13</f>
        <v>43000</v>
      </c>
      <c r="D18" s="1618">
        <f>D13</f>
        <v>43000</v>
      </c>
      <c r="E18" s="1623">
        <f t="shared" si="0"/>
        <v>0</v>
      </c>
      <c r="I18" s="1235">
        <v>43000</v>
      </c>
    </row>
    <row r="19" spans="1:9" s="1234" customFormat="1" ht="27" customHeight="1">
      <c r="A19" s="1611" t="s">
        <v>49</v>
      </c>
      <c r="B19" s="1614" t="s">
        <v>2024</v>
      </c>
      <c r="C19" s="1615">
        <f>SUBTOTAL(9,C20:C21)</f>
        <v>788803</v>
      </c>
      <c r="D19" s="1615">
        <f>SUBTOTAL(9,D20:D21)</f>
        <v>935080</v>
      </c>
      <c r="E19" s="1615">
        <f>SUBTOTAL(9,E20:E21)</f>
        <v>146277</v>
      </c>
    </row>
    <row r="20" spans="1:9" ht="27" customHeight="1">
      <c r="A20" s="1616">
        <v>1</v>
      </c>
      <c r="B20" s="1617" t="s">
        <v>2013</v>
      </c>
      <c r="C20" s="1623">
        <f>C9</f>
        <v>198904</v>
      </c>
      <c r="D20" s="1623">
        <f>D9</f>
        <v>182160</v>
      </c>
      <c r="E20" s="1664">
        <f>D20-C20</f>
        <v>-16744</v>
      </c>
    </row>
    <row r="21" spans="1:9" ht="27" customHeight="1">
      <c r="A21" s="1616">
        <v>2</v>
      </c>
      <c r="B21" s="1617" t="s">
        <v>2016</v>
      </c>
      <c r="C21" s="1623">
        <f>C12</f>
        <v>589899</v>
      </c>
      <c r="D21" s="1623">
        <f>D12</f>
        <v>752920</v>
      </c>
      <c r="E21" s="1623">
        <f>D21-C21</f>
        <v>163021</v>
      </c>
    </row>
  </sheetData>
  <printOptions horizontalCentered="1"/>
  <pageMargins left="0.92" right="0.39370078740157483" top="0.6692913385826772" bottom="0.23622047244094491" header="0.19685039370078741" footer="0.11811023622047245"/>
  <pageSetup paperSize="9" scale="65" fitToHeight="0" orientation="portrait" useFirstPageNumber="1"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abSelected="1" zoomScale="70" zoomScaleNormal="70" workbookViewId="0">
      <pane xSplit="2" ySplit="7" topLeftCell="C23" activePane="bottomRight" state="frozen"/>
      <selection pane="topRight" activeCell="C1" sqref="C1"/>
      <selection pane="bottomLeft" activeCell="A8" sqref="A8"/>
      <selection pane="bottomRight" activeCell="M35" sqref="M35"/>
    </sheetView>
  </sheetViews>
  <sheetFormatPr defaultColWidth="10.28515625" defaultRowHeight="15.75"/>
  <cols>
    <col min="1" max="1" width="10" style="1278" customWidth="1"/>
    <col min="2" max="2" width="56" style="1279" customWidth="1"/>
    <col min="3" max="3" width="14.85546875" style="1251" customWidth="1"/>
    <col min="4" max="4" width="10" style="1280" customWidth="1"/>
    <col min="5" max="5" width="15.140625" style="1278" customWidth="1"/>
    <col min="6" max="6" width="33.42578125" style="1271" hidden="1" customWidth="1"/>
    <col min="7" max="16384" width="10.28515625" style="1271"/>
  </cols>
  <sheetData>
    <row r="1" spans="1:6" s="1257" customFormat="1">
      <c r="A1" s="1253" t="s">
        <v>2552</v>
      </c>
      <c r="B1" s="1253"/>
      <c r="C1" s="1254"/>
      <c r="D1" s="1255"/>
      <c r="E1" s="1256"/>
    </row>
    <row r="2" spans="1:6" s="1225" customFormat="1">
      <c r="A2" s="1243" t="s">
        <v>2609</v>
      </c>
      <c r="B2" s="1258"/>
      <c r="C2" s="1260"/>
      <c r="D2" s="1261"/>
      <c r="E2" s="1259"/>
    </row>
    <row r="3" spans="1:6" s="1225" customFormat="1">
      <c r="B3" s="1258"/>
      <c r="C3" s="1260"/>
      <c r="D3" s="1261"/>
      <c r="E3" s="1259"/>
    </row>
    <row r="4" spans="1:6" s="1263" customFormat="1">
      <c r="B4" s="1264"/>
      <c r="C4" s="1608"/>
      <c r="D4" s="1266"/>
      <c r="E4" s="1268" t="s">
        <v>2008</v>
      </c>
    </row>
    <row r="5" spans="1:6" ht="72.75" customHeight="1">
      <c r="A5" s="1625" t="s">
        <v>22</v>
      </c>
      <c r="B5" s="1626" t="s">
        <v>2026</v>
      </c>
      <c r="C5" s="1627" t="s">
        <v>2553</v>
      </c>
      <c r="D5" s="1628" t="s">
        <v>2027</v>
      </c>
      <c r="E5" s="1625" t="s">
        <v>7</v>
      </c>
      <c r="F5" s="1215" t="s">
        <v>2508</v>
      </c>
    </row>
    <row r="6" spans="1:6" s="1234" customFormat="1" ht="18.75">
      <c r="A6" s="1625"/>
      <c r="B6" s="1629" t="s">
        <v>2028</v>
      </c>
      <c r="C6" s="1627">
        <f>'1NGUON'!D15</f>
        <v>907706</v>
      </c>
      <c r="D6" s="1628"/>
      <c r="E6" s="1627"/>
      <c r="F6" s="1245"/>
    </row>
    <row r="7" spans="1:6" s="1273" customFormat="1" ht="18.75">
      <c r="A7" s="1625"/>
      <c r="B7" s="1629" t="s">
        <v>2029</v>
      </c>
      <c r="C7" s="1627">
        <f>C8+C14+C25</f>
        <v>907706.08999999985</v>
      </c>
      <c r="D7" s="1628"/>
      <c r="E7" s="1627"/>
      <c r="F7" s="1587"/>
    </row>
    <row r="8" spans="1:6" ht="18.75">
      <c r="A8" s="1625" t="s">
        <v>33</v>
      </c>
      <c r="B8" s="1614" t="s">
        <v>2030</v>
      </c>
      <c r="C8" s="1627">
        <f>C9+C10+C12</f>
        <v>224934.23</v>
      </c>
      <c r="D8" s="1628"/>
      <c r="E8" s="1630"/>
      <c r="F8" s="1586"/>
    </row>
    <row r="9" spans="1:6" ht="56.25" customHeight="1">
      <c r="A9" s="1630">
        <v>1</v>
      </c>
      <c r="B9" s="1631" t="s">
        <v>2031</v>
      </c>
      <c r="C9" s="1632">
        <f>'4.1KHCN '!V10</f>
        <v>20323.400000000001</v>
      </c>
      <c r="D9" s="1633">
        <f>C9/$C$6</f>
        <v>2.2389848695502732E-2</v>
      </c>
      <c r="E9" s="1630" t="s">
        <v>2485</v>
      </c>
      <c r="F9" s="1587" t="s">
        <v>2598</v>
      </c>
    </row>
    <row r="10" spans="1:6" ht="77.25" customHeight="1">
      <c r="A10" s="1630">
        <v>2</v>
      </c>
      <c r="B10" s="1631" t="s">
        <v>2032</v>
      </c>
      <c r="C10" s="1632">
        <f>'4.2GDĐT'!V10</f>
        <v>181540.83000000002</v>
      </c>
      <c r="D10" s="1633">
        <f>C10/$C$6</f>
        <v>0.19999959237903023</v>
      </c>
      <c r="E10" s="1630" t="s">
        <v>2486</v>
      </c>
      <c r="F10" s="1610" t="s">
        <v>2597</v>
      </c>
    </row>
    <row r="11" spans="1:6" s="1277" customFormat="1" ht="21" customHeight="1">
      <c r="A11" s="1634" t="s">
        <v>2017</v>
      </c>
      <c r="B11" s="1635" t="s">
        <v>2063</v>
      </c>
      <c r="C11" s="1636">
        <f>'1NGUON'!D13*0.6</f>
        <v>25800</v>
      </c>
      <c r="D11" s="1637"/>
      <c r="E11" s="1634"/>
      <c r="F11" s="1588"/>
    </row>
    <row r="12" spans="1:6" ht="71.25" customHeight="1">
      <c r="A12" s="1630">
        <v>3</v>
      </c>
      <c r="B12" s="1631" t="s">
        <v>2033</v>
      </c>
      <c r="C12" s="1632">
        <f>'4.3Y TẾ'!W10</f>
        <v>23070</v>
      </c>
      <c r="D12" s="1633">
        <f>C12/$C$6</f>
        <v>2.5415718305266243E-2</v>
      </c>
      <c r="E12" s="1630" t="s">
        <v>2487</v>
      </c>
      <c r="F12" s="1610" t="s">
        <v>2597</v>
      </c>
    </row>
    <row r="13" spans="1:6" ht="19.5" customHeight="1">
      <c r="A13" s="1634" t="s">
        <v>2017</v>
      </c>
      <c r="B13" s="1635" t="s">
        <v>2064</v>
      </c>
      <c r="C13" s="1636">
        <f>'1NGUON'!D13*0.4</f>
        <v>17200</v>
      </c>
      <c r="D13" s="1637"/>
      <c r="E13" s="1630"/>
      <c r="F13" s="1586"/>
    </row>
    <row r="14" spans="1:6" ht="18.75">
      <c r="A14" s="1625" t="s">
        <v>49</v>
      </c>
      <c r="B14" s="1614" t="s">
        <v>2034</v>
      </c>
      <c r="C14" s="1627">
        <f>SUM(C15:C24)</f>
        <v>188936.72999999998</v>
      </c>
      <c r="D14" s="1628"/>
      <c r="E14" s="1630"/>
      <c r="F14" s="1586"/>
    </row>
    <row r="15" spans="1:6" ht="18.75">
      <c r="A15" s="1630">
        <v>1</v>
      </c>
      <c r="B15" s="1631" t="s">
        <v>2492</v>
      </c>
      <c r="C15" s="1638">
        <f>'4.4NỢ XDCB'!M10</f>
        <v>37050</v>
      </c>
      <c r="D15" s="1633"/>
      <c r="E15" s="1630" t="s">
        <v>2488</v>
      </c>
      <c r="F15" s="1586"/>
    </row>
    <row r="16" spans="1:6" ht="18.75" hidden="1">
      <c r="A16" s="1630"/>
      <c r="B16" s="1635" t="s">
        <v>14</v>
      </c>
      <c r="C16" s="1638"/>
      <c r="D16" s="1633"/>
      <c r="E16" s="1630"/>
      <c r="F16" s="1586"/>
    </row>
    <row r="17" spans="1:6" ht="37.5" hidden="1">
      <c r="A17" s="1634" t="s">
        <v>169</v>
      </c>
      <c r="B17" s="1635" t="s">
        <v>2371</v>
      </c>
      <c r="C17" s="1639"/>
      <c r="D17" s="1633"/>
      <c r="E17" s="1630"/>
      <c r="F17" s="1586"/>
    </row>
    <row r="18" spans="1:6" ht="37.5" hidden="1">
      <c r="A18" s="1634" t="s">
        <v>169</v>
      </c>
      <c r="B18" s="1635" t="s">
        <v>2372</v>
      </c>
      <c r="C18" s="1639"/>
      <c r="D18" s="1633"/>
      <c r="E18" s="1630"/>
      <c r="F18" s="1586"/>
    </row>
    <row r="19" spans="1:6" ht="18.75">
      <c r="A19" s="1630">
        <v>2</v>
      </c>
      <c r="B19" s="1631" t="s">
        <v>2035</v>
      </c>
      <c r="C19" s="1638">
        <f>'4.5ODA'!P10</f>
        <v>125886.72999999997</v>
      </c>
      <c r="D19" s="1633"/>
      <c r="E19" s="1630" t="s">
        <v>2489</v>
      </c>
      <c r="F19" s="1586"/>
    </row>
    <row r="20" spans="1:6" ht="37.5">
      <c r="A20" s="1630">
        <v>3</v>
      </c>
      <c r="B20" s="1631" t="s">
        <v>2036</v>
      </c>
      <c r="C20" s="1638">
        <v>15000</v>
      </c>
      <c r="D20" s="1640"/>
      <c r="E20" s="1630"/>
      <c r="F20" s="1586"/>
    </row>
    <row r="21" spans="1:6" ht="37.5" hidden="1">
      <c r="A21" s="1630">
        <v>4</v>
      </c>
      <c r="B21" s="1641" t="s">
        <v>2037</v>
      </c>
      <c r="C21" s="1632"/>
      <c r="D21" s="1633"/>
      <c r="E21" s="1630"/>
      <c r="F21" s="1586"/>
    </row>
    <row r="22" spans="1:6" ht="37.5" hidden="1">
      <c r="A22" s="1630">
        <v>5</v>
      </c>
      <c r="B22" s="1631" t="s">
        <v>2038</v>
      </c>
      <c r="C22" s="1638"/>
      <c r="D22" s="1640"/>
      <c r="E22" s="1630"/>
      <c r="F22" s="1586"/>
    </row>
    <row r="23" spans="1:6" ht="37.5">
      <c r="A23" s="1630">
        <v>4</v>
      </c>
      <c r="B23" s="1631" t="s">
        <v>2039</v>
      </c>
      <c r="C23" s="1638">
        <v>1000</v>
      </c>
      <c r="D23" s="1640"/>
      <c r="E23" s="1630"/>
      <c r="F23" s="1586"/>
    </row>
    <row r="24" spans="1:6" ht="18.75">
      <c r="A24" s="1630">
        <v>5</v>
      </c>
      <c r="B24" s="1631" t="s">
        <v>2381</v>
      </c>
      <c r="C24" s="1638">
        <v>10000</v>
      </c>
      <c r="D24" s="1640"/>
      <c r="E24" s="1630"/>
      <c r="F24" s="1586"/>
    </row>
    <row r="25" spans="1:6" ht="45.75" customHeight="1">
      <c r="A25" s="1625" t="s">
        <v>181</v>
      </c>
      <c r="B25" s="1614" t="s">
        <v>2610</v>
      </c>
      <c r="C25" s="1627">
        <f>C26+C35+C36</f>
        <v>493835.12999999989</v>
      </c>
      <c r="D25" s="1628"/>
      <c r="E25" s="1630"/>
      <c r="F25" s="494"/>
    </row>
    <row r="26" spans="1:6" ht="18.75">
      <c r="A26" s="1630">
        <v>1</v>
      </c>
      <c r="B26" s="1631" t="s">
        <v>2040</v>
      </c>
      <c r="C26" s="1638">
        <f>'4.6TRONG DIEM'!P10</f>
        <v>95590.1</v>
      </c>
      <c r="D26" s="1633"/>
      <c r="E26" s="1630" t="s">
        <v>2490</v>
      </c>
      <c r="F26" s="1588"/>
    </row>
    <row r="27" spans="1:6" s="1277" customFormat="1" ht="18.75" hidden="1">
      <c r="A27" s="1634" t="s">
        <v>169</v>
      </c>
      <c r="B27" s="1635" t="s">
        <v>1348</v>
      </c>
      <c r="C27" s="1639">
        <f>'4.6TRONG DIEM'!P11</f>
        <v>3184</v>
      </c>
      <c r="D27" s="1642"/>
      <c r="E27" s="1634"/>
      <c r="F27" s="1588"/>
    </row>
    <row r="28" spans="1:6" s="1277" customFormat="1" ht="18.75" hidden="1">
      <c r="A28" s="1634" t="s">
        <v>169</v>
      </c>
      <c r="B28" s="1635" t="s">
        <v>2041</v>
      </c>
      <c r="C28" s="1639">
        <f>'4.6TRONG DIEM'!P12</f>
        <v>14795</v>
      </c>
      <c r="D28" s="1642"/>
      <c r="E28" s="1634"/>
      <c r="F28" s="1588"/>
    </row>
    <row r="29" spans="1:6" s="1277" customFormat="1" ht="18.75" hidden="1">
      <c r="A29" s="1634" t="s">
        <v>169</v>
      </c>
      <c r="B29" s="1635" t="s">
        <v>2042</v>
      </c>
      <c r="C29" s="1639">
        <f>'4.6TRONG DIEM'!P13</f>
        <v>141</v>
      </c>
      <c r="D29" s="1642"/>
      <c r="E29" s="1634"/>
      <c r="F29" s="1588"/>
    </row>
    <row r="30" spans="1:6" s="1277" customFormat="1" ht="18.75" hidden="1">
      <c r="A30" s="1634" t="s">
        <v>169</v>
      </c>
      <c r="B30" s="1635" t="s">
        <v>2043</v>
      </c>
      <c r="C30" s="1639" t="e">
        <f>'4.6TRONG DIEM'!#REF!</f>
        <v>#REF!</v>
      </c>
      <c r="D30" s="1642"/>
      <c r="E30" s="1634"/>
      <c r="F30" s="1588"/>
    </row>
    <row r="31" spans="1:6" s="1277" customFormat="1" ht="18.75" hidden="1">
      <c r="A31" s="1634" t="s">
        <v>169</v>
      </c>
      <c r="B31" s="1635" t="s">
        <v>1361</v>
      </c>
      <c r="C31" s="1639"/>
      <c r="D31" s="1642"/>
      <c r="E31" s="1634"/>
      <c r="F31" s="1588"/>
    </row>
    <row r="32" spans="1:6" s="1277" customFormat="1" ht="37.5" hidden="1">
      <c r="A32" s="1634" t="s">
        <v>169</v>
      </c>
      <c r="B32" s="1635" t="s">
        <v>1364</v>
      </c>
      <c r="C32" s="1639">
        <f>'4.6TRONG DIEM'!P14</f>
        <v>26000</v>
      </c>
      <c r="D32" s="1642"/>
      <c r="E32" s="1635"/>
      <c r="F32" s="1588"/>
    </row>
    <row r="33" spans="1:6" s="1277" customFormat="1" ht="36.75" hidden="1" customHeight="1">
      <c r="A33" s="1634" t="s">
        <v>169</v>
      </c>
      <c r="B33" s="1635" t="s">
        <v>2495</v>
      </c>
      <c r="C33" s="1639">
        <f>'4.6TRONG DIEM'!P15</f>
        <v>41420</v>
      </c>
      <c r="D33" s="1642"/>
      <c r="E33" s="1643"/>
      <c r="F33" s="1588"/>
    </row>
    <row r="34" spans="1:6" s="1277" customFormat="1" ht="18.75" hidden="1">
      <c r="A34" s="1634" t="s">
        <v>169</v>
      </c>
      <c r="B34" s="1635" t="s">
        <v>1371</v>
      </c>
      <c r="C34" s="1639">
        <f>'4.6TRONG DIEM'!P16</f>
        <v>10050.100000000006</v>
      </c>
      <c r="D34" s="1642"/>
      <c r="E34" s="1643"/>
      <c r="F34" s="1587"/>
    </row>
    <row r="35" spans="1:6" ht="99.75" customHeight="1">
      <c r="A35" s="1630">
        <v>2</v>
      </c>
      <c r="B35" s="1631" t="s">
        <v>2607</v>
      </c>
      <c r="C35" s="1632">
        <f>'4.7CHUYEN TIEP'!V10</f>
        <v>398245.02999999991</v>
      </c>
      <c r="D35" s="1633"/>
      <c r="E35" s="1630" t="s">
        <v>2491</v>
      </c>
      <c r="F35" s="1610" t="s">
        <v>2599</v>
      </c>
    </row>
    <row r="36" spans="1:6" ht="18.75" hidden="1">
      <c r="A36" s="1630">
        <v>3</v>
      </c>
      <c r="B36" s="1631" t="s">
        <v>2608</v>
      </c>
      <c r="C36" s="1632"/>
      <c r="D36" s="1633"/>
      <c r="E36" s="1630"/>
      <c r="F36" s="1587"/>
    </row>
  </sheetData>
  <pageMargins left="0.62992125984251968" right="0.23622047244094491" top="0.74803149606299213" bottom="0.74803149606299213"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zoomScale="70" zoomScaleNormal="70" workbookViewId="0">
      <selection activeCell="A2" sqref="A2"/>
    </sheetView>
  </sheetViews>
  <sheetFormatPr defaultColWidth="10.28515625" defaultRowHeight="15.75"/>
  <cols>
    <col min="1" max="1" width="5.85546875" style="1548" customWidth="1"/>
    <col min="2" max="2" width="51.85546875" style="1548" customWidth="1"/>
    <col min="3" max="3" width="13.5703125" style="1548" customWidth="1"/>
    <col min="4" max="5" width="15" style="1548" customWidth="1"/>
    <col min="6" max="6" width="14.28515625" style="1548" customWidth="1"/>
    <col min="7" max="16384" width="10.28515625" style="1548"/>
  </cols>
  <sheetData>
    <row r="1" spans="1:15">
      <c r="A1" s="1547" t="s">
        <v>2044</v>
      </c>
      <c r="B1" s="1547"/>
      <c r="C1" s="1547"/>
      <c r="D1" s="1547"/>
      <c r="E1" s="1547"/>
    </row>
    <row r="2" spans="1:15" s="1225" customFormat="1">
      <c r="A2" s="1243" t="s">
        <v>2609</v>
      </c>
      <c r="B2" s="1258"/>
      <c r="C2" s="1259"/>
      <c r="D2" s="1479"/>
      <c r="E2" s="1262"/>
      <c r="F2" s="1259"/>
      <c r="H2" s="1262"/>
      <c r="N2" s="1258"/>
      <c r="O2" s="1281"/>
    </row>
    <row r="3" spans="1:15" s="1225" customFormat="1">
      <c r="B3" s="1258"/>
      <c r="C3" s="1259"/>
      <c r="D3" s="1479"/>
      <c r="E3" s="1262"/>
      <c r="F3" s="1259"/>
      <c r="H3" s="1262"/>
      <c r="N3" s="1258"/>
      <c r="O3" s="1281"/>
    </row>
    <row r="4" spans="1:15" s="1263" customFormat="1">
      <c r="B4" s="1264"/>
      <c r="C4" s="1265"/>
      <c r="D4" s="1480"/>
      <c r="F4" s="1268" t="s">
        <v>2008</v>
      </c>
      <c r="H4" s="1267"/>
      <c r="N4" s="1264"/>
      <c r="O4" s="1282"/>
    </row>
    <row r="5" spans="1:15">
      <c r="A5" s="1707" t="s">
        <v>22</v>
      </c>
      <c r="B5" s="1708" t="s">
        <v>2045</v>
      </c>
      <c r="C5" s="1707" t="s">
        <v>9</v>
      </c>
      <c r="D5" s="1707" t="s">
        <v>2046</v>
      </c>
      <c r="E5" s="1707"/>
      <c r="F5" s="1709" t="s">
        <v>7</v>
      </c>
    </row>
    <row r="6" spans="1:15">
      <c r="A6" s="1707"/>
      <c r="B6" s="1708"/>
      <c r="C6" s="1707"/>
      <c r="D6" s="1707"/>
      <c r="E6" s="1707"/>
      <c r="F6" s="1709"/>
    </row>
    <row r="7" spans="1:15">
      <c r="A7" s="1707"/>
      <c r="B7" s="1708"/>
      <c r="C7" s="1707"/>
      <c r="D7" s="1707" t="s">
        <v>2047</v>
      </c>
      <c r="E7" s="1707" t="s">
        <v>2048</v>
      </c>
      <c r="F7" s="1709"/>
    </row>
    <row r="8" spans="1:15">
      <c r="A8" s="1707"/>
      <c r="B8" s="1708"/>
      <c r="C8" s="1707"/>
      <c r="D8" s="1707"/>
      <c r="E8" s="1707"/>
      <c r="F8" s="1709"/>
      <c r="H8" s="1549"/>
    </row>
    <row r="9" spans="1:15">
      <c r="A9" s="1707"/>
      <c r="B9" s="1708"/>
      <c r="C9" s="1707"/>
      <c r="D9" s="1707"/>
      <c r="E9" s="1707"/>
      <c r="F9" s="1709"/>
    </row>
    <row r="10" spans="1:15">
      <c r="A10" s="1550"/>
      <c r="B10" s="1551" t="s">
        <v>2049</v>
      </c>
      <c r="C10" s="1270">
        <f>D10+E10</f>
        <v>935080</v>
      </c>
      <c r="D10" s="1270">
        <f>'1NGUON'!D9</f>
        <v>182160</v>
      </c>
      <c r="E10" s="1270">
        <f>E13</f>
        <v>752920</v>
      </c>
      <c r="F10" s="1552"/>
    </row>
    <row r="11" spans="1:15">
      <c r="A11" s="1553"/>
      <c r="B11" s="1554" t="s">
        <v>2050</v>
      </c>
      <c r="C11" s="247">
        <f>C10*0.2</f>
        <v>187016</v>
      </c>
      <c r="D11" s="1270"/>
      <c r="E11" s="1270"/>
      <c r="F11" s="1552"/>
    </row>
    <row r="12" spans="1:15">
      <c r="A12" s="1553"/>
      <c r="B12" s="1554" t="s">
        <v>2051</v>
      </c>
      <c r="C12" s="247">
        <f>C10*0.02</f>
        <v>18701.600000000002</v>
      </c>
      <c r="D12" s="1270"/>
      <c r="E12" s="1270"/>
      <c r="F12" s="1552"/>
    </row>
    <row r="13" spans="1:15">
      <c r="A13" s="1550"/>
      <c r="B13" s="1551" t="s">
        <v>2029</v>
      </c>
      <c r="C13" s="1270">
        <f>D13+E13</f>
        <v>935080</v>
      </c>
      <c r="D13" s="1270">
        <f>SUBTOTAL(9,D14:D100)</f>
        <v>182160</v>
      </c>
      <c r="E13" s="1270">
        <f>SUBTOTAL(9,E14:E100)</f>
        <v>752920</v>
      </c>
      <c r="F13" s="1552"/>
    </row>
    <row r="14" spans="1:15">
      <c r="A14" s="1553">
        <v>1</v>
      </c>
      <c r="B14" s="1554" t="s">
        <v>2052</v>
      </c>
      <c r="C14" s="247">
        <f>D14+E14</f>
        <v>258226</v>
      </c>
      <c r="D14" s="247">
        <v>21026</v>
      </c>
      <c r="E14" s="247">
        <v>237200</v>
      </c>
      <c r="F14" s="1283"/>
    </row>
    <row r="15" spans="1:15">
      <c r="A15" s="1553"/>
      <c r="B15" s="1554" t="s">
        <v>14</v>
      </c>
      <c r="C15" s="247"/>
      <c r="D15" s="247"/>
      <c r="E15" s="247"/>
      <c r="F15" s="1552"/>
    </row>
    <row r="16" spans="1:15">
      <c r="A16" s="1553"/>
      <c r="B16" s="1555" t="s">
        <v>2386</v>
      </c>
      <c r="C16" s="1276">
        <f>C14*0.2</f>
        <v>51645.200000000004</v>
      </c>
      <c r="D16" s="247"/>
      <c r="E16" s="1276"/>
      <c r="F16" s="1552"/>
    </row>
    <row r="17" spans="1:6">
      <c r="A17" s="1553"/>
      <c r="B17" s="1555" t="s">
        <v>2387</v>
      </c>
      <c r="C17" s="1276">
        <f>C14*0.02</f>
        <v>5164.5200000000004</v>
      </c>
      <c r="D17" s="247"/>
      <c r="E17" s="1276"/>
      <c r="F17" s="1552"/>
    </row>
    <row r="18" spans="1:6">
      <c r="A18" s="1553">
        <v>2</v>
      </c>
      <c r="B18" s="1554" t="s">
        <v>2053</v>
      </c>
      <c r="C18" s="247">
        <f>D18+E18</f>
        <v>175204</v>
      </c>
      <c r="D18" s="247">
        <v>29704</v>
      </c>
      <c r="E18" s="247">
        <v>145500</v>
      </c>
      <c r="F18" s="1552"/>
    </row>
    <row r="19" spans="1:6">
      <c r="A19" s="1553"/>
      <c r="B19" s="1554" t="s">
        <v>2046</v>
      </c>
      <c r="C19" s="247"/>
      <c r="D19" s="247"/>
      <c r="E19" s="247"/>
      <c r="F19" s="1552"/>
    </row>
    <row r="20" spans="1:6">
      <c r="A20" s="1553"/>
      <c r="B20" s="1555" t="s">
        <v>2386</v>
      </c>
      <c r="C20" s="1276">
        <f>C18*0.2</f>
        <v>35040.800000000003</v>
      </c>
      <c r="D20" s="247"/>
      <c r="E20" s="247"/>
      <c r="F20" s="1552"/>
    </row>
    <row r="21" spans="1:6">
      <c r="A21" s="1553"/>
      <c r="B21" s="1555" t="s">
        <v>2387</v>
      </c>
      <c r="C21" s="1276">
        <f>C18*0.02</f>
        <v>3504.08</v>
      </c>
      <c r="D21" s="247"/>
      <c r="E21" s="247"/>
      <c r="F21" s="1552"/>
    </row>
    <row r="22" spans="1:6">
      <c r="A22" s="1553">
        <v>3</v>
      </c>
      <c r="B22" s="1554" t="s">
        <v>2054</v>
      </c>
      <c r="C22" s="247">
        <f>D22+E22</f>
        <v>88165</v>
      </c>
      <c r="D22" s="247">
        <v>20265</v>
      </c>
      <c r="E22" s="247">
        <v>67900</v>
      </c>
      <c r="F22" s="1552"/>
    </row>
    <row r="23" spans="1:6">
      <c r="A23" s="1553"/>
      <c r="B23" s="1554" t="s">
        <v>14</v>
      </c>
      <c r="C23" s="247"/>
      <c r="D23" s="247"/>
      <c r="E23" s="247"/>
      <c r="F23" s="1552"/>
    </row>
    <row r="24" spans="1:6">
      <c r="A24" s="1553"/>
      <c r="B24" s="1555" t="s">
        <v>2386</v>
      </c>
      <c r="C24" s="1276">
        <f>C22*0.2</f>
        <v>17633</v>
      </c>
      <c r="D24" s="247"/>
      <c r="E24" s="247"/>
      <c r="F24" s="1552"/>
    </row>
    <row r="25" spans="1:6">
      <c r="A25" s="1553"/>
      <c r="B25" s="1555" t="s">
        <v>2387</v>
      </c>
      <c r="C25" s="1276">
        <f>C22*0.02</f>
        <v>1763.3</v>
      </c>
      <c r="D25" s="247"/>
      <c r="E25" s="247"/>
      <c r="F25" s="1552"/>
    </row>
    <row r="26" spans="1:6">
      <c r="A26" s="1553">
        <v>4</v>
      </c>
      <c r="B26" s="1554" t="s">
        <v>2055</v>
      </c>
      <c r="C26" s="247">
        <f>D26+E26</f>
        <v>94899</v>
      </c>
      <c r="D26" s="247">
        <v>27999</v>
      </c>
      <c r="E26" s="247">
        <v>66900</v>
      </c>
      <c r="F26" s="1552"/>
    </row>
    <row r="27" spans="1:6">
      <c r="A27" s="1553"/>
      <c r="B27" s="1554" t="s">
        <v>14</v>
      </c>
      <c r="C27" s="247"/>
      <c r="D27" s="247"/>
      <c r="E27" s="247"/>
      <c r="F27" s="1552"/>
    </row>
    <row r="28" spans="1:6">
      <c r="A28" s="1553"/>
      <c r="B28" s="1555" t="s">
        <v>2386</v>
      </c>
      <c r="C28" s="1276">
        <f>C26*0.2</f>
        <v>18979.8</v>
      </c>
      <c r="D28" s="247"/>
      <c r="E28" s="247"/>
      <c r="F28" s="1552"/>
    </row>
    <row r="29" spans="1:6">
      <c r="A29" s="1553"/>
      <c r="B29" s="1555" t="s">
        <v>2387</v>
      </c>
      <c r="C29" s="1276">
        <f>C26*0.02</f>
        <v>1897.98</v>
      </c>
      <c r="D29" s="247"/>
      <c r="E29" s="247"/>
      <c r="F29" s="1552"/>
    </row>
    <row r="30" spans="1:6">
      <c r="A30" s="1553">
        <v>5</v>
      </c>
      <c r="B30" s="1554" t="s">
        <v>2056</v>
      </c>
      <c r="C30" s="247">
        <f>D30+E30</f>
        <v>140777</v>
      </c>
      <c r="D30" s="247">
        <v>19677</v>
      </c>
      <c r="E30" s="247">
        <v>121100</v>
      </c>
      <c r="F30" s="1552"/>
    </row>
    <row r="31" spans="1:6">
      <c r="A31" s="1553"/>
      <c r="B31" s="1554" t="s">
        <v>14</v>
      </c>
      <c r="C31" s="247"/>
      <c r="D31" s="247"/>
      <c r="E31" s="247"/>
      <c r="F31" s="1552"/>
    </row>
    <row r="32" spans="1:6">
      <c r="A32" s="1553"/>
      <c r="B32" s="1555" t="s">
        <v>2386</v>
      </c>
      <c r="C32" s="1276">
        <f>C30*0.2</f>
        <v>28155.4</v>
      </c>
      <c r="D32" s="247"/>
      <c r="E32" s="247"/>
      <c r="F32" s="1552"/>
    </row>
    <row r="33" spans="1:6" ht="15" customHeight="1">
      <c r="A33" s="1553"/>
      <c r="B33" s="1555" t="s">
        <v>2387</v>
      </c>
      <c r="C33" s="1276">
        <f>C30*0.02</f>
        <v>2815.54</v>
      </c>
      <c r="D33" s="247"/>
      <c r="E33" s="247"/>
      <c r="F33" s="1552"/>
    </row>
    <row r="34" spans="1:6">
      <c r="A34" s="1553">
        <v>6</v>
      </c>
      <c r="B34" s="1554" t="s">
        <v>2057</v>
      </c>
      <c r="C34" s="247">
        <f>D34+E34</f>
        <v>123802</v>
      </c>
      <c r="D34" s="247">
        <v>20302</v>
      </c>
      <c r="E34" s="247">
        <v>103500</v>
      </c>
      <c r="F34" s="1552"/>
    </row>
    <row r="35" spans="1:6">
      <c r="A35" s="1553"/>
      <c r="B35" s="1554" t="s">
        <v>14</v>
      </c>
      <c r="C35" s="247"/>
      <c r="D35" s="247"/>
      <c r="E35" s="247"/>
      <c r="F35" s="1552"/>
    </row>
    <row r="36" spans="1:6">
      <c r="A36" s="1553"/>
      <c r="B36" s="1555" t="s">
        <v>2386</v>
      </c>
      <c r="C36" s="1276">
        <f>C34*0.2</f>
        <v>24760.400000000001</v>
      </c>
      <c r="D36" s="247"/>
      <c r="E36" s="247"/>
      <c r="F36" s="1552"/>
    </row>
    <row r="37" spans="1:6">
      <c r="A37" s="1553"/>
      <c r="B37" s="1555" t="s">
        <v>2387</v>
      </c>
      <c r="C37" s="1276">
        <f>C34*0.02</f>
        <v>2476.04</v>
      </c>
      <c r="D37" s="247"/>
      <c r="E37" s="247"/>
      <c r="F37" s="1552"/>
    </row>
    <row r="38" spans="1:6">
      <c r="A38" s="1553">
        <v>7</v>
      </c>
      <c r="B38" s="1554" t="s">
        <v>2058</v>
      </c>
      <c r="C38" s="247">
        <f>D38+E38</f>
        <v>27594</v>
      </c>
      <c r="D38" s="247">
        <v>20624</v>
      </c>
      <c r="E38" s="247">
        <v>6970</v>
      </c>
      <c r="F38" s="1552"/>
    </row>
    <row r="39" spans="1:6">
      <c r="A39" s="1553"/>
      <c r="B39" s="1554" t="s">
        <v>14</v>
      </c>
      <c r="C39" s="247"/>
      <c r="D39" s="247"/>
      <c r="E39" s="247"/>
      <c r="F39" s="1552"/>
    </row>
    <row r="40" spans="1:6">
      <c r="A40" s="1553"/>
      <c r="B40" s="1555" t="s">
        <v>2386</v>
      </c>
      <c r="C40" s="1276">
        <f>C38*0.2</f>
        <v>5518.8</v>
      </c>
      <c r="D40" s="247"/>
      <c r="E40" s="247"/>
      <c r="F40" s="1552"/>
    </row>
    <row r="41" spans="1:6">
      <c r="A41" s="1553"/>
      <c r="B41" s="1555" t="s">
        <v>2387</v>
      </c>
      <c r="C41" s="1276">
        <f>C38*0.02</f>
        <v>551.88</v>
      </c>
      <c r="D41" s="247"/>
      <c r="E41" s="247"/>
      <c r="F41" s="1552"/>
    </row>
    <row r="42" spans="1:6">
      <c r="A42" s="1553">
        <v>8</v>
      </c>
      <c r="B42" s="1554" t="s">
        <v>2059</v>
      </c>
      <c r="C42" s="247">
        <f>D42+E42</f>
        <v>26413</v>
      </c>
      <c r="D42" s="247">
        <v>22563</v>
      </c>
      <c r="E42" s="247">
        <v>3850</v>
      </c>
      <c r="F42" s="1552"/>
    </row>
    <row r="43" spans="1:6">
      <c r="A43" s="1553"/>
      <c r="B43" s="1554" t="s">
        <v>2046</v>
      </c>
      <c r="C43" s="247"/>
      <c r="D43" s="247"/>
      <c r="E43" s="247"/>
      <c r="F43" s="1552"/>
    </row>
    <row r="44" spans="1:6">
      <c r="A44" s="1553"/>
      <c r="B44" s="1555" t="s">
        <v>2386</v>
      </c>
      <c r="C44" s="1276">
        <f>C42*0.2</f>
        <v>5282.6</v>
      </c>
      <c r="D44" s="247"/>
      <c r="E44" s="247"/>
      <c r="F44" s="1552"/>
    </row>
    <row r="45" spans="1:6">
      <c r="A45" s="1553"/>
      <c r="B45" s="1555" t="s">
        <v>2387</v>
      </c>
      <c r="C45" s="1276">
        <f>C42*0.02</f>
        <v>528.26</v>
      </c>
      <c r="D45" s="247"/>
      <c r="E45" s="247"/>
      <c r="F45" s="1552"/>
    </row>
  </sheetData>
  <mergeCells count="7">
    <mergeCell ref="A5:A9"/>
    <mergeCell ref="B5:B9"/>
    <mergeCell ref="C5:C9"/>
    <mergeCell ref="D5:E6"/>
    <mergeCell ref="F5:F9"/>
    <mergeCell ref="D7:D9"/>
    <mergeCell ref="E7:E9"/>
  </mergeCells>
  <pageMargins left="0.70866141732283472" right="0.21" top="0.74803149606299213" bottom="0.74803149606299213" header="0.31496062992125984" footer="0.31496062992125984"/>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A2" sqref="A2"/>
    </sheetView>
  </sheetViews>
  <sheetFormatPr defaultColWidth="10.28515625" defaultRowHeight="15.75"/>
  <cols>
    <col min="1" max="1" width="3.85546875" style="1278" bestFit="1" customWidth="1"/>
    <col min="2" max="2" width="57.85546875" style="1279" customWidth="1"/>
    <col min="3" max="3" width="15.140625" style="1271" customWidth="1"/>
    <col min="4" max="4" width="15.140625" style="1251" customWidth="1"/>
    <col min="5" max="16384" width="10.28515625" style="1271"/>
  </cols>
  <sheetData>
    <row r="1" spans="1:4" s="1257" customFormat="1">
      <c r="A1" s="1225" t="s">
        <v>2593</v>
      </c>
      <c r="B1" s="1253"/>
      <c r="C1" s="1253"/>
      <c r="D1" s="1254"/>
    </row>
    <row r="2" spans="1:4" s="1225" customFormat="1">
      <c r="A2" s="1243" t="s">
        <v>2609</v>
      </c>
      <c r="B2" s="1258"/>
      <c r="C2" s="1259"/>
      <c r="D2" s="1260"/>
    </row>
    <row r="3" spans="1:4" s="1225" customFormat="1">
      <c r="B3" s="1258"/>
      <c r="C3" s="1259"/>
      <c r="D3" s="1260"/>
    </row>
    <row r="5" spans="1:4">
      <c r="A5" s="1278">
        <v>1</v>
      </c>
      <c r="B5" s="1284" t="s">
        <v>2398</v>
      </c>
    </row>
    <row r="6" spans="1:4">
      <c r="A6" s="1278">
        <v>2</v>
      </c>
      <c r="B6" s="1284" t="s">
        <v>2399</v>
      </c>
    </row>
    <row r="7" spans="1:4">
      <c r="A7" s="1278">
        <v>3</v>
      </c>
      <c r="B7" s="1284" t="s">
        <v>2400</v>
      </c>
    </row>
    <row r="8" spans="1:4">
      <c r="A8" s="1278">
        <v>4</v>
      </c>
      <c r="B8" s="1284" t="s">
        <v>2604</v>
      </c>
    </row>
    <row r="9" spans="1:4">
      <c r="A9" s="1278">
        <v>5</v>
      </c>
      <c r="B9" s="1284" t="s">
        <v>2401</v>
      </c>
    </row>
    <row r="10" spans="1:4">
      <c r="A10" s="1278">
        <v>6</v>
      </c>
      <c r="B10" s="1284" t="s">
        <v>2591</v>
      </c>
    </row>
    <row r="11" spans="1:4">
      <c r="A11" s="1278">
        <v>7</v>
      </c>
      <c r="B11" s="1284" t="s">
        <v>2592</v>
      </c>
    </row>
    <row r="12" spans="1:4">
      <c r="B12" s="1284"/>
    </row>
  </sheetData>
  <pageMargins left="0.7" right="0.33"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4"/>
  <sheetViews>
    <sheetView zoomScale="55" zoomScaleNormal="55" workbookViewId="0">
      <pane xSplit="2" ySplit="10" topLeftCell="C11" activePane="bottomRight" state="frozen"/>
      <selection pane="topRight" activeCell="C1" sqref="C1"/>
      <selection pane="bottomLeft" activeCell="A11" sqref="A11"/>
      <selection pane="bottomRight" activeCell="AA11" sqref="AA11"/>
    </sheetView>
  </sheetViews>
  <sheetFormatPr defaultRowHeight="18.75"/>
  <cols>
    <col min="1" max="1" width="10.85546875" style="40" customWidth="1"/>
    <col min="2" max="2" width="53.85546875" style="203" customWidth="1"/>
    <col min="3" max="3" width="14" style="44" customWidth="1"/>
    <col min="4" max="4" width="9.5703125" style="44" customWidth="1"/>
    <col min="5" max="5" width="9.85546875" style="44" customWidth="1"/>
    <col min="6" max="6" width="14.7109375" style="201" customWidth="1"/>
    <col min="7" max="7" width="16.140625" style="3" customWidth="1"/>
    <col min="8" max="8" width="17.7109375" style="3" customWidth="1"/>
    <col min="9" max="9" width="13.28515625" style="3" hidden="1" customWidth="1"/>
    <col min="10" max="10" width="13.140625" style="3" hidden="1" customWidth="1"/>
    <col min="11" max="11" width="11" style="3" hidden="1" customWidth="1"/>
    <col min="12" max="13" width="13.28515625" style="3" hidden="1" customWidth="1"/>
    <col min="14" max="19" width="16" style="13" hidden="1" customWidth="1"/>
    <col min="20" max="20" width="16" style="13" customWidth="1"/>
    <col min="21" max="21" width="18.28515625" style="13" customWidth="1"/>
    <col min="22" max="22" width="14.85546875" style="13" customWidth="1"/>
    <col min="23" max="23" width="13.42578125" style="13" customWidth="1"/>
    <col min="24" max="219" width="9.140625" style="13"/>
    <col min="220" max="220" width="5.140625" style="13" customWidth="1"/>
    <col min="221" max="221" width="32.42578125" style="13" customWidth="1"/>
    <col min="222" max="224" width="10.28515625" style="13" customWidth="1"/>
    <col min="225" max="226" width="12.42578125" style="13" customWidth="1"/>
    <col min="227" max="227" width="11.28515625" style="13" customWidth="1"/>
    <col min="228" max="228" width="12.42578125" style="13" customWidth="1"/>
    <col min="229" max="229" width="11.28515625" style="13" customWidth="1"/>
    <col min="230" max="230" width="12.42578125" style="13" customWidth="1"/>
    <col min="231" max="231" width="11.28515625" style="13" customWidth="1"/>
    <col min="232" max="232" width="12.42578125" style="13" customWidth="1"/>
    <col min="233" max="233" width="11.28515625" style="13" customWidth="1"/>
    <col min="234" max="234" width="12.42578125" style="13" customWidth="1"/>
    <col min="235" max="235" width="11.28515625" style="13" customWidth="1"/>
    <col min="236" max="236" width="14.140625" style="13" customWidth="1"/>
    <col min="237" max="237" width="10.28515625" style="13" customWidth="1"/>
    <col min="238" max="238" width="17.140625" style="13" customWidth="1"/>
    <col min="239" max="239" width="12" style="13" customWidth="1"/>
    <col min="240" max="240" width="14.140625" style="13" customWidth="1"/>
    <col min="241" max="241" width="10.28515625" style="13" customWidth="1"/>
    <col min="242" max="242" width="17.140625" style="13" customWidth="1"/>
    <col min="243" max="243" width="12" style="13" customWidth="1"/>
    <col min="244" max="244" width="10.7109375" style="13" customWidth="1"/>
    <col min="245" max="247" width="0" style="13" hidden="1" customWidth="1"/>
    <col min="248" max="475" width="9.140625" style="13"/>
    <col min="476" max="476" width="5.140625" style="13" customWidth="1"/>
    <col min="477" max="477" width="32.42578125" style="13" customWidth="1"/>
    <col min="478" max="480" width="10.28515625" style="13" customWidth="1"/>
    <col min="481" max="482" width="12.42578125" style="13" customWidth="1"/>
    <col min="483" max="483" width="11.28515625" style="13" customWidth="1"/>
    <col min="484" max="484" width="12.42578125" style="13" customWidth="1"/>
    <col min="485" max="485" width="11.28515625" style="13" customWidth="1"/>
    <col min="486" max="486" width="12.42578125" style="13" customWidth="1"/>
    <col min="487" max="487" width="11.28515625" style="13" customWidth="1"/>
    <col min="488" max="488" width="12.42578125" style="13" customWidth="1"/>
    <col min="489" max="489" width="11.28515625" style="13" customWidth="1"/>
    <col min="490" max="490" width="12.42578125" style="13" customWidth="1"/>
    <col min="491" max="491" width="11.28515625" style="13" customWidth="1"/>
    <col min="492" max="492" width="14.140625" style="13" customWidth="1"/>
    <col min="493" max="493" width="10.28515625" style="13" customWidth="1"/>
    <col min="494" max="494" width="17.140625" style="13" customWidth="1"/>
    <col min="495" max="495" width="12" style="13" customWidth="1"/>
    <col min="496" max="496" width="14.140625" style="13" customWidth="1"/>
    <col min="497" max="497" width="10.28515625" style="13" customWidth="1"/>
    <col min="498" max="498" width="17.140625" style="13" customWidth="1"/>
    <col min="499" max="499" width="12" style="13" customWidth="1"/>
    <col min="500" max="500" width="10.7109375" style="13" customWidth="1"/>
    <col min="501" max="503" width="0" style="13" hidden="1" customWidth="1"/>
    <col min="504" max="731" width="9.140625" style="13"/>
    <col min="732" max="732" width="5.140625" style="13" customWidth="1"/>
    <col min="733" max="733" width="32.42578125" style="13" customWidth="1"/>
    <col min="734" max="736" width="10.28515625" style="13" customWidth="1"/>
    <col min="737" max="738" width="12.42578125" style="13" customWidth="1"/>
    <col min="739" max="739" width="11.28515625" style="13" customWidth="1"/>
    <col min="740" max="740" width="12.42578125" style="13" customWidth="1"/>
    <col min="741" max="741" width="11.28515625" style="13" customWidth="1"/>
    <col min="742" max="742" width="12.42578125" style="13" customWidth="1"/>
    <col min="743" max="743" width="11.28515625" style="13" customWidth="1"/>
    <col min="744" max="744" width="12.42578125" style="13" customWidth="1"/>
    <col min="745" max="745" width="11.28515625" style="13" customWidth="1"/>
    <col min="746" max="746" width="12.42578125" style="13" customWidth="1"/>
    <col min="747" max="747" width="11.28515625" style="13" customWidth="1"/>
    <col min="748" max="748" width="14.140625" style="13" customWidth="1"/>
    <col min="749" max="749" width="10.28515625" style="13" customWidth="1"/>
    <col min="750" max="750" width="17.140625" style="13" customWidth="1"/>
    <col min="751" max="751" width="12" style="13" customWidth="1"/>
    <col min="752" max="752" width="14.140625" style="13" customWidth="1"/>
    <col min="753" max="753" width="10.28515625" style="13" customWidth="1"/>
    <col min="754" max="754" width="17.140625" style="13" customWidth="1"/>
    <col min="755" max="755" width="12" style="13" customWidth="1"/>
    <col min="756" max="756" width="10.7109375" style="13" customWidth="1"/>
    <col min="757" max="759" width="0" style="13" hidden="1" customWidth="1"/>
    <col min="760" max="987" width="9.140625" style="13"/>
    <col min="988" max="988" width="5.140625" style="13" customWidth="1"/>
    <col min="989" max="989" width="32.42578125" style="13" customWidth="1"/>
    <col min="990" max="992" width="10.28515625" style="13" customWidth="1"/>
    <col min="993" max="994" width="12.42578125" style="13" customWidth="1"/>
    <col min="995" max="995" width="11.28515625" style="13" customWidth="1"/>
    <col min="996" max="996" width="12.42578125" style="13" customWidth="1"/>
    <col min="997" max="997" width="11.28515625" style="13" customWidth="1"/>
    <col min="998" max="998" width="12.42578125" style="13" customWidth="1"/>
    <col min="999" max="999" width="11.28515625" style="13" customWidth="1"/>
    <col min="1000" max="1000" width="12.42578125" style="13" customWidth="1"/>
    <col min="1001" max="1001" width="11.28515625" style="13" customWidth="1"/>
    <col min="1002" max="1002" width="12.42578125" style="13" customWidth="1"/>
    <col min="1003" max="1003" width="11.28515625" style="13" customWidth="1"/>
    <col min="1004" max="1004" width="14.140625" style="13" customWidth="1"/>
    <col min="1005" max="1005" width="10.28515625" style="13" customWidth="1"/>
    <col min="1006" max="1006" width="17.140625" style="13" customWidth="1"/>
    <col min="1007" max="1007" width="12" style="13" customWidth="1"/>
    <col min="1008" max="1008" width="14.140625" style="13" customWidth="1"/>
    <col min="1009" max="1009" width="10.28515625" style="13" customWidth="1"/>
    <col min="1010" max="1010" width="17.140625" style="13" customWidth="1"/>
    <col min="1011" max="1011" width="12" style="13" customWidth="1"/>
    <col min="1012" max="1012" width="10.7109375" style="13" customWidth="1"/>
    <col min="1013" max="1015" width="0" style="13" hidden="1" customWidth="1"/>
    <col min="1016" max="1243" width="9.140625" style="13"/>
    <col min="1244" max="1244" width="5.140625" style="13" customWidth="1"/>
    <col min="1245" max="1245" width="32.42578125" style="13" customWidth="1"/>
    <col min="1246" max="1248" width="10.28515625" style="13" customWidth="1"/>
    <col min="1249" max="1250" width="12.42578125" style="13" customWidth="1"/>
    <col min="1251" max="1251" width="11.28515625" style="13" customWidth="1"/>
    <col min="1252" max="1252" width="12.42578125" style="13" customWidth="1"/>
    <col min="1253" max="1253" width="11.28515625" style="13" customWidth="1"/>
    <col min="1254" max="1254" width="12.42578125" style="13" customWidth="1"/>
    <col min="1255" max="1255" width="11.28515625" style="13" customWidth="1"/>
    <col min="1256" max="1256" width="12.42578125" style="13" customWidth="1"/>
    <col min="1257" max="1257" width="11.28515625" style="13" customWidth="1"/>
    <col min="1258" max="1258" width="12.42578125" style="13" customWidth="1"/>
    <col min="1259" max="1259" width="11.28515625" style="13" customWidth="1"/>
    <col min="1260" max="1260" width="14.140625" style="13" customWidth="1"/>
    <col min="1261" max="1261" width="10.28515625" style="13" customWidth="1"/>
    <col min="1262" max="1262" width="17.140625" style="13" customWidth="1"/>
    <col min="1263" max="1263" width="12" style="13" customWidth="1"/>
    <col min="1264" max="1264" width="14.140625" style="13" customWidth="1"/>
    <col min="1265" max="1265" width="10.28515625" style="13" customWidth="1"/>
    <col min="1266" max="1266" width="17.140625" style="13" customWidth="1"/>
    <col min="1267" max="1267" width="12" style="13" customWidth="1"/>
    <col min="1268" max="1268" width="10.7109375" style="13" customWidth="1"/>
    <col min="1269" max="1271" width="0" style="13" hidden="1" customWidth="1"/>
    <col min="1272" max="1499" width="9.140625" style="13"/>
    <col min="1500" max="1500" width="5.140625" style="13" customWidth="1"/>
    <col min="1501" max="1501" width="32.42578125" style="13" customWidth="1"/>
    <col min="1502" max="1504" width="10.28515625" style="13" customWidth="1"/>
    <col min="1505" max="1506" width="12.42578125" style="13" customWidth="1"/>
    <col min="1507" max="1507" width="11.28515625" style="13" customWidth="1"/>
    <col min="1508" max="1508" width="12.42578125" style="13" customWidth="1"/>
    <col min="1509" max="1509" width="11.28515625" style="13" customWidth="1"/>
    <col min="1510" max="1510" width="12.42578125" style="13" customWidth="1"/>
    <col min="1511" max="1511" width="11.28515625" style="13" customWidth="1"/>
    <col min="1512" max="1512" width="12.42578125" style="13" customWidth="1"/>
    <col min="1513" max="1513" width="11.28515625" style="13" customWidth="1"/>
    <col min="1514" max="1514" width="12.42578125" style="13" customWidth="1"/>
    <col min="1515" max="1515" width="11.28515625" style="13" customWidth="1"/>
    <col min="1516" max="1516" width="14.140625" style="13" customWidth="1"/>
    <col min="1517" max="1517" width="10.28515625" style="13" customWidth="1"/>
    <col min="1518" max="1518" width="17.140625" style="13" customWidth="1"/>
    <col min="1519" max="1519" width="12" style="13" customWidth="1"/>
    <col min="1520" max="1520" width="14.140625" style="13" customWidth="1"/>
    <col min="1521" max="1521" width="10.28515625" style="13" customWidth="1"/>
    <col min="1522" max="1522" width="17.140625" style="13" customWidth="1"/>
    <col min="1523" max="1523" width="12" style="13" customWidth="1"/>
    <col min="1524" max="1524" width="10.7109375" style="13" customWidth="1"/>
    <col min="1525" max="1527" width="0" style="13" hidden="1" customWidth="1"/>
    <col min="1528" max="1755" width="9.140625" style="13"/>
    <col min="1756" max="1756" width="5.140625" style="13" customWidth="1"/>
    <col min="1757" max="1757" width="32.42578125" style="13" customWidth="1"/>
    <col min="1758" max="1760" width="10.28515625" style="13" customWidth="1"/>
    <col min="1761" max="1762" width="12.42578125" style="13" customWidth="1"/>
    <col min="1763" max="1763" width="11.28515625" style="13" customWidth="1"/>
    <col min="1764" max="1764" width="12.42578125" style="13" customWidth="1"/>
    <col min="1765" max="1765" width="11.28515625" style="13" customWidth="1"/>
    <col min="1766" max="1766" width="12.42578125" style="13" customWidth="1"/>
    <col min="1767" max="1767" width="11.28515625" style="13" customWidth="1"/>
    <col min="1768" max="1768" width="12.42578125" style="13" customWidth="1"/>
    <col min="1769" max="1769" width="11.28515625" style="13" customWidth="1"/>
    <col min="1770" max="1770" width="12.42578125" style="13" customWidth="1"/>
    <col min="1771" max="1771" width="11.28515625" style="13" customWidth="1"/>
    <col min="1772" max="1772" width="14.140625" style="13" customWidth="1"/>
    <col min="1773" max="1773" width="10.28515625" style="13" customWidth="1"/>
    <col min="1774" max="1774" width="17.140625" style="13" customWidth="1"/>
    <col min="1775" max="1775" width="12" style="13" customWidth="1"/>
    <col min="1776" max="1776" width="14.140625" style="13" customWidth="1"/>
    <col min="1777" max="1777" width="10.28515625" style="13" customWidth="1"/>
    <col min="1778" max="1778" width="17.140625" style="13" customWidth="1"/>
    <col min="1779" max="1779" width="12" style="13" customWidth="1"/>
    <col min="1780" max="1780" width="10.7109375" style="13" customWidth="1"/>
    <col min="1781" max="1783" width="0" style="13" hidden="1" customWidth="1"/>
    <col min="1784" max="2011" width="9.140625" style="13"/>
    <col min="2012" max="2012" width="5.140625" style="13" customWidth="1"/>
    <col min="2013" max="2013" width="32.42578125" style="13" customWidth="1"/>
    <col min="2014" max="2016" width="10.28515625" style="13" customWidth="1"/>
    <col min="2017" max="2018" width="12.42578125" style="13" customWidth="1"/>
    <col min="2019" max="2019" width="11.28515625" style="13" customWidth="1"/>
    <col min="2020" max="2020" width="12.42578125" style="13" customWidth="1"/>
    <col min="2021" max="2021" width="11.28515625" style="13" customWidth="1"/>
    <col min="2022" max="2022" width="12.42578125" style="13" customWidth="1"/>
    <col min="2023" max="2023" width="11.28515625" style="13" customWidth="1"/>
    <col min="2024" max="2024" width="12.42578125" style="13" customWidth="1"/>
    <col min="2025" max="2025" width="11.28515625" style="13" customWidth="1"/>
    <col min="2026" max="2026" width="12.42578125" style="13" customWidth="1"/>
    <col min="2027" max="2027" width="11.28515625" style="13" customWidth="1"/>
    <col min="2028" max="2028" width="14.140625" style="13" customWidth="1"/>
    <col min="2029" max="2029" width="10.28515625" style="13" customWidth="1"/>
    <col min="2030" max="2030" width="17.140625" style="13" customWidth="1"/>
    <col min="2031" max="2031" width="12" style="13" customWidth="1"/>
    <col min="2032" max="2032" width="14.140625" style="13" customWidth="1"/>
    <col min="2033" max="2033" width="10.28515625" style="13" customWidth="1"/>
    <col min="2034" max="2034" width="17.140625" style="13" customWidth="1"/>
    <col min="2035" max="2035" width="12" style="13" customWidth="1"/>
    <col min="2036" max="2036" width="10.7109375" style="13" customWidth="1"/>
    <col min="2037" max="2039" width="0" style="13" hidden="1" customWidth="1"/>
    <col min="2040" max="2267" width="9.140625" style="13"/>
    <col min="2268" max="2268" width="5.140625" style="13" customWidth="1"/>
    <col min="2269" max="2269" width="32.42578125" style="13" customWidth="1"/>
    <col min="2270" max="2272" width="10.28515625" style="13" customWidth="1"/>
    <col min="2273" max="2274" width="12.42578125" style="13" customWidth="1"/>
    <col min="2275" max="2275" width="11.28515625" style="13" customWidth="1"/>
    <col min="2276" max="2276" width="12.42578125" style="13" customWidth="1"/>
    <col min="2277" max="2277" width="11.28515625" style="13" customWidth="1"/>
    <col min="2278" max="2278" width="12.42578125" style="13" customWidth="1"/>
    <col min="2279" max="2279" width="11.28515625" style="13" customWidth="1"/>
    <col min="2280" max="2280" width="12.42578125" style="13" customWidth="1"/>
    <col min="2281" max="2281" width="11.28515625" style="13" customWidth="1"/>
    <col min="2282" max="2282" width="12.42578125" style="13" customWidth="1"/>
    <col min="2283" max="2283" width="11.28515625" style="13" customWidth="1"/>
    <col min="2284" max="2284" width="14.140625" style="13" customWidth="1"/>
    <col min="2285" max="2285" width="10.28515625" style="13" customWidth="1"/>
    <col min="2286" max="2286" width="17.140625" style="13" customWidth="1"/>
    <col min="2287" max="2287" width="12" style="13" customWidth="1"/>
    <col min="2288" max="2288" width="14.140625" style="13" customWidth="1"/>
    <col min="2289" max="2289" width="10.28515625" style="13" customWidth="1"/>
    <col min="2290" max="2290" width="17.140625" style="13" customWidth="1"/>
    <col min="2291" max="2291" width="12" style="13" customWidth="1"/>
    <col min="2292" max="2292" width="10.7109375" style="13" customWidth="1"/>
    <col min="2293" max="2295" width="0" style="13" hidden="1" customWidth="1"/>
    <col min="2296" max="2523" width="9.140625" style="13"/>
    <col min="2524" max="2524" width="5.140625" style="13" customWidth="1"/>
    <col min="2525" max="2525" width="32.42578125" style="13" customWidth="1"/>
    <col min="2526" max="2528" width="10.28515625" style="13" customWidth="1"/>
    <col min="2529" max="2530" width="12.42578125" style="13" customWidth="1"/>
    <col min="2531" max="2531" width="11.28515625" style="13" customWidth="1"/>
    <col min="2532" max="2532" width="12.42578125" style="13" customWidth="1"/>
    <col min="2533" max="2533" width="11.28515625" style="13" customWidth="1"/>
    <col min="2534" max="2534" width="12.42578125" style="13" customWidth="1"/>
    <col min="2535" max="2535" width="11.28515625" style="13" customWidth="1"/>
    <col min="2536" max="2536" width="12.42578125" style="13" customWidth="1"/>
    <col min="2537" max="2537" width="11.28515625" style="13" customWidth="1"/>
    <col min="2538" max="2538" width="12.42578125" style="13" customWidth="1"/>
    <col min="2539" max="2539" width="11.28515625" style="13" customWidth="1"/>
    <col min="2540" max="2540" width="14.140625" style="13" customWidth="1"/>
    <col min="2541" max="2541" width="10.28515625" style="13" customWidth="1"/>
    <col min="2542" max="2542" width="17.140625" style="13" customWidth="1"/>
    <col min="2543" max="2543" width="12" style="13" customWidth="1"/>
    <col min="2544" max="2544" width="14.140625" style="13" customWidth="1"/>
    <col min="2545" max="2545" width="10.28515625" style="13" customWidth="1"/>
    <col min="2546" max="2546" width="17.140625" style="13" customWidth="1"/>
    <col min="2547" max="2547" width="12" style="13" customWidth="1"/>
    <col min="2548" max="2548" width="10.7109375" style="13" customWidth="1"/>
    <col min="2549" max="2551" width="0" style="13" hidden="1" customWidth="1"/>
    <col min="2552" max="2779" width="9.140625" style="13"/>
    <col min="2780" max="2780" width="5.140625" style="13" customWidth="1"/>
    <col min="2781" max="2781" width="32.42578125" style="13" customWidth="1"/>
    <col min="2782" max="2784" width="10.28515625" style="13" customWidth="1"/>
    <col min="2785" max="2786" width="12.42578125" style="13" customWidth="1"/>
    <col min="2787" max="2787" width="11.28515625" style="13" customWidth="1"/>
    <col min="2788" max="2788" width="12.42578125" style="13" customWidth="1"/>
    <col min="2789" max="2789" width="11.28515625" style="13" customWidth="1"/>
    <col min="2790" max="2790" width="12.42578125" style="13" customWidth="1"/>
    <col min="2791" max="2791" width="11.28515625" style="13" customWidth="1"/>
    <col min="2792" max="2792" width="12.42578125" style="13" customWidth="1"/>
    <col min="2793" max="2793" width="11.28515625" style="13" customWidth="1"/>
    <col min="2794" max="2794" width="12.42578125" style="13" customWidth="1"/>
    <col min="2795" max="2795" width="11.28515625" style="13" customWidth="1"/>
    <col min="2796" max="2796" width="14.140625" style="13" customWidth="1"/>
    <col min="2797" max="2797" width="10.28515625" style="13" customWidth="1"/>
    <col min="2798" max="2798" width="17.140625" style="13" customWidth="1"/>
    <col min="2799" max="2799" width="12" style="13" customWidth="1"/>
    <col min="2800" max="2800" width="14.140625" style="13" customWidth="1"/>
    <col min="2801" max="2801" width="10.28515625" style="13" customWidth="1"/>
    <col min="2802" max="2802" width="17.140625" style="13" customWidth="1"/>
    <col min="2803" max="2803" width="12" style="13" customWidth="1"/>
    <col min="2804" max="2804" width="10.7109375" style="13" customWidth="1"/>
    <col min="2805" max="2807" width="0" style="13" hidden="1" customWidth="1"/>
    <col min="2808" max="3035" width="9.140625" style="13"/>
    <col min="3036" max="3036" width="5.140625" style="13" customWidth="1"/>
    <col min="3037" max="3037" width="32.42578125" style="13" customWidth="1"/>
    <col min="3038" max="3040" width="10.28515625" style="13" customWidth="1"/>
    <col min="3041" max="3042" width="12.42578125" style="13" customWidth="1"/>
    <col min="3043" max="3043" width="11.28515625" style="13" customWidth="1"/>
    <col min="3044" max="3044" width="12.42578125" style="13" customWidth="1"/>
    <col min="3045" max="3045" width="11.28515625" style="13" customWidth="1"/>
    <col min="3046" max="3046" width="12.42578125" style="13" customWidth="1"/>
    <col min="3047" max="3047" width="11.28515625" style="13" customWidth="1"/>
    <col min="3048" max="3048" width="12.42578125" style="13" customWidth="1"/>
    <col min="3049" max="3049" width="11.28515625" style="13" customWidth="1"/>
    <col min="3050" max="3050" width="12.42578125" style="13" customWidth="1"/>
    <col min="3051" max="3051" width="11.28515625" style="13" customWidth="1"/>
    <col min="3052" max="3052" width="14.140625" style="13" customWidth="1"/>
    <col min="3053" max="3053" width="10.28515625" style="13" customWidth="1"/>
    <col min="3054" max="3054" width="17.140625" style="13" customWidth="1"/>
    <col min="3055" max="3055" width="12" style="13" customWidth="1"/>
    <col min="3056" max="3056" width="14.140625" style="13" customWidth="1"/>
    <col min="3057" max="3057" width="10.28515625" style="13" customWidth="1"/>
    <col min="3058" max="3058" width="17.140625" style="13" customWidth="1"/>
    <col min="3059" max="3059" width="12" style="13" customWidth="1"/>
    <col min="3060" max="3060" width="10.7109375" style="13" customWidth="1"/>
    <col min="3061" max="3063" width="0" style="13" hidden="1" customWidth="1"/>
    <col min="3064" max="3291" width="9.140625" style="13"/>
    <col min="3292" max="3292" width="5.140625" style="13" customWidth="1"/>
    <col min="3293" max="3293" width="32.42578125" style="13" customWidth="1"/>
    <col min="3294" max="3296" width="10.28515625" style="13" customWidth="1"/>
    <col min="3297" max="3298" width="12.42578125" style="13" customWidth="1"/>
    <col min="3299" max="3299" width="11.28515625" style="13" customWidth="1"/>
    <col min="3300" max="3300" width="12.42578125" style="13" customWidth="1"/>
    <col min="3301" max="3301" width="11.28515625" style="13" customWidth="1"/>
    <col min="3302" max="3302" width="12.42578125" style="13" customWidth="1"/>
    <col min="3303" max="3303" width="11.28515625" style="13" customWidth="1"/>
    <col min="3304" max="3304" width="12.42578125" style="13" customWidth="1"/>
    <col min="3305" max="3305" width="11.28515625" style="13" customWidth="1"/>
    <col min="3306" max="3306" width="12.42578125" style="13" customWidth="1"/>
    <col min="3307" max="3307" width="11.28515625" style="13" customWidth="1"/>
    <col min="3308" max="3308" width="14.140625" style="13" customWidth="1"/>
    <col min="3309" max="3309" width="10.28515625" style="13" customWidth="1"/>
    <col min="3310" max="3310" width="17.140625" style="13" customWidth="1"/>
    <col min="3311" max="3311" width="12" style="13" customWidth="1"/>
    <col min="3312" max="3312" width="14.140625" style="13" customWidth="1"/>
    <col min="3313" max="3313" width="10.28515625" style="13" customWidth="1"/>
    <col min="3314" max="3314" width="17.140625" style="13" customWidth="1"/>
    <col min="3315" max="3315" width="12" style="13" customWidth="1"/>
    <col min="3316" max="3316" width="10.7109375" style="13" customWidth="1"/>
    <col min="3317" max="3319" width="0" style="13" hidden="1" customWidth="1"/>
    <col min="3320" max="3547" width="9.140625" style="13"/>
    <col min="3548" max="3548" width="5.140625" style="13" customWidth="1"/>
    <col min="3549" max="3549" width="32.42578125" style="13" customWidth="1"/>
    <col min="3550" max="3552" width="10.28515625" style="13" customWidth="1"/>
    <col min="3553" max="3554" width="12.42578125" style="13" customWidth="1"/>
    <col min="3555" max="3555" width="11.28515625" style="13" customWidth="1"/>
    <col min="3556" max="3556" width="12.42578125" style="13" customWidth="1"/>
    <col min="3557" max="3557" width="11.28515625" style="13" customWidth="1"/>
    <col min="3558" max="3558" width="12.42578125" style="13" customWidth="1"/>
    <col min="3559" max="3559" width="11.28515625" style="13" customWidth="1"/>
    <col min="3560" max="3560" width="12.42578125" style="13" customWidth="1"/>
    <col min="3561" max="3561" width="11.28515625" style="13" customWidth="1"/>
    <col min="3562" max="3562" width="12.42578125" style="13" customWidth="1"/>
    <col min="3563" max="3563" width="11.28515625" style="13" customWidth="1"/>
    <col min="3564" max="3564" width="14.140625" style="13" customWidth="1"/>
    <col min="3565" max="3565" width="10.28515625" style="13" customWidth="1"/>
    <col min="3566" max="3566" width="17.140625" style="13" customWidth="1"/>
    <col min="3567" max="3567" width="12" style="13" customWidth="1"/>
    <col min="3568" max="3568" width="14.140625" style="13" customWidth="1"/>
    <col min="3569" max="3569" width="10.28515625" style="13" customWidth="1"/>
    <col min="3570" max="3570" width="17.140625" style="13" customWidth="1"/>
    <col min="3571" max="3571" width="12" style="13" customWidth="1"/>
    <col min="3572" max="3572" width="10.7109375" style="13" customWidth="1"/>
    <col min="3573" max="3575" width="0" style="13" hidden="1" customWidth="1"/>
    <col min="3576" max="3803" width="9.140625" style="13"/>
    <col min="3804" max="3804" width="5.140625" style="13" customWidth="1"/>
    <col min="3805" max="3805" width="32.42578125" style="13" customWidth="1"/>
    <col min="3806" max="3808" width="10.28515625" style="13" customWidth="1"/>
    <col min="3809" max="3810" width="12.42578125" style="13" customWidth="1"/>
    <col min="3811" max="3811" width="11.28515625" style="13" customWidth="1"/>
    <col min="3812" max="3812" width="12.42578125" style="13" customWidth="1"/>
    <col min="3813" max="3813" width="11.28515625" style="13" customWidth="1"/>
    <col min="3814" max="3814" width="12.42578125" style="13" customWidth="1"/>
    <col min="3815" max="3815" width="11.28515625" style="13" customWidth="1"/>
    <col min="3816" max="3816" width="12.42578125" style="13" customWidth="1"/>
    <col min="3817" max="3817" width="11.28515625" style="13" customWidth="1"/>
    <col min="3818" max="3818" width="12.42578125" style="13" customWidth="1"/>
    <col min="3819" max="3819" width="11.28515625" style="13" customWidth="1"/>
    <col min="3820" max="3820" width="14.140625" style="13" customWidth="1"/>
    <col min="3821" max="3821" width="10.28515625" style="13" customWidth="1"/>
    <col min="3822" max="3822" width="17.140625" style="13" customWidth="1"/>
    <col min="3823" max="3823" width="12" style="13" customWidth="1"/>
    <col min="3824" max="3824" width="14.140625" style="13" customWidth="1"/>
    <col min="3825" max="3825" width="10.28515625" style="13" customWidth="1"/>
    <col min="3826" max="3826" width="17.140625" style="13" customWidth="1"/>
    <col min="3827" max="3827" width="12" style="13" customWidth="1"/>
    <col min="3828" max="3828" width="10.7109375" style="13" customWidth="1"/>
    <col min="3829" max="3831" width="0" style="13" hidden="1" customWidth="1"/>
    <col min="3832" max="4059" width="9.140625" style="13"/>
    <col min="4060" max="4060" width="5.140625" style="13" customWidth="1"/>
    <col min="4061" max="4061" width="32.42578125" style="13" customWidth="1"/>
    <col min="4062" max="4064" width="10.28515625" style="13" customWidth="1"/>
    <col min="4065" max="4066" width="12.42578125" style="13" customWidth="1"/>
    <col min="4067" max="4067" width="11.28515625" style="13" customWidth="1"/>
    <col min="4068" max="4068" width="12.42578125" style="13" customWidth="1"/>
    <col min="4069" max="4069" width="11.28515625" style="13" customWidth="1"/>
    <col min="4070" max="4070" width="12.42578125" style="13" customWidth="1"/>
    <col min="4071" max="4071" width="11.28515625" style="13" customWidth="1"/>
    <col min="4072" max="4072" width="12.42578125" style="13" customWidth="1"/>
    <col min="4073" max="4073" width="11.28515625" style="13" customWidth="1"/>
    <col min="4074" max="4074" width="12.42578125" style="13" customWidth="1"/>
    <col min="4075" max="4075" width="11.28515625" style="13" customWidth="1"/>
    <col min="4076" max="4076" width="14.140625" style="13" customWidth="1"/>
    <col min="4077" max="4077" width="10.28515625" style="13" customWidth="1"/>
    <col min="4078" max="4078" width="17.140625" style="13" customWidth="1"/>
    <col min="4079" max="4079" width="12" style="13" customWidth="1"/>
    <col min="4080" max="4080" width="14.140625" style="13" customWidth="1"/>
    <col min="4081" max="4081" width="10.28515625" style="13" customWidth="1"/>
    <col min="4082" max="4082" width="17.140625" style="13" customWidth="1"/>
    <col min="4083" max="4083" width="12" style="13" customWidth="1"/>
    <col min="4084" max="4084" width="10.7109375" style="13" customWidth="1"/>
    <col min="4085" max="4087" width="0" style="13" hidden="1" customWidth="1"/>
    <col min="4088" max="4315" width="9.140625" style="13"/>
    <col min="4316" max="4316" width="5.140625" style="13" customWidth="1"/>
    <col min="4317" max="4317" width="32.42578125" style="13" customWidth="1"/>
    <col min="4318" max="4320" width="10.28515625" style="13" customWidth="1"/>
    <col min="4321" max="4322" width="12.42578125" style="13" customWidth="1"/>
    <col min="4323" max="4323" width="11.28515625" style="13" customWidth="1"/>
    <col min="4324" max="4324" width="12.42578125" style="13" customWidth="1"/>
    <col min="4325" max="4325" width="11.28515625" style="13" customWidth="1"/>
    <col min="4326" max="4326" width="12.42578125" style="13" customWidth="1"/>
    <col min="4327" max="4327" width="11.28515625" style="13" customWidth="1"/>
    <col min="4328" max="4328" width="12.42578125" style="13" customWidth="1"/>
    <col min="4329" max="4329" width="11.28515625" style="13" customWidth="1"/>
    <col min="4330" max="4330" width="12.42578125" style="13" customWidth="1"/>
    <col min="4331" max="4331" width="11.28515625" style="13" customWidth="1"/>
    <col min="4332" max="4332" width="14.140625" style="13" customWidth="1"/>
    <col min="4333" max="4333" width="10.28515625" style="13" customWidth="1"/>
    <col min="4334" max="4334" width="17.140625" style="13" customWidth="1"/>
    <col min="4335" max="4335" width="12" style="13" customWidth="1"/>
    <col min="4336" max="4336" width="14.140625" style="13" customWidth="1"/>
    <col min="4337" max="4337" width="10.28515625" style="13" customWidth="1"/>
    <col min="4338" max="4338" width="17.140625" style="13" customWidth="1"/>
    <col min="4339" max="4339" width="12" style="13" customWidth="1"/>
    <col min="4340" max="4340" width="10.7109375" style="13" customWidth="1"/>
    <col min="4341" max="4343" width="0" style="13" hidden="1" customWidth="1"/>
    <col min="4344" max="4571" width="9.140625" style="13"/>
    <col min="4572" max="4572" width="5.140625" style="13" customWidth="1"/>
    <col min="4573" max="4573" width="32.42578125" style="13" customWidth="1"/>
    <col min="4574" max="4576" width="10.28515625" style="13" customWidth="1"/>
    <col min="4577" max="4578" width="12.42578125" style="13" customWidth="1"/>
    <col min="4579" max="4579" width="11.28515625" style="13" customWidth="1"/>
    <col min="4580" max="4580" width="12.42578125" style="13" customWidth="1"/>
    <col min="4581" max="4581" width="11.28515625" style="13" customWidth="1"/>
    <col min="4582" max="4582" width="12.42578125" style="13" customWidth="1"/>
    <col min="4583" max="4583" width="11.28515625" style="13" customWidth="1"/>
    <col min="4584" max="4584" width="12.42578125" style="13" customWidth="1"/>
    <col min="4585" max="4585" width="11.28515625" style="13" customWidth="1"/>
    <col min="4586" max="4586" width="12.42578125" style="13" customWidth="1"/>
    <col min="4587" max="4587" width="11.28515625" style="13" customWidth="1"/>
    <col min="4588" max="4588" width="14.140625" style="13" customWidth="1"/>
    <col min="4589" max="4589" width="10.28515625" style="13" customWidth="1"/>
    <col min="4590" max="4590" width="17.140625" style="13" customWidth="1"/>
    <col min="4591" max="4591" width="12" style="13" customWidth="1"/>
    <col min="4592" max="4592" width="14.140625" style="13" customWidth="1"/>
    <col min="4593" max="4593" width="10.28515625" style="13" customWidth="1"/>
    <col min="4594" max="4594" width="17.140625" style="13" customWidth="1"/>
    <col min="4595" max="4595" width="12" style="13" customWidth="1"/>
    <col min="4596" max="4596" width="10.7109375" style="13" customWidth="1"/>
    <col min="4597" max="4599" width="0" style="13" hidden="1" customWidth="1"/>
    <col min="4600" max="4827" width="9.140625" style="13"/>
    <col min="4828" max="4828" width="5.140625" style="13" customWidth="1"/>
    <col min="4829" max="4829" width="32.42578125" style="13" customWidth="1"/>
    <col min="4830" max="4832" width="10.28515625" style="13" customWidth="1"/>
    <col min="4833" max="4834" width="12.42578125" style="13" customWidth="1"/>
    <col min="4835" max="4835" width="11.28515625" style="13" customWidth="1"/>
    <col min="4836" max="4836" width="12.42578125" style="13" customWidth="1"/>
    <col min="4837" max="4837" width="11.28515625" style="13" customWidth="1"/>
    <col min="4838" max="4838" width="12.42578125" style="13" customWidth="1"/>
    <col min="4839" max="4839" width="11.28515625" style="13" customWidth="1"/>
    <col min="4840" max="4840" width="12.42578125" style="13" customWidth="1"/>
    <col min="4841" max="4841" width="11.28515625" style="13" customWidth="1"/>
    <col min="4842" max="4842" width="12.42578125" style="13" customWidth="1"/>
    <col min="4843" max="4843" width="11.28515625" style="13" customWidth="1"/>
    <col min="4844" max="4844" width="14.140625" style="13" customWidth="1"/>
    <col min="4845" max="4845" width="10.28515625" style="13" customWidth="1"/>
    <col min="4846" max="4846" width="17.140625" style="13" customWidth="1"/>
    <col min="4847" max="4847" width="12" style="13" customWidth="1"/>
    <col min="4848" max="4848" width="14.140625" style="13" customWidth="1"/>
    <col min="4849" max="4849" width="10.28515625" style="13" customWidth="1"/>
    <col min="4850" max="4850" width="17.140625" style="13" customWidth="1"/>
    <col min="4851" max="4851" width="12" style="13" customWidth="1"/>
    <col min="4852" max="4852" width="10.7109375" style="13" customWidth="1"/>
    <col min="4853" max="4855" width="0" style="13" hidden="1" customWidth="1"/>
    <col min="4856" max="5083" width="9.140625" style="13"/>
    <col min="5084" max="5084" width="5.140625" style="13" customWidth="1"/>
    <col min="5085" max="5085" width="32.42578125" style="13" customWidth="1"/>
    <col min="5086" max="5088" width="10.28515625" style="13" customWidth="1"/>
    <col min="5089" max="5090" width="12.42578125" style="13" customWidth="1"/>
    <col min="5091" max="5091" width="11.28515625" style="13" customWidth="1"/>
    <col min="5092" max="5092" width="12.42578125" style="13" customWidth="1"/>
    <col min="5093" max="5093" width="11.28515625" style="13" customWidth="1"/>
    <col min="5094" max="5094" width="12.42578125" style="13" customWidth="1"/>
    <col min="5095" max="5095" width="11.28515625" style="13" customWidth="1"/>
    <col min="5096" max="5096" width="12.42578125" style="13" customWidth="1"/>
    <col min="5097" max="5097" width="11.28515625" style="13" customWidth="1"/>
    <col min="5098" max="5098" width="12.42578125" style="13" customWidth="1"/>
    <col min="5099" max="5099" width="11.28515625" style="13" customWidth="1"/>
    <col min="5100" max="5100" width="14.140625" style="13" customWidth="1"/>
    <col min="5101" max="5101" width="10.28515625" style="13" customWidth="1"/>
    <col min="5102" max="5102" width="17.140625" style="13" customWidth="1"/>
    <col min="5103" max="5103" width="12" style="13" customWidth="1"/>
    <col min="5104" max="5104" width="14.140625" style="13" customWidth="1"/>
    <col min="5105" max="5105" width="10.28515625" style="13" customWidth="1"/>
    <col min="5106" max="5106" width="17.140625" style="13" customWidth="1"/>
    <col min="5107" max="5107" width="12" style="13" customWidth="1"/>
    <col min="5108" max="5108" width="10.7109375" style="13" customWidth="1"/>
    <col min="5109" max="5111" width="0" style="13" hidden="1" customWidth="1"/>
    <col min="5112" max="5339" width="9.140625" style="13"/>
    <col min="5340" max="5340" width="5.140625" style="13" customWidth="1"/>
    <col min="5341" max="5341" width="32.42578125" style="13" customWidth="1"/>
    <col min="5342" max="5344" width="10.28515625" style="13" customWidth="1"/>
    <col min="5345" max="5346" width="12.42578125" style="13" customWidth="1"/>
    <col min="5347" max="5347" width="11.28515625" style="13" customWidth="1"/>
    <col min="5348" max="5348" width="12.42578125" style="13" customWidth="1"/>
    <col min="5349" max="5349" width="11.28515625" style="13" customWidth="1"/>
    <col min="5350" max="5350" width="12.42578125" style="13" customWidth="1"/>
    <col min="5351" max="5351" width="11.28515625" style="13" customWidth="1"/>
    <col min="5352" max="5352" width="12.42578125" style="13" customWidth="1"/>
    <col min="5353" max="5353" width="11.28515625" style="13" customWidth="1"/>
    <col min="5354" max="5354" width="12.42578125" style="13" customWidth="1"/>
    <col min="5355" max="5355" width="11.28515625" style="13" customWidth="1"/>
    <col min="5356" max="5356" width="14.140625" style="13" customWidth="1"/>
    <col min="5357" max="5357" width="10.28515625" style="13" customWidth="1"/>
    <col min="5358" max="5358" width="17.140625" style="13" customWidth="1"/>
    <col min="5359" max="5359" width="12" style="13" customWidth="1"/>
    <col min="5360" max="5360" width="14.140625" style="13" customWidth="1"/>
    <col min="5361" max="5361" width="10.28515625" style="13" customWidth="1"/>
    <col min="5362" max="5362" width="17.140625" style="13" customWidth="1"/>
    <col min="5363" max="5363" width="12" style="13" customWidth="1"/>
    <col min="5364" max="5364" width="10.7109375" style="13" customWidth="1"/>
    <col min="5365" max="5367" width="0" style="13" hidden="1" customWidth="1"/>
    <col min="5368" max="5595" width="9.140625" style="13"/>
    <col min="5596" max="5596" width="5.140625" style="13" customWidth="1"/>
    <col min="5597" max="5597" width="32.42578125" style="13" customWidth="1"/>
    <col min="5598" max="5600" width="10.28515625" style="13" customWidth="1"/>
    <col min="5601" max="5602" width="12.42578125" style="13" customWidth="1"/>
    <col min="5603" max="5603" width="11.28515625" style="13" customWidth="1"/>
    <col min="5604" max="5604" width="12.42578125" style="13" customWidth="1"/>
    <col min="5605" max="5605" width="11.28515625" style="13" customWidth="1"/>
    <col min="5606" max="5606" width="12.42578125" style="13" customWidth="1"/>
    <col min="5607" max="5607" width="11.28515625" style="13" customWidth="1"/>
    <col min="5608" max="5608" width="12.42578125" style="13" customWidth="1"/>
    <col min="5609" max="5609" width="11.28515625" style="13" customWidth="1"/>
    <col min="5610" max="5610" width="12.42578125" style="13" customWidth="1"/>
    <col min="5611" max="5611" width="11.28515625" style="13" customWidth="1"/>
    <col min="5612" max="5612" width="14.140625" style="13" customWidth="1"/>
    <col min="5613" max="5613" width="10.28515625" style="13" customWidth="1"/>
    <col min="5614" max="5614" width="17.140625" style="13" customWidth="1"/>
    <col min="5615" max="5615" width="12" style="13" customWidth="1"/>
    <col min="5616" max="5616" width="14.140625" style="13" customWidth="1"/>
    <col min="5617" max="5617" width="10.28515625" style="13" customWidth="1"/>
    <col min="5618" max="5618" width="17.140625" style="13" customWidth="1"/>
    <col min="5619" max="5619" width="12" style="13" customWidth="1"/>
    <col min="5620" max="5620" width="10.7109375" style="13" customWidth="1"/>
    <col min="5621" max="5623" width="0" style="13" hidden="1" customWidth="1"/>
    <col min="5624" max="5851" width="9.140625" style="13"/>
    <col min="5852" max="5852" width="5.140625" style="13" customWidth="1"/>
    <col min="5853" max="5853" width="32.42578125" style="13" customWidth="1"/>
    <col min="5854" max="5856" width="10.28515625" style="13" customWidth="1"/>
    <col min="5857" max="5858" width="12.42578125" style="13" customWidth="1"/>
    <col min="5859" max="5859" width="11.28515625" style="13" customWidth="1"/>
    <col min="5860" max="5860" width="12.42578125" style="13" customWidth="1"/>
    <col min="5861" max="5861" width="11.28515625" style="13" customWidth="1"/>
    <col min="5862" max="5862" width="12.42578125" style="13" customWidth="1"/>
    <col min="5863" max="5863" width="11.28515625" style="13" customWidth="1"/>
    <col min="5864" max="5864" width="12.42578125" style="13" customWidth="1"/>
    <col min="5865" max="5865" width="11.28515625" style="13" customWidth="1"/>
    <col min="5866" max="5866" width="12.42578125" style="13" customWidth="1"/>
    <col min="5867" max="5867" width="11.28515625" style="13" customWidth="1"/>
    <col min="5868" max="5868" width="14.140625" style="13" customWidth="1"/>
    <col min="5869" max="5869" width="10.28515625" style="13" customWidth="1"/>
    <col min="5870" max="5870" width="17.140625" style="13" customWidth="1"/>
    <col min="5871" max="5871" width="12" style="13" customWidth="1"/>
    <col min="5872" max="5872" width="14.140625" style="13" customWidth="1"/>
    <col min="5873" max="5873" width="10.28515625" style="13" customWidth="1"/>
    <col min="5874" max="5874" width="17.140625" style="13" customWidth="1"/>
    <col min="5875" max="5875" width="12" style="13" customWidth="1"/>
    <col min="5876" max="5876" width="10.7109375" style="13" customWidth="1"/>
    <col min="5877" max="5879" width="0" style="13" hidden="1" customWidth="1"/>
    <col min="5880" max="6107" width="9.140625" style="13"/>
    <col min="6108" max="6108" width="5.140625" style="13" customWidth="1"/>
    <col min="6109" max="6109" width="32.42578125" style="13" customWidth="1"/>
    <col min="6110" max="6112" width="10.28515625" style="13" customWidth="1"/>
    <col min="6113" max="6114" width="12.42578125" style="13" customWidth="1"/>
    <col min="6115" max="6115" width="11.28515625" style="13" customWidth="1"/>
    <col min="6116" max="6116" width="12.42578125" style="13" customWidth="1"/>
    <col min="6117" max="6117" width="11.28515625" style="13" customWidth="1"/>
    <col min="6118" max="6118" width="12.42578125" style="13" customWidth="1"/>
    <col min="6119" max="6119" width="11.28515625" style="13" customWidth="1"/>
    <col min="6120" max="6120" width="12.42578125" style="13" customWidth="1"/>
    <col min="6121" max="6121" width="11.28515625" style="13" customWidth="1"/>
    <col min="6122" max="6122" width="12.42578125" style="13" customWidth="1"/>
    <col min="6123" max="6123" width="11.28515625" style="13" customWidth="1"/>
    <col min="6124" max="6124" width="14.140625" style="13" customWidth="1"/>
    <col min="6125" max="6125" width="10.28515625" style="13" customWidth="1"/>
    <col min="6126" max="6126" width="17.140625" style="13" customWidth="1"/>
    <col min="6127" max="6127" width="12" style="13" customWidth="1"/>
    <col min="6128" max="6128" width="14.140625" style="13" customWidth="1"/>
    <col min="6129" max="6129" width="10.28515625" style="13" customWidth="1"/>
    <col min="6130" max="6130" width="17.140625" style="13" customWidth="1"/>
    <col min="6131" max="6131" width="12" style="13" customWidth="1"/>
    <col min="6132" max="6132" width="10.7109375" style="13" customWidth="1"/>
    <col min="6133" max="6135" width="0" style="13" hidden="1" customWidth="1"/>
    <col min="6136" max="6363" width="9.140625" style="13"/>
    <col min="6364" max="6364" width="5.140625" style="13" customWidth="1"/>
    <col min="6365" max="6365" width="32.42578125" style="13" customWidth="1"/>
    <col min="6366" max="6368" width="10.28515625" style="13" customWidth="1"/>
    <col min="6369" max="6370" width="12.42578125" style="13" customWidth="1"/>
    <col min="6371" max="6371" width="11.28515625" style="13" customWidth="1"/>
    <col min="6372" max="6372" width="12.42578125" style="13" customWidth="1"/>
    <col min="6373" max="6373" width="11.28515625" style="13" customWidth="1"/>
    <col min="6374" max="6374" width="12.42578125" style="13" customWidth="1"/>
    <col min="6375" max="6375" width="11.28515625" style="13" customWidth="1"/>
    <col min="6376" max="6376" width="12.42578125" style="13" customWidth="1"/>
    <col min="6377" max="6377" width="11.28515625" style="13" customWidth="1"/>
    <col min="6378" max="6378" width="12.42578125" style="13" customWidth="1"/>
    <col min="6379" max="6379" width="11.28515625" style="13" customWidth="1"/>
    <col min="6380" max="6380" width="14.140625" style="13" customWidth="1"/>
    <col min="6381" max="6381" width="10.28515625" style="13" customWidth="1"/>
    <col min="6382" max="6382" width="17.140625" style="13" customWidth="1"/>
    <col min="6383" max="6383" width="12" style="13" customWidth="1"/>
    <col min="6384" max="6384" width="14.140625" style="13" customWidth="1"/>
    <col min="6385" max="6385" width="10.28515625" style="13" customWidth="1"/>
    <col min="6386" max="6386" width="17.140625" style="13" customWidth="1"/>
    <col min="6387" max="6387" width="12" style="13" customWidth="1"/>
    <col min="6388" max="6388" width="10.7109375" style="13" customWidth="1"/>
    <col min="6389" max="6391" width="0" style="13" hidden="1" customWidth="1"/>
    <col min="6392" max="6619" width="9.140625" style="13"/>
    <col min="6620" max="6620" width="5.140625" style="13" customWidth="1"/>
    <col min="6621" max="6621" width="32.42578125" style="13" customWidth="1"/>
    <col min="6622" max="6624" width="10.28515625" style="13" customWidth="1"/>
    <col min="6625" max="6626" width="12.42578125" style="13" customWidth="1"/>
    <col min="6627" max="6627" width="11.28515625" style="13" customWidth="1"/>
    <col min="6628" max="6628" width="12.42578125" style="13" customWidth="1"/>
    <col min="6629" max="6629" width="11.28515625" style="13" customWidth="1"/>
    <col min="6630" max="6630" width="12.42578125" style="13" customWidth="1"/>
    <col min="6631" max="6631" width="11.28515625" style="13" customWidth="1"/>
    <col min="6632" max="6632" width="12.42578125" style="13" customWidth="1"/>
    <col min="6633" max="6633" width="11.28515625" style="13" customWidth="1"/>
    <col min="6634" max="6634" width="12.42578125" style="13" customWidth="1"/>
    <col min="6635" max="6635" width="11.28515625" style="13" customWidth="1"/>
    <col min="6636" max="6636" width="14.140625" style="13" customWidth="1"/>
    <col min="6637" max="6637" width="10.28515625" style="13" customWidth="1"/>
    <col min="6638" max="6638" width="17.140625" style="13" customWidth="1"/>
    <col min="6639" max="6639" width="12" style="13" customWidth="1"/>
    <col min="6640" max="6640" width="14.140625" style="13" customWidth="1"/>
    <col min="6641" max="6641" width="10.28515625" style="13" customWidth="1"/>
    <col min="6642" max="6642" width="17.140625" style="13" customWidth="1"/>
    <col min="6643" max="6643" width="12" style="13" customWidth="1"/>
    <col min="6644" max="6644" width="10.7109375" style="13" customWidth="1"/>
    <col min="6645" max="6647" width="0" style="13" hidden="1" customWidth="1"/>
    <col min="6648" max="6875" width="9.140625" style="13"/>
    <col min="6876" max="6876" width="5.140625" style="13" customWidth="1"/>
    <col min="6877" max="6877" width="32.42578125" style="13" customWidth="1"/>
    <col min="6878" max="6880" width="10.28515625" style="13" customWidth="1"/>
    <col min="6881" max="6882" width="12.42578125" style="13" customWidth="1"/>
    <col min="6883" max="6883" width="11.28515625" style="13" customWidth="1"/>
    <col min="6884" max="6884" width="12.42578125" style="13" customWidth="1"/>
    <col min="6885" max="6885" width="11.28515625" style="13" customWidth="1"/>
    <col min="6886" max="6886" width="12.42578125" style="13" customWidth="1"/>
    <col min="6887" max="6887" width="11.28515625" style="13" customWidth="1"/>
    <col min="6888" max="6888" width="12.42578125" style="13" customWidth="1"/>
    <col min="6889" max="6889" width="11.28515625" style="13" customWidth="1"/>
    <col min="6890" max="6890" width="12.42578125" style="13" customWidth="1"/>
    <col min="6891" max="6891" width="11.28515625" style="13" customWidth="1"/>
    <col min="6892" max="6892" width="14.140625" style="13" customWidth="1"/>
    <col min="6893" max="6893" width="10.28515625" style="13" customWidth="1"/>
    <col min="6894" max="6894" width="17.140625" style="13" customWidth="1"/>
    <col min="6895" max="6895" width="12" style="13" customWidth="1"/>
    <col min="6896" max="6896" width="14.140625" style="13" customWidth="1"/>
    <col min="6897" max="6897" width="10.28515625" style="13" customWidth="1"/>
    <col min="6898" max="6898" width="17.140625" style="13" customWidth="1"/>
    <col min="6899" max="6899" width="12" style="13" customWidth="1"/>
    <col min="6900" max="6900" width="10.7109375" style="13" customWidth="1"/>
    <col min="6901" max="6903" width="0" style="13" hidden="1" customWidth="1"/>
    <col min="6904" max="7131" width="9.140625" style="13"/>
    <col min="7132" max="7132" width="5.140625" style="13" customWidth="1"/>
    <col min="7133" max="7133" width="32.42578125" style="13" customWidth="1"/>
    <col min="7134" max="7136" width="10.28515625" style="13" customWidth="1"/>
    <col min="7137" max="7138" width="12.42578125" style="13" customWidth="1"/>
    <col min="7139" max="7139" width="11.28515625" style="13" customWidth="1"/>
    <col min="7140" max="7140" width="12.42578125" style="13" customWidth="1"/>
    <col min="7141" max="7141" width="11.28515625" style="13" customWidth="1"/>
    <col min="7142" max="7142" width="12.42578125" style="13" customWidth="1"/>
    <col min="7143" max="7143" width="11.28515625" style="13" customWidth="1"/>
    <col min="7144" max="7144" width="12.42578125" style="13" customWidth="1"/>
    <col min="7145" max="7145" width="11.28515625" style="13" customWidth="1"/>
    <col min="7146" max="7146" width="12.42578125" style="13" customWidth="1"/>
    <col min="7147" max="7147" width="11.28515625" style="13" customWidth="1"/>
    <col min="7148" max="7148" width="14.140625" style="13" customWidth="1"/>
    <col min="7149" max="7149" width="10.28515625" style="13" customWidth="1"/>
    <col min="7150" max="7150" width="17.140625" style="13" customWidth="1"/>
    <col min="7151" max="7151" width="12" style="13" customWidth="1"/>
    <col min="7152" max="7152" width="14.140625" style="13" customWidth="1"/>
    <col min="7153" max="7153" width="10.28515625" style="13" customWidth="1"/>
    <col min="7154" max="7154" width="17.140625" style="13" customWidth="1"/>
    <col min="7155" max="7155" width="12" style="13" customWidth="1"/>
    <col min="7156" max="7156" width="10.7109375" style="13" customWidth="1"/>
    <col min="7157" max="7159" width="0" style="13" hidden="1" customWidth="1"/>
    <col min="7160" max="7387" width="9.140625" style="13"/>
    <col min="7388" max="7388" width="5.140625" style="13" customWidth="1"/>
    <col min="7389" max="7389" width="32.42578125" style="13" customWidth="1"/>
    <col min="7390" max="7392" width="10.28515625" style="13" customWidth="1"/>
    <col min="7393" max="7394" width="12.42578125" style="13" customWidth="1"/>
    <col min="7395" max="7395" width="11.28515625" style="13" customWidth="1"/>
    <col min="7396" max="7396" width="12.42578125" style="13" customWidth="1"/>
    <col min="7397" max="7397" width="11.28515625" style="13" customWidth="1"/>
    <col min="7398" max="7398" width="12.42578125" style="13" customWidth="1"/>
    <col min="7399" max="7399" width="11.28515625" style="13" customWidth="1"/>
    <col min="7400" max="7400" width="12.42578125" style="13" customWidth="1"/>
    <col min="7401" max="7401" width="11.28515625" style="13" customWidth="1"/>
    <col min="7402" max="7402" width="12.42578125" style="13" customWidth="1"/>
    <col min="7403" max="7403" width="11.28515625" style="13" customWidth="1"/>
    <col min="7404" max="7404" width="14.140625" style="13" customWidth="1"/>
    <col min="7405" max="7405" width="10.28515625" style="13" customWidth="1"/>
    <col min="7406" max="7406" width="17.140625" style="13" customWidth="1"/>
    <col min="7407" max="7407" width="12" style="13" customWidth="1"/>
    <col min="7408" max="7408" width="14.140625" style="13" customWidth="1"/>
    <col min="7409" max="7409" width="10.28515625" style="13" customWidth="1"/>
    <col min="7410" max="7410" width="17.140625" style="13" customWidth="1"/>
    <col min="7411" max="7411" width="12" style="13" customWidth="1"/>
    <col min="7412" max="7412" width="10.7109375" style="13" customWidth="1"/>
    <col min="7413" max="7415" width="0" style="13" hidden="1" customWidth="1"/>
    <col min="7416" max="7643" width="9.140625" style="13"/>
    <col min="7644" max="7644" width="5.140625" style="13" customWidth="1"/>
    <col min="7645" max="7645" width="32.42578125" style="13" customWidth="1"/>
    <col min="7646" max="7648" width="10.28515625" style="13" customWidth="1"/>
    <col min="7649" max="7650" width="12.42578125" style="13" customWidth="1"/>
    <col min="7651" max="7651" width="11.28515625" style="13" customWidth="1"/>
    <col min="7652" max="7652" width="12.42578125" style="13" customWidth="1"/>
    <col min="7653" max="7653" width="11.28515625" style="13" customWidth="1"/>
    <col min="7654" max="7654" width="12.42578125" style="13" customWidth="1"/>
    <col min="7655" max="7655" width="11.28515625" style="13" customWidth="1"/>
    <col min="7656" max="7656" width="12.42578125" style="13" customWidth="1"/>
    <col min="7657" max="7657" width="11.28515625" style="13" customWidth="1"/>
    <col min="7658" max="7658" width="12.42578125" style="13" customWidth="1"/>
    <col min="7659" max="7659" width="11.28515625" style="13" customWidth="1"/>
    <col min="7660" max="7660" width="14.140625" style="13" customWidth="1"/>
    <col min="7661" max="7661" width="10.28515625" style="13" customWidth="1"/>
    <col min="7662" max="7662" width="17.140625" style="13" customWidth="1"/>
    <col min="7663" max="7663" width="12" style="13" customWidth="1"/>
    <col min="7664" max="7664" width="14.140625" style="13" customWidth="1"/>
    <col min="7665" max="7665" width="10.28515625" style="13" customWidth="1"/>
    <col min="7666" max="7666" width="17.140625" style="13" customWidth="1"/>
    <col min="7667" max="7667" width="12" style="13" customWidth="1"/>
    <col min="7668" max="7668" width="10.7109375" style="13" customWidth="1"/>
    <col min="7669" max="7671" width="0" style="13" hidden="1" customWidth="1"/>
    <col min="7672" max="7899" width="9.140625" style="13"/>
    <col min="7900" max="7900" width="5.140625" style="13" customWidth="1"/>
    <col min="7901" max="7901" width="32.42578125" style="13" customWidth="1"/>
    <col min="7902" max="7904" width="10.28515625" style="13" customWidth="1"/>
    <col min="7905" max="7906" width="12.42578125" style="13" customWidth="1"/>
    <col min="7907" max="7907" width="11.28515625" style="13" customWidth="1"/>
    <col min="7908" max="7908" width="12.42578125" style="13" customWidth="1"/>
    <col min="7909" max="7909" width="11.28515625" style="13" customWidth="1"/>
    <col min="7910" max="7910" width="12.42578125" style="13" customWidth="1"/>
    <col min="7911" max="7911" width="11.28515625" style="13" customWidth="1"/>
    <col min="7912" max="7912" width="12.42578125" style="13" customWidth="1"/>
    <col min="7913" max="7913" width="11.28515625" style="13" customWidth="1"/>
    <col min="7914" max="7914" width="12.42578125" style="13" customWidth="1"/>
    <col min="7915" max="7915" width="11.28515625" style="13" customWidth="1"/>
    <col min="7916" max="7916" width="14.140625" style="13" customWidth="1"/>
    <col min="7917" max="7917" width="10.28515625" style="13" customWidth="1"/>
    <col min="7918" max="7918" width="17.140625" style="13" customWidth="1"/>
    <col min="7919" max="7919" width="12" style="13" customWidth="1"/>
    <col min="7920" max="7920" width="14.140625" style="13" customWidth="1"/>
    <col min="7921" max="7921" width="10.28515625" style="13" customWidth="1"/>
    <col min="7922" max="7922" width="17.140625" style="13" customWidth="1"/>
    <col min="7923" max="7923" width="12" style="13" customWidth="1"/>
    <col min="7924" max="7924" width="10.7109375" style="13" customWidth="1"/>
    <col min="7925" max="7927" width="0" style="13" hidden="1" customWidth="1"/>
    <col min="7928" max="8155" width="9.140625" style="13"/>
    <col min="8156" max="8156" width="5.140625" style="13" customWidth="1"/>
    <col min="8157" max="8157" width="32.42578125" style="13" customWidth="1"/>
    <col min="8158" max="8160" width="10.28515625" style="13" customWidth="1"/>
    <col min="8161" max="8162" width="12.42578125" style="13" customWidth="1"/>
    <col min="8163" max="8163" width="11.28515625" style="13" customWidth="1"/>
    <col min="8164" max="8164" width="12.42578125" style="13" customWidth="1"/>
    <col min="8165" max="8165" width="11.28515625" style="13" customWidth="1"/>
    <col min="8166" max="8166" width="12.42578125" style="13" customWidth="1"/>
    <col min="8167" max="8167" width="11.28515625" style="13" customWidth="1"/>
    <col min="8168" max="8168" width="12.42578125" style="13" customWidth="1"/>
    <col min="8169" max="8169" width="11.28515625" style="13" customWidth="1"/>
    <col min="8170" max="8170" width="12.42578125" style="13" customWidth="1"/>
    <col min="8171" max="8171" width="11.28515625" style="13" customWidth="1"/>
    <col min="8172" max="8172" width="14.140625" style="13" customWidth="1"/>
    <col min="8173" max="8173" width="10.28515625" style="13" customWidth="1"/>
    <col min="8174" max="8174" width="17.140625" style="13" customWidth="1"/>
    <col min="8175" max="8175" width="12" style="13" customWidth="1"/>
    <col min="8176" max="8176" width="14.140625" style="13" customWidth="1"/>
    <col min="8177" max="8177" width="10.28515625" style="13" customWidth="1"/>
    <col min="8178" max="8178" width="17.140625" style="13" customWidth="1"/>
    <col min="8179" max="8179" width="12" style="13" customWidth="1"/>
    <col min="8180" max="8180" width="10.7109375" style="13" customWidth="1"/>
    <col min="8181" max="8183" width="0" style="13" hidden="1" customWidth="1"/>
    <col min="8184" max="8411" width="9.140625" style="13"/>
    <col min="8412" max="8412" width="5.140625" style="13" customWidth="1"/>
    <col min="8413" max="8413" width="32.42578125" style="13" customWidth="1"/>
    <col min="8414" max="8416" width="10.28515625" style="13" customWidth="1"/>
    <col min="8417" max="8418" width="12.42578125" style="13" customWidth="1"/>
    <col min="8419" max="8419" width="11.28515625" style="13" customWidth="1"/>
    <col min="8420" max="8420" width="12.42578125" style="13" customWidth="1"/>
    <col min="8421" max="8421" width="11.28515625" style="13" customWidth="1"/>
    <col min="8422" max="8422" width="12.42578125" style="13" customWidth="1"/>
    <col min="8423" max="8423" width="11.28515625" style="13" customWidth="1"/>
    <col min="8424" max="8424" width="12.42578125" style="13" customWidth="1"/>
    <col min="8425" max="8425" width="11.28515625" style="13" customWidth="1"/>
    <col min="8426" max="8426" width="12.42578125" style="13" customWidth="1"/>
    <col min="8427" max="8427" width="11.28515625" style="13" customWidth="1"/>
    <col min="8428" max="8428" width="14.140625" style="13" customWidth="1"/>
    <col min="8429" max="8429" width="10.28515625" style="13" customWidth="1"/>
    <col min="8430" max="8430" width="17.140625" style="13" customWidth="1"/>
    <col min="8431" max="8431" width="12" style="13" customWidth="1"/>
    <col min="8432" max="8432" width="14.140625" style="13" customWidth="1"/>
    <col min="8433" max="8433" width="10.28515625" style="13" customWidth="1"/>
    <col min="8434" max="8434" width="17.140625" style="13" customWidth="1"/>
    <col min="8435" max="8435" width="12" style="13" customWidth="1"/>
    <col min="8436" max="8436" width="10.7109375" style="13" customWidth="1"/>
    <col min="8437" max="8439" width="0" style="13" hidden="1" customWidth="1"/>
    <col min="8440" max="8667" width="9.140625" style="13"/>
    <col min="8668" max="8668" width="5.140625" style="13" customWidth="1"/>
    <col min="8669" max="8669" width="32.42578125" style="13" customWidth="1"/>
    <col min="8670" max="8672" width="10.28515625" style="13" customWidth="1"/>
    <col min="8673" max="8674" width="12.42578125" style="13" customWidth="1"/>
    <col min="8675" max="8675" width="11.28515625" style="13" customWidth="1"/>
    <col min="8676" max="8676" width="12.42578125" style="13" customWidth="1"/>
    <col min="8677" max="8677" width="11.28515625" style="13" customWidth="1"/>
    <col min="8678" max="8678" width="12.42578125" style="13" customWidth="1"/>
    <col min="8679" max="8679" width="11.28515625" style="13" customWidth="1"/>
    <col min="8680" max="8680" width="12.42578125" style="13" customWidth="1"/>
    <col min="8681" max="8681" width="11.28515625" style="13" customWidth="1"/>
    <col min="8682" max="8682" width="12.42578125" style="13" customWidth="1"/>
    <col min="8683" max="8683" width="11.28515625" style="13" customWidth="1"/>
    <col min="8684" max="8684" width="14.140625" style="13" customWidth="1"/>
    <col min="8685" max="8685" width="10.28515625" style="13" customWidth="1"/>
    <col min="8686" max="8686" width="17.140625" style="13" customWidth="1"/>
    <col min="8687" max="8687" width="12" style="13" customWidth="1"/>
    <col min="8688" max="8688" width="14.140625" style="13" customWidth="1"/>
    <col min="8689" max="8689" width="10.28515625" style="13" customWidth="1"/>
    <col min="8690" max="8690" width="17.140625" style="13" customWidth="1"/>
    <col min="8691" max="8691" width="12" style="13" customWidth="1"/>
    <col min="8692" max="8692" width="10.7109375" style="13" customWidth="1"/>
    <col min="8693" max="8695" width="0" style="13" hidden="1" customWidth="1"/>
    <col min="8696" max="8923" width="9.140625" style="13"/>
    <col min="8924" max="8924" width="5.140625" style="13" customWidth="1"/>
    <col min="8925" max="8925" width="32.42578125" style="13" customWidth="1"/>
    <col min="8926" max="8928" width="10.28515625" style="13" customWidth="1"/>
    <col min="8929" max="8930" width="12.42578125" style="13" customWidth="1"/>
    <col min="8931" max="8931" width="11.28515625" style="13" customWidth="1"/>
    <col min="8932" max="8932" width="12.42578125" style="13" customWidth="1"/>
    <col min="8933" max="8933" width="11.28515625" style="13" customWidth="1"/>
    <col min="8934" max="8934" width="12.42578125" style="13" customWidth="1"/>
    <col min="8935" max="8935" width="11.28515625" style="13" customWidth="1"/>
    <col min="8936" max="8936" width="12.42578125" style="13" customWidth="1"/>
    <col min="8937" max="8937" width="11.28515625" style="13" customWidth="1"/>
    <col min="8938" max="8938" width="12.42578125" style="13" customWidth="1"/>
    <col min="8939" max="8939" width="11.28515625" style="13" customWidth="1"/>
    <col min="8940" max="8940" width="14.140625" style="13" customWidth="1"/>
    <col min="8941" max="8941" width="10.28515625" style="13" customWidth="1"/>
    <col min="8942" max="8942" width="17.140625" style="13" customWidth="1"/>
    <col min="8943" max="8943" width="12" style="13" customWidth="1"/>
    <col min="8944" max="8944" width="14.140625" style="13" customWidth="1"/>
    <col min="8945" max="8945" width="10.28515625" style="13" customWidth="1"/>
    <col min="8946" max="8946" width="17.140625" style="13" customWidth="1"/>
    <col min="8947" max="8947" width="12" style="13" customWidth="1"/>
    <col min="8948" max="8948" width="10.7109375" style="13" customWidth="1"/>
    <col min="8949" max="8951" width="0" style="13" hidden="1" customWidth="1"/>
    <col min="8952" max="9179" width="9.140625" style="13"/>
    <col min="9180" max="9180" width="5.140625" style="13" customWidth="1"/>
    <col min="9181" max="9181" width="32.42578125" style="13" customWidth="1"/>
    <col min="9182" max="9184" width="10.28515625" style="13" customWidth="1"/>
    <col min="9185" max="9186" width="12.42578125" style="13" customWidth="1"/>
    <col min="9187" max="9187" width="11.28515625" style="13" customWidth="1"/>
    <col min="9188" max="9188" width="12.42578125" style="13" customWidth="1"/>
    <col min="9189" max="9189" width="11.28515625" style="13" customWidth="1"/>
    <col min="9190" max="9190" width="12.42578125" style="13" customWidth="1"/>
    <col min="9191" max="9191" width="11.28515625" style="13" customWidth="1"/>
    <col min="9192" max="9192" width="12.42578125" style="13" customWidth="1"/>
    <col min="9193" max="9193" width="11.28515625" style="13" customWidth="1"/>
    <col min="9194" max="9194" width="12.42578125" style="13" customWidth="1"/>
    <col min="9195" max="9195" width="11.28515625" style="13" customWidth="1"/>
    <col min="9196" max="9196" width="14.140625" style="13" customWidth="1"/>
    <col min="9197" max="9197" width="10.28515625" style="13" customWidth="1"/>
    <col min="9198" max="9198" width="17.140625" style="13" customWidth="1"/>
    <col min="9199" max="9199" width="12" style="13" customWidth="1"/>
    <col min="9200" max="9200" width="14.140625" style="13" customWidth="1"/>
    <col min="9201" max="9201" width="10.28515625" style="13" customWidth="1"/>
    <col min="9202" max="9202" width="17.140625" style="13" customWidth="1"/>
    <col min="9203" max="9203" width="12" style="13" customWidth="1"/>
    <col min="9204" max="9204" width="10.7109375" style="13" customWidth="1"/>
    <col min="9205" max="9207" width="0" style="13" hidden="1" customWidth="1"/>
    <col min="9208" max="9435" width="9.140625" style="13"/>
    <col min="9436" max="9436" width="5.140625" style="13" customWidth="1"/>
    <col min="9437" max="9437" width="32.42578125" style="13" customWidth="1"/>
    <col min="9438" max="9440" width="10.28515625" style="13" customWidth="1"/>
    <col min="9441" max="9442" width="12.42578125" style="13" customWidth="1"/>
    <col min="9443" max="9443" width="11.28515625" style="13" customWidth="1"/>
    <col min="9444" max="9444" width="12.42578125" style="13" customWidth="1"/>
    <col min="9445" max="9445" width="11.28515625" style="13" customWidth="1"/>
    <col min="9446" max="9446" width="12.42578125" style="13" customWidth="1"/>
    <col min="9447" max="9447" width="11.28515625" style="13" customWidth="1"/>
    <col min="9448" max="9448" width="12.42578125" style="13" customWidth="1"/>
    <col min="9449" max="9449" width="11.28515625" style="13" customWidth="1"/>
    <col min="9450" max="9450" width="12.42578125" style="13" customWidth="1"/>
    <col min="9451" max="9451" width="11.28515625" style="13" customWidth="1"/>
    <col min="9452" max="9452" width="14.140625" style="13" customWidth="1"/>
    <col min="9453" max="9453" width="10.28515625" style="13" customWidth="1"/>
    <col min="9454" max="9454" width="17.140625" style="13" customWidth="1"/>
    <col min="9455" max="9455" width="12" style="13" customWidth="1"/>
    <col min="9456" max="9456" width="14.140625" style="13" customWidth="1"/>
    <col min="9457" max="9457" width="10.28515625" style="13" customWidth="1"/>
    <col min="9458" max="9458" width="17.140625" style="13" customWidth="1"/>
    <col min="9459" max="9459" width="12" style="13" customWidth="1"/>
    <col min="9460" max="9460" width="10.7109375" style="13" customWidth="1"/>
    <col min="9461" max="9463" width="0" style="13" hidden="1" customWidth="1"/>
    <col min="9464" max="9691" width="9.140625" style="13"/>
    <col min="9692" max="9692" width="5.140625" style="13" customWidth="1"/>
    <col min="9693" max="9693" width="32.42578125" style="13" customWidth="1"/>
    <col min="9694" max="9696" width="10.28515625" style="13" customWidth="1"/>
    <col min="9697" max="9698" width="12.42578125" style="13" customWidth="1"/>
    <col min="9699" max="9699" width="11.28515625" style="13" customWidth="1"/>
    <col min="9700" max="9700" width="12.42578125" style="13" customWidth="1"/>
    <col min="9701" max="9701" width="11.28515625" style="13" customWidth="1"/>
    <col min="9702" max="9702" width="12.42578125" style="13" customWidth="1"/>
    <col min="9703" max="9703" width="11.28515625" style="13" customWidth="1"/>
    <col min="9704" max="9704" width="12.42578125" style="13" customWidth="1"/>
    <col min="9705" max="9705" width="11.28515625" style="13" customWidth="1"/>
    <col min="9706" max="9706" width="12.42578125" style="13" customWidth="1"/>
    <col min="9707" max="9707" width="11.28515625" style="13" customWidth="1"/>
    <col min="9708" max="9708" width="14.140625" style="13" customWidth="1"/>
    <col min="9709" max="9709" width="10.28515625" style="13" customWidth="1"/>
    <col min="9710" max="9710" width="17.140625" style="13" customWidth="1"/>
    <col min="9711" max="9711" width="12" style="13" customWidth="1"/>
    <col min="9712" max="9712" width="14.140625" style="13" customWidth="1"/>
    <col min="9713" max="9713" width="10.28515625" style="13" customWidth="1"/>
    <col min="9714" max="9714" width="17.140625" style="13" customWidth="1"/>
    <col min="9715" max="9715" width="12" style="13" customWidth="1"/>
    <col min="9716" max="9716" width="10.7109375" style="13" customWidth="1"/>
    <col min="9717" max="9719" width="0" style="13" hidden="1" customWidth="1"/>
    <col min="9720" max="9947" width="9.140625" style="13"/>
    <col min="9948" max="9948" width="5.140625" style="13" customWidth="1"/>
    <col min="9949" max="9949" width="32.42578125" style="13" customWidth="1"/>
    <col min="9950" max="9952" width="10.28515625" style="13" customWidth="1"/>
    <col min="9953" max="9954" width="12.42578125" style="13" customWidth="1"/>
    <col min="9955" max="9955" width="11.28515625" style="13" customWidth="1"/>
    <col min="9956" max="9956" width="12.42578125" style="13" customWidth="1"/>
    <col min="9957" max="9957" width="11.28515625" style="13" customWidth="1"/>
    <col min="9958" max="9958" width="12.42578125" style="13" customWidth="1"/>
    <col min="9959" max="9959" width="11.28515625" style="13" customWidth="1"/>
    <col min="9960" max="9960" width="12.42578125" style="13" customWidth="1"/>
    <col min="9961" max="9961" width="11.28515625" style="13" customWidth="1"/>
    <col min="9962" max="9962" width="12.42578125" style="13" customWidth="1"/>
    <col min="9963" max="9963" width="11.28515625" style="13" customWidth="1"/>
    <col min="9964" max="9964" width="14.140625" style="13" customWidth="1"/>
    <col min="9965" max="9965" width="10.28515625" style="13" customWidth="1"/>
    <col min="9966" max="9966" width="17.140625" style="13" customWidth="1"/>
    <col min="9967" max="9967" width="12" style="13" customWidth="1"/>
    <col min="9968" max="9968" width="14.140625" style="13" customWidth="1"/>
    <col min="9969" max="9969" width="10.28515625" style="13" customWidth="1"/>
    <col min="9970" max="9970" width="17.140625" style="13" customWidth="1"/>
    <col min="9971" max="9971" width="12" style="13" customWidth="1"/>
    <col min="9972" max="9972" width="10.7109375" style="13" customWidth="1"/>
    <col min="9973" max="9975" width="0" style="13" hidden="1" customWidth="1"/>
    <col min="9976" max="10203" width="9.140625" style="13"/>
    <col min="10204" max="10204" width="5.140625" style="13" customWidth="1"/>
    <col min="10205" max="10205" width="32.42578125" style="13" customWidth="1"/>
    <col min="10206" max="10208" width="10.28515625" style="13" customWidth="1"/>
    <col min="10209" max="10210" width="12.42578125" style="13" customWidth="1"/>
    <col min="10211" max="10211" width="11.28515625" style="13" customWidth="1"/>
    <col min="10212" max="10212" width="12.42578125" style="13" customWidth="1"/>
    <col min="10213" max="10213" width="11.28515625" style="13" customWidth="1"/>
    <col min="10214" max="10214" width="12.42578125" style="13" customWidth="1"/>
    <col min="10215" max="10215" width="11.28515625" style="13" customWidth="1"/>
    <col min="10216" max="10216" width="12.42578125" style="13" customWidth="1"/>
    <col min="10217" max="10217" width="11.28515625" style="13" customWidth="1"/>
    <col min="10218" max="10218" width="12.42578125" style="13" customWidth="1"/>
    <col min="10219" max="10219" width="11.28515625" style="13" customWidth="1"/>
    <col min="10220" max="10220" width="14.140625" style="13" customWidth="1"/>
    <col min="10221" max="10221" width="10.28515625" style="13" customWidth="1"/>
    <col min="10222" max="10222" width="17.140625" style="13" customWidth="1"/>
    <col min="10223" max="10223" width="12" style="13" customWidth="1"/>
    <col min="10224" max="10224" width="14.140625" style="13" customWidth="1"/>
    <col min="10225" max="10225" width="10.28515625" style="13" customWidth="1"/>
    <col min="10226" max="10226" width="17.140625" style="13" customWidth="1"/>
    <col min="10227" max="10227" width="12" style="13" customWidth="1"/>
    <col min="10228" max="10228" width="10.7109375" style="13" customWidth="1"/>
    <col min="10229" max="10231" width="0" style="13" hidden="1" customWidth="1"/>
    <col min="10232" max="10459" width="9.140625" style="13"/>
    <col min="10460" max="10460" width="5.140625" style="13" customWidth="1"/>
    <col min="10461" max="10461" width="32.42578125" style="13" customWidth="1"/>
    <col min="10462" max="10464" width="10.28515625" style="13" customWidth="1"/>
    <col min="10465" max="10466" width="12.42578125" style="13" customWidth="1"/>
    <col min="10467" max="10467" width="11.28515625" style="13" customWidth="1"/>
    <col min="10468" max="10468" width="12.42578125" style="13" customWidth="1"/>
    <col min="10469" max="10469" width="11.28515625" style="13" customWidth="1"/>
    <col min="10470" max="10470" width="12.42578125" style="13" customWidth="1"/>
    <col min="10471" max="10471" width="11.28515625" style="13" customWidth="1"/>
    <col min="10472" max="10472" width="12.42578125" style="13" customWidth="1"/>
    <col min="10473" max="10473" width="11.28515625" style="13" customWidth="1"/>
    <col min="10474" max="10474" width="12.42578125" style="13" customWidth="1"/>
    <col min="10475" max="10475" width="11.28515625" style="13" customWidth="1"/>
    <col min="10476" max="10476" width="14.140625" style="13" customWidth="1"/>
    <col min="10477" max="10477" width="10.28515625" style="13" customWidth="1"/>
    <col min="10478" max="10478" width="17.140625" style="13" customWidth="1"/>
    <col min="10479" max="10479" width="12" style="13" customWidth="1"/>
    <col min="10480" max="10480" width="14.140625" style="13" customWidth="1"/>
    <col min="10481" max="10481" width="10.28515625" style="13" customWidth="1"/>
    <col min="10482" max="10482" width="17.140625" style="13" customWidth="1"/>
    <col min="10483" max="10483" width="12" style="13" customWidth="1"/>
    <col min="10484" max="10484" width="10.7109375" style="13" customWidth="1"/>
    <col min="10485" max="10487" width="0" style="13" hidden="1" customWidth="1"/>
    <col min="10488" max="10715" width="9.140625" style="13"/>
    <col min="10716" max="10716" width="5.140625" style="13" customWidth="1"/>
    <col min="10717" max="10717" width="32.42578125" style="13" customWidth="1"/>
    <col min="10718" max="10720" width="10.28515625" style="13" customWidth="1"/>
    <col min="10721" max="10722" width="12.42578125" style="13" customWidth="1"/>
    <col min="10723" max="10723" width="11.28515625" style="13" customWidth="1"/>
    <col min="10724" max="10724" width="12.42578125" style="13" customWidth="1"/>
    <col min="10725" max="10725" width="11.28515625" style="13" customWidth="1"/>
    <col min="10726" max="10726" width="12.42578125" style="13" customWidth="1"/>
    <col min="10727" max="10727" width="11.28515625" style="13" customWidth="1"/>
    <col min="10728" max="10728" width="12.42578125" style="13" customWidth="1"/>
    <col min="10729" max="10729" width="11.28515625" style="13" customWidth="1"/>
    <col min="10730" max="10730" width="12.42578125" style="13" customWidth="1"/>
    <col min="10731" max="10731" width="11.28515625" style="13" customWidth="1"/>
    <col min="10732" max="10732" width="14.140625" style="13" customWidth="1"/>
    <col min="10733" max="10733" width="10.28515625" style="13" customWidth="1"/>
    <col min="10734" max="10734" width="17.140625" style="13" customWidth="1"/>
    <col min="10735" max="10735" width="12" style="13" customWidth="1"/>
    <col min="10736" max="10736" width="14.140625" style="13" customWidth="1"/>
    <col min="10737" max="10737" width="10.28515625" style="13" customWidth="1"/>
    <col min="10738" max="10738" width="17.140625" style="13" customWidth="1"/>
    <col min="10739" max="10739" width="12" style="13" customWidth="1"/>
    <col min="10740" max="10740" width="10.7109375" style="13" customWidth="1"/>
    <col min="10741" max="10743" width="0" style="13" hidden="1" customWidth="1"/>
    <col min="10744" max="10971" width="9.140625" style="13"/>
    <col min="10972" max="10972" width="5.140625" style="13" customWidth="1"/>
    <col min="10973" max="10973" width="32.42578125" style="13" customWidth="1"/>
    <col min="10974" max="10976" width="10.28515625" style="13" customWidth="1"/>
    <col min="10977" max="10978" width="12.42578125" style="13" customWidth="1"/>
    <col min="10979" max="10979" width="11.28515625" style="13" customWidth="1"/>
    <col min="10980" max="10980" width="12.42578125" style="13" customWidth="1"/>
    <col min="10981" max="10981" width="11.28515625" style="13" customWidth="1"/>
    <col min="10982" max="10982" width="12.42578125" style="13" customWidth="1"/>
    <col min="10983" max="10983" width="11.28515625" style="13" customWidth="1"/>
    <col min="10984" max="10984" width="12.42578125" style="13" customWidth="1"/>
    <col min="10985" max="10985" width="11.28515625" style="13" customWidth="1"/>
    <col min="10986" max="10986" width="12.42578125" style="13" customWidth="1"/>
    <col min="10987" max="10987" width="11.28515625" style="13" customWidth="1"/>
    <col min="10988" max="10988" width="14.140625" style="13" customWidth="1"/>
    <col min="10989" max="10989" width="10.28515625" style="13" customWidth="1"/>
    <col min="10990" max="10990" width="17.140625" style="13" customWidth="1"/>
    <col min="10991" max="10991" width="12" style="13" customWidth="1"/>
    <col min="10992" max="10992" width="14.140625" style="13" customWidth="1"/>
    <col min="10993" max="10993" width="10.28515625" style="13" customWidth="1"/>
    <col min="10994" max="10994" width="17.140625" style="13" customWidth="1"/>
    <col min="10995" max="10995" width="12" style="13" customWidth="1"/>
    <col min="10996" max="10996" width="10.7109375" style="13" customWidth="1"/>
    <col min="10997" max="10999" width="0" style="13" hidden="1" customWidth="1"/>
    <col min="11000" max="11227" width="9.140625" style="13"/>
    <col min="11228" max="11228" width="5.140625" style="13" customWidth="1"/>
    <col min="11229" max="11229" width="32.42578125" style="13" customWidth="1"/>
    <col min="11230" max="11232" width="10.28515625" style="13" customWidth="1"/>
    <col min="11233" max="11234" width="12.42578125" style="13" customWidth="1"/>
    <col min="11235" max="11235" width="11.28515625" style="13" customWidth="1"/>
    <col min="11236" max="11236" width="12.42578125" style="13" customWidth="1"/>
    <col min="11237" max="11237" width="11.28515625" style="13" customWidth="1"/>
    <col min="11238" max="11238" width="12.42578125" style="13" customWidth="1"/>
    <col min="11239" max="11239" width="11.28515625" style="13" customWidth="1"/>
    <col min="11240" max="11240" width="12.42578125" style="13" customWidth="1"/>
    <col min="11241" max="11241" width="11.28515625" style="13" customWidth="1"/>
    <col min="11242" max="11242" width="12.42578125" style="13" customWidth="1"/>
    <col min="11243" max="11243" width="11.28515625" style="13" customWidth="1"/>
    <col min="11244" max="11244" width="14.140625" style="13" customWidth="1"/>
    <col min="11245" max="11245" width="10.28515625" style="13" customWidth="1"/>
    <col min="11246" max="11246" width="17.140625" style="13" customWidth="1"/>
    <col min="11247" max="11247" width="12" style="13" customWidth="1"/>
    <col min="11248" max="11248" width="14.140625" style="13" customWidth="1"/>
    <col min="11249" max="11249" width="10.28515625" style="13" customWidth="1"/>
    <col min="11250" max="11250" width="17.140625" style="13" customWidth="1"/>
    <col min="11251" max="11251" width="12" style="13" customWidth="1"/>
    <col min="11252" max="11252" width="10.7109375" style="13" customWidth="1"/>
    <col min="11253" max="11255" width="0" style="13" hidden="1" customWidth="1"/>
    <col min="11256" max="11483" width="9.140625" style="13"/>
    <col min="11484" max="11484" width="5.140625" style="13" customWidth="1"/>
    <col min="11485" max="11485" width="32.42578125" style="13" customWidth="1"/>
    <col min="11486" max="11488" width="10.28515625" style="13" customWidth="1"/>
    <col min="11489" max="11490" width="12.42578125" style="13" customWidth="1"/>
    <col min="11491" max="11491" width="11.28515625" style="13" customWidth="1"/>
    <col min="11492" max="11492" width="12.42578125" style="13" customWidth="1"/>
    <col min="11493" max="11493" width="11.28515625" style="13" customWidth="1"/>
    <col min="11494" max="11494" width="12.42578125" style="13" customWidth="1"/>
    <col min="11495" max="11495" width="11.28515625" style="13" customWidth="1"/>
    <col min="11496" max="11496" width="12.42578125" style="13" customWidth="1"/>
    <col min="11497" max="11497" width="11.28515625" style="13" customWidth="1"/>
    <col min="11498" max="11498" width="12.42578125" style="13" customWidth="1"/>
    <col min="11499" max="11499" width="11.28515625" style="13" customWidth="1"/>
    <col min="11500" max="11500" width="14.140625" style="13" customWidth="1"/>
    <col min="11501" max="11501" width="10.28515625" style="13" customWidth="1"/>
    <col min="11502" max="11502" width="17.140625" style="13" customWidth="1"/>
    <col min="11503" max="11503" width="12" style="13" customWidth="1"/>
    <col min="11504" max="11504" width="14.140625" style="13" customWidth="1"/>
    <col min="11505" max="11505" width="10.28515625" style="13" customWidth="1"/>
    <col min="11506" max="11506" width="17.140625" style="13" customWidth="1"/>
    <col min="11507" max="11507" width="12" style="13" customWidth="1"/>
    <col min="11508" max="11508" width="10.7109375" style="13" customWidth="1"/>
    <col min="11509" max="11511" width="0" style="13" hidden="1" customWidth="1"/>
    <col min="11512" max="11739" width="9.140625" style="13"/>
    <col min="11740" max="11740" width="5.140625" style="13" customWidth="1"/>
    <col min="11741" max="11741" width="32.42578125" style="13" customWidth="1"/>
    <col min="11742" max="11744" width="10.28515625" style="13" customWidth="1"/>
    <col min="11745" max="11746" width="12.42578125" style="13" customWidth="1"/>
    <col min="11747" max="11747" width="11.28515625" style="13" customWidth="1"/>
    <col min="11748" max="11748" width="12.42578125" style="13" customWidth="1"/>
    <col min="11749" max="11749" width="11.28515625" style="13" customWidth="1"/>
    <col min="11750" max="11750" width="12.42578125" style="13" customWidth="1"/>
    <col min="11751" max="11751" width="11.28515625" style="13" customWidth="1"/>
    <col min="11752" max="11752" width="12.42578125" style="13" customWidth="1"/>
    <col min="11753" max="11753" width="11.28515625" style="13" customWidth="1"/>
    <col min="11754" max="11754" width="12.42578125" style="13" customWidth="1"/>
    <col min="11755" max="11755" width="11.28515625" style="13" customWidth="1"/>
    <col min="11756" max="11756" width="14.140625" style="13" customWidth="1"/>
    <col min="11757" max="11757" width="10.28515625" style="13" customWidth="1"/>
    <col min="11758" max="11758" width="17.140625" style="13" customWidth="1"/>
    <col min="11759" max="11759" width="12" style="13" customWidth="1"/>
    <col min="11760" max="11760" width="14.140625" style="13" customWidth="1"/>
    <col min="11761" max="11761" width="10.28515625" style="13" customWidth="1"/>
    <col min="11762" max="11762" width="17.140625" style="13" customWidth="1"/>
    <col min="11763" max="11763" width="12" style="13" customWidth="1"/>
    <col min="11764" max="11764" width="10.7109375" style="13" customWidth="1"/>
    <col min="11765" max="11767" width="0" style="13" hidden="1" customWidth="1"/>
    <col min="11768" max="11995" width="9.140625" style="13"/>
    <col min="11996" max="11996" width="5.140625" style="13" customWidth="1"/>
    <col min="11997" max="11997" width="32.42578125" style="13" customWidth="1"/>
    <col min="11998" max="12000" width="10.28515625" style="13" customWidth="1"/>
    <col min="12001" max="12002" width="12.42578125" style="13" customWidth="1"/>
    <col min="12003" max="12003" width="11.28515625" style="13" customWidth="1"/>
    <col min="12004" max="12004" width="12.42578125" style="13" customWidth="1"/>
    <col min="12005" max="12005" width="11.28515625" style="13" customWidth="1"/>
    <col min="12006" max="12006" width="12.42578125" style="13" customWidth="1"/>
    <col min="12007" max="12007" width="11.28515625" style="13" customWidth="1"/>
    <col min="12008" max="12008" width="12.42578125" style="13" customWidth="1"/>
    <col min="12009" max="12009" width="11.28515625" style="13" customWidth="1"/>
    <col min="12010" max="12010" width="12.42578125" style="13" customWidth="1"/>
    <col min="12011" max="12011" width="11.28515625" style="13" customWidth="1"/>
    <col min="12012" max="12012" width="14.140625" style="13" customWidth="1"/>
    <col min="12013" max="12013" width="10.28515625" style="13" customWidth="1"/>
    <col min="12014" max="12014" width="17.140625" style="13" customWidth="1"/>
    <col min="12015" max="12015" width="12" style="13" customWidth="1"/>
    <col min="12016" max="12016" width="14.140625" style="13" customWidth="1"/>
    <col min="12017" max="12017" width="10.28515625" style="13" customWidth="1"/>
    <col min="12018" max="12018" width="17.140625" style="13" customWidth="1"/>
    <col min="12019" max="12019" width="12" style="13" customWidth="1"/>
    <col min="12020" max="12020" width="10.7109375" style="13" customWidth="1"/>
    <col min="12021" max="12023" width="0" style="13" hidden="1" customWidth="1"/>
    <col min="12024" max="12251" width="9.140625" style="13"/>
    <col min="12252" max="12252" width="5.140625" style="13" customWidth="1"/>
    <col min="12253" max="12253" width="32.42578125" style="13" customWidth="1"/>
    <col min="12254" max="12256" width="10.28515625" style="13" customWidth="1"/>
    <col min="12257" max="12258" width="12.42578125" style="13" customWidth="1"/>
    <col min="12259" max="12259" width="11.28515625" style="13" customWidth="1"/>
    <col min="12260" max="12260" width="12.42578125" style="13" customWidth="1"/>
    <col min="12261" max="12261" width="11.28515625" style="13" customWidth="1"/>
    <col min="12262" max="12262" width="12.42578125" style="13" customWidth="1"/>
    <col min="12263" max="12263" width="11.28515625" style="13" customWidth="1"/>
    <col min="12264" max="12264" width="12.42578125" style="13" customWidth="1"/>
    <col min="12265" max="12265" width="11.28515625" style="13" customWidth="1"/>
    <col min="12266" max="12266" width="12.42578125" style="13" customWidth="1"/>
    <col min="12267" max="12267" width="11.28515625" style="13" customWidth="1"/>
    <col min="12268" max="12268" width="14.140625" style="13" customWidth="1"/>
    <col min="12269" max="12269" width="10.28515625" style="13" customWidth="1"/>
    <col min="12270" max="12270" width="17.140625" style="13" customWidth="1"/>
    <col min="12271" max="12271" width="12" style="13" customWidth="1"/>
    <col min="12272" max="12272" width="14.140625" style="13" customWidth="1"/>
    <col min="12273" max="12273" width="10.28515625" style="13" customWidth="1"/>
    <col min="12274" max="12274" width="17.140625" style="13" customWidth="1"/>
    <col min="12275" max="12275" width="12" style="13" customWidth="1"/>
    <col min="12276" max="12276" width="10.7109375" style="13" customWidth="1"/>
    <col min="12277" max="12279" width="0" style="13" hidden="1" customWidth="1"/>
    <col min="12280" max="12507" width="9.140625" style="13"/>
    <col min="12508" max="12508" width="5.140625" style="13" customWidth="1"/>
    <col min="12509" max="12509" width="32.42578125" style="13" customWidth="1"/>
    <col min="12510" max="12512" width="10.28515625" style="13" customWidth="1"/>
    <col min="12513" max="12514" width="12.42578125" style="13" customWidth="1"/>
    <col min="12515" max="12515" width="11.28515625" style="13" customWidth="1"/>
    <col min="12516" max="12516" width="12.42578125" style="13" customWidth="1"/>
    <col min="12517" max="12517" width="11.28515625" style="13" customWidth="1"/>
    <col min="12518" max="12518" width="12.42578125" style="13" customWidth="1"/>
    <col min="12519" max="12519" width="11.28515625" style="13" customWidth="1"/>
    <col min="12520" max="12520" width="12.42578125" style="13" customWidth="1"/>
    <col min="12521" max="12521" width="11.28515625" style="13" customWidth="1"/>
    <col min="12522" max="12522" width="12.42578125" style="13" customWidth="1"/>
    <col min="12523" max="12523" width="11.28515625" style="13" customWidth="1"/>
    <col min="12524" max="12524" width="14.140625" style="13" customWidth="1"/>
    <col min="12525" max="12525" width="10.28515625" style="13" customWidth="1"/>
    <col min="12526" max="12526" width="17.140625" style="13" customWidth="1"/>
    <col min="12527" max="12527" width="12" style="13" customWidth="1"/>
    <col min="12528" max="12528" width="14.140625" style="13" customWidth="1"/>
    <col min="12529" max="12529" width="10.28515625" style="13" customWidth="1"/>
    <col min="12530" max="12530" width="17.140625" style="13" customWidth="1"/>
    <col min="12531" max="12531" width="12" style="13" customWidth="1"/>
    <col min="12532" max="12532" width="10.7109375" style="13" customWidth="1"/>
    <col min="12533" max="12535" width="0" style="13" hidden="1" customWidth="1"/>
    <col min="12536" max="12763" width="9.140625" style="13"/>
    <col min="12764" max="12764" width="5.140625" style="13" customWidth="1"/>
    <col min="12765" max="12765" width="32.42578125" style="13" customWidth="1"/>
    <col min="12766" max="12768" width="10.28515625" style="13" customWidth="1"/>
    <col min="12769" max="12770" width="12.42578125" style="13" customWidth="1"/>
    <col min="12771" max="12771" width="11.28515625" style="13" customWidth="1"/>
    <col min="12772" max="12772" width="12.42578125" style="13" customWidth="1"/>
    <col min="12773" max="12773" width="11.28515625" style="13" customWidth="1"/>
    <col min="12774" max="12774" width="12.42578125" style="13" customWidth="1"/>
    <col min="12775" max="12775" width="11.28515625" style="13" customWidth="1"/>
    <col min="12776" max="12776" width="12.42578125" style="13" customWidth="1"/>
    <col min="12777" max="12777" width="11.28515625" style="13" customWidth="1"/>
    <col min="12778" max="12778" width="12.42578125" style="13" customWidth="1"/>
    <col min="12779" max="12779" width="11.28515625" style="13" customWidth="1"/>
    <col min="12780" max="12780" width="14.140625" style="13" customWidth="1"/>
    <col min="12781" max="12781" width="10.28515625" style="13" customWidth="1"/>
    <col min="12782" max="12782" width="17.140625" style="13" customWidth="1"/>
    <col min="12783" max="12783" width="12" style="13" customWidth="1"/>
    <col min="12784" max="12784" width="14.140625" style="13" customWidth="1"/>
    <col min="12785" max="12785" width="10.28515625" style="13" customWidth="1"/>
    <col min="12786" max="12786" width="17.140625" style="13" customWidth="1"/>
    <col min="12787" max="12787" width="12" style="13" customWidth="1"/>
    <col min="12788" max="12788" width="10.7109375" style="13" customWidth="1"/>
    <col min="12789" max="12791" width="0" style="13" hidden="1" customWidth="1"/>
    <col min="12792" max="13019" width="9.140625" style="13"/>
    <col min="13020" max="13020" width="5.140625" style="13" customWidth="1"/>
    <col min="13021" max="13021" width="32.42578125" style="13" customWidth="1"/>
    <col min="13022" max="13024" width="10.28515625" style="13" customWidth="1"/>
    <col min="13025" max="13026" width="12.42578125" style="13" customWidth="1"/>
    <col min="13027" max="13027" width="11.28515625" style="13" customWidth="1"/>
    <col min="13028" max="13028" width="12.42578125" style="13" customWidth="1"/>
    <col min="13029" max="13029" width="11.28515625" style="13" customWidth="1"/>
    <col min="13030" max="13030" width="12.42578125" style="13" customWidth="1"/>
    <col min="13031" max="13031" width="11.28515625" style="13" customWidth="1"/>
    <col min="13032" max="13032" width="12.42578125" style="13" customWidth="1"/>
    <col min="13033" max="13033" width="11.28515625" style="13" customWidth="1"/>
    <col min="13034" max="13034" width="12.42578125" style="13" customWidth="1"/>
    <col min="13035" max="13035" width="11.28515625" style="13" customWidth="1"/>
    <col min="13036" max="13036" width="14.140625" style="13" customWidth="1"/>
    <col min="13037" max="13037" width="10.28515625" style="13" customWidth="1"/>
    <col min="13038" max="13038" width="17.140625" style="13" customWidth="1"/>
    <col min="13039" max="13039" width="12" style="13" customWidth="1"/>
    <col min="13040" max="13040" width="14.140625" style="13" customWidth="1"/>
    <col min="13041" max="13041" width="10.28515625" style="13" customWidth="1"/>
    <col min="13042" max="13042" width="17.140625" style="13" customWidth="1"/>
    <col min="13043" max="13043" width="12" style="13" customWidth="1"/>
    <col min="13044" max="13044" width="10.7109375" style="13" customWidth="1"/>
    <col min="13045" max="13047" width="0" style="13" hidden="1" customWidth="1"/>
    <col min="13048" max="13275" width="9.140625" style="13"/>
    <col min="13276" max="13276" width="5.140625" style="13" customWidth="1"/>
    <col min="13277" max="13277" width="32.42578125" style="13" customWidth="1"/>
    <col min="13278" max="13280" width="10.28515625" style="13" customWidth="1"/>
    <col min="13281" max="13282" width="12.42578125" style="13" customWidth="1"/>
    <col min="13283" max="13283" width="11.28515625" style="13" customWidth="1"/>
    <col min="13284" max="13284" width="12.42578125" style="13" customWidth="1"/>
    <col min="13285" max="13285" width="11.28515625" style="13" customWidth="1"/>
    <col min="13286" max="13286" width="12.42578125" style="13" customWidth="1"/>
    <col min="13287" max="13287" width="11.28515625" style="13" customWidth="1"/>
    <col min="13288" max="13288" width="12.42578125" style="13" customWidth="1"/>
    <col min="13289" max="13289" width="11.28515625" style="13" customWidth="1"/>
    <col min="13290" max="13290" width="12.42578125" style="13" customWidth="1"/>
    <col min="13291" max="13291" width="11.28515625" style="13" customWidth="1"/>
    <col min="13292" max="13292" width="14.140625" style="13" customWidth="1"/>
    <col min="13293" max="13293" width="10.28515625" style="13" customWidth="1"/>
    <col min="13294" max="13294" width="17.140625" style="13" customWidth="1"/>
    <col min="13295" max="13295" width="12" style="13" customWidth="1"/>
    <col min="13296" max="13296" width="14.140625" style="13" customWidth="1"/>
    <col min="13297" max="13297" width="10.28515625" style="13" customWidth="1"/>
    <col min="13298" max="13298" width="17.140625" style="13" customWidth="1"/>
    <col min="13299" max="13299" width="12" style="13" customWidth="1"/>
    <col min="13300" max="13300" width="10.7109375" style="13" customWidth="1"/>
    <col min="13301" max="13303" width="0" style="13" hidden="1" customWidth="1"/>
    <col min="13304" max="13531" width="9.140625" style="13"/>
    <col min="13532" max="13532" width="5.140625" style="13" customWidth="1"/>
    <col min="13533" max="13533" width="32.42578125" style="13" customWidth="1"/>
    <col min="13534" max="13536" width="10.28515625" style="13" customWidth="1"/>
    <col min="13537" max="13538" width="12.42578125" style="13" customWidth="1"/>
    <col min="13539" max="13539" width="11.28515625" style="13" customWidth="1"/>
    <col min="13540" max="13540" width="12.42578125" style="13" customWidth="1"/>
    <col min="13541" max="13541" width="11.28515625" style="13" customWidth="1"/>
    <col min="13542" max="13542" width="12.42578125" style="13" customWidth="1"/>
    <col min="13543" max="13543" width="11.28515625" style="13" customWidth="1"/>
    <col min="13544" max="13544" width="12.42578125" style="13" customWidth="1"/>
    <col min="13545" max="13545" width="11.28515625" style="13" customWidth="1"/>
    <col min="13546" max="13546" width="12.42578125" style="13" customWidth="1"/>
    <col min="13547" max="13547" width="11.28515625" style="13" customWidth="1"/>
    <col min="13548" max="13548" width="14.140625" style="13" customWidth="1"/>
    <col min="13549" max="13549" width="10.28515625" style="13" customWidth="1"/>
    <col min="13550" max="13550" width="17.140625" style="13" customWidth="1"/>
    <col min="13551" max="13551" width="12" style="13" customWidth="1"/>
    <col min="13552" max="13552" width="14.140625" style="13" customWidth="1"/>
    <col min="13553" max="13553" width="10.28515625" style="13" customWidth="1"/>
    <col min="13554" max="13554" width="17.140625" style="13" customWidth="1"/>
    <col min="13555" max="13555" width="12" style="13" customWidth="1"/>
    <col min="13556" max="13556" width="10.7109375" style="13" customWidth="1"/>
    <col min="13557" max="13559" width="0" style="13" hidden="1" customWidth="1"/>
    <col min="13560" max="13787" width="9.140625" style="13"/>
    <col min="13788" max="13788" width="5.140625" style="13" customWidth="1"/>
    <col min="13789" max="13789" width="32.42578125" style="13" customWidth="1"/>
    <col min="13790" max="13792" width="10.28515625" style="13" customWidth="1"/>
    <col min="13793" max="13794" width="12.42578125" style="13" customWidth="1"/>
    <col min="13795" max="13795" width="11.28515625" style="13" customWidth="1"/>
    <col min="13796" max="13796" width="12.42578125" style="13" customWidth="1"/>
    <col min="13797" max="13797" width="11.28515625" style="13" customWidth="1"/>
    <col min="13798" max="13798" width="12.42578125" style="13" customWidth="1"/>
    <col min="13799" max="13799" width="11.28515625" style="13" customWidth="1"/>
    <col min="13800" max="13800" width="12.42578125" style="13" customWidth="1"/>
    <col min="13801" max="13801" width="11.28515625" style="13" customWidth="1"/>
    <col min="13802" max="13802" width="12.42578125" style="13" customWidth="1"/>
    <col min="13803" max="13803" width="11.28515625" style="13" customWidth="1"/>
    <col min="13804" max="13804" width="14.140625" style="13" customWidth="1"/>
    <col min="13805" max="13805" width="10.28515625" style="13" customWidth="1"/>
    <col min="13806" max="13806" width="17.140625" style="13" customWidth="1"/>
    <col min="13807" max="13807" width="12" style="13" customWidth="1"/>
    <col min="13808" max="13808" width="14.140625" style="13" customWidth="1"/>
    <col min="13809" max="13809" width="10.28515625" style="13" customWidth="1"/>
    <col min="13810" max="13810" width="17.140625" style="13" customWidth="1"/>
    <col min="13811" max="13811" width="12" style="13" customWidth="1"/>
    <col min="13812" max="13812" width="10.7109375" style="13" customWidth="1"/>
    <col min="13813" max="13815" width="0" style="13" hidden="1" customWidth="1"/>
    <col min="13816" max="14043" width="9.140625" style="13"/>
    <col min="14044" max="14044" width="5.140625" style="13" customWidth="1"/>
    <col min="14045" max="14045" width="32.42578125" style="13" customWidth="1"/>
    <col min="14046" max="14048" width="10.28515625" style="13" customWidth="1"/>
    <col min="14049" max="14050" width="12.42578125" style="13" customWidth="1"/>
    <col min="14051" max="14051" width="11.28515625" style="13" customWidth="1"/>
    <col min="14052" max="14052" width="12.42578125" style="13" customWidth="1"/>
    <col min="14053" max="14053" width="11.28515625" style="13" customWidth="1"/>
    <col min="14054" max="14054" width="12.42578125" style="13" customWidth="1"/>
    <col min="14055" max="14055" width="11.28515625" style="13" customWidth="1"/>
    <col min="14056" max="14056" width="12.42578125" style="13" customWidth="1"/>
    <col min="14057" max="14057" width="11.28515625" style="13" customWidth="1"/>
    <col min="14058" max="14058" width="12.42578125" style="13" customWidth="1"/>
    <col min="14059" max="14059" width="11.28515625" style="13" customWidth="1"/>
    <col min="14060" max="14060" width="14.140625" style="13" customWidth="1"/>
    <col min="14061" max="14061" width="10.28515625" style="13" customWidth="1"/>
    <col min="14062" max="14062" width="17.140625" style="13" customWidth="1"/>
    <col min="14063" max="14063" width="12" style="13" customWidth="1"/>
    <col min="14064" max="14064" width="14.140625" style="13" customWidth="1"/>
    <col min="14065" max="14065" width="10.28515625" style="13" customWidth="1"/>
    <col min="14066" max="14066" width="17.140625" style="13" customWidth="1"/>
    <col min="14067" max="14067" width="12" style="13" customWidth="1"/>
    <col min="14068" max="14068" width="10.7109375" style="13" customWidth="1"/>
    <col min="14069" max="14071" width="0" style="13" hidden="1" customWidth="1"/>
    <col min="14072" max="14299" width="9.140625" style="13"/>
    <col min="14300" max="14300" width="5.140625" style="13" customWidth="1"/>
    <col min="14301" max="14301" width="32.42578125" style="13" customWidth="1"/>
    <col min="14302" max="14304" width="10.28515625" style="13" customWidth="1"/>
    <col min="14305" max="14306" width="12.42578125" style="13" customWidth="1"/>
    <col min="14307" max="14307" width="11.28515625" style="13" customWidth="1"/>
    <col min="14308" max="14308" width="12.42578125" style="13" customWidth="1"/>
    <col min="14309" max="14309" width="11.28515625" style="13" customWidth="1"/>
    <col min="14310" max="14310" width="12.42578125" style="13" customWidth="1"/>
    <col min="14311" max="14311" width="11.28515625" style="13" customWidth="1"/>
    <col min="14312" max="14312" width="12.42578125" style="13" customWidth="1"/>
    <col min="14313" max="14313" width="11.28515625" style="13" customWidth="1"/>
    <col min="14314" max="14314" width="12.42578125" style="13" customWidth="1"/>
    <col min="14315" max="14315" width="11.28515625" style="13" customWidth="1"/>
    <col min="14316" max="14316" width="14.140625" style="13" customWidth="1"/>
    <col min="14317" max="14317" width="10.28515625" style="13" customWidth="1"/>
    <col min="14318" max="14318" width="17.140625" style="13" customWidth="1"/>
    <col min="14319" max="14319" width="12" style="13" customWidth="1"/>
    <col min="14320" max="14320" width="14.140625" style="13" customWidth="1"/>
    <col min="14321" max="14321" width="10.28515625" style="13" customWidth="1"/>
    <col min="14322" max="14322" width="17.140625" style="13" customWidth="1"/>
    <col min="14323" max="14323" width="12" style="13" customWidth="1"/>
    <col min="14324" max="14324" width="10.7109375" style="13" customWidth="1"/>
    <col min="14325" max="14327" width="0" style="13" hidden="1" customWidth="1"/>
    <col min="14328" max="14555" width="9.140625" style="13"/>
    <col min="14556" max="14556" width="5.140625" style="13" customWidth="1"/>
    <col min="14557" max="14557" width="32.42578125" style="13" customWidth="1"/>
    <col min="14558" max="14560" width="10.28515625" style="13" customWidth="1"/>
    <col min="14561" max="14562" width="12.42578125" style="13" customWidth="1"/>
    <col min="14563" max="14563" width="11.28515625" style="13" customWidth="1"/>
    <col min="14564" max="14564" width="12.42578125" style="13" customWidth="1"/>
    <col min="14565" max="14565" width="11.28515625" style="13" customWidth="1"/>
    <col min="14566" max="14566" width="12.42578125" style="13" customWidth="1"/>
    <col min="14567" max="14567" width="11.28515625" style="13" customWidth="1"/>
    <col min="14568" max="14568" width="12.42578125" style="13" customWidth="1"/>
    <col min="14569" max="14569" width="11.28515625" style="13" customWidth="1"/>
    <col min="14570" max="14570" width="12.42578125" style="13" customWidth="1"/>
    <col min="14571" max="14571" width="11.28515625" style="13" customWidth="1"/>
    <col min="14572" max="14572" width="14.140625" style="13" customWidth="1"/>
    <col min="14573" max="14573" width="10.28515625" style="13" customWidth="1"/>
    <col min="14574" max="14574" width="17.140625" style="13" customWidth="1"/>
    <col min="14575" max="14575" width="12" style="13" customWidth="1"/>
    <col min="14576" max="14576" width="14.140625" style="13" customWidth="1"/>
    <col min="14577" max="14577" width="10.28515625" style="13" customWidth="1"/>
    <col min="14578" max="14578" width="17.140625" style="13" customWidth="1"/>
    <col min="14579" max="14579" width="12" style="13" customWidth="1"/>
    <col min="14580" max="14580" width="10.7109375" style="13" customWidth="1"/>
    <col min="14581" max="14583" width="0" style="13" hidden="1" customWidth="1"/>
    <col min="14584" max="14811" width="9.140625" style="13"/>
    <col min="14812" max="14812" width="5.140625" style="13" customWidth="1"/>
    <col min="14813" max="14813" width="32.42578125" style="13" customWidth="1"/>
    <col min="14814" max="14816" width="10.28515625" style="13" customWidth="1"/>
    <col min="14817" max="14818" width="12.42578125" style="13" customWidth="1"/>
    <col min="14819" max="14819" width="11.28515625" style="13" customWidth="1"/>
    <col min="14820" max="14820" width="12.42578125" style="13" customWidth="1"/>
    <col min="14821" max="14821" width="11.28515625" style="13" customWidth="1"/>
    <col min="14822" max="14822" width="12.42578125" style="13" customWidth="1"/>
    <col min="14823" max="14823" width="11.28515625" style="13" customWidth="1"/>
    <col min="14824" max="14824" width="12.42578125" style="13" customWidth="1"/>
    <col min="14825" max="14825" width="11.28515625" style="13" customWidth="1"/>
    <col min="14826" max="14826" width="12.42578125" style="13" customWidth="1"/>
    <col min="14827" max="14827" width="11.28515625" style="13" customWidth="1"/>
    <col min="14828" max="14828" width="14.140625" style="13" customWidth="1"/>
    <col min="14829" max="14829" width="10.28515625" style="13" customWidth="1"/>
    <col min="14830" max="14830" width="17.140625" style="13" customWidth="1"/>
    <col min="14831" max="14831" width="12" style="13" customWidth="1"/>
    <col min="14832" max="14832" width="14.140625" style="13" customWidth="1"/>
    <col min="14833" max="14833" width="10.28515625" style="13" customWidth="1"/>
    <col min="14834" max="14834" width="17.140625" style="13" customWidth="1"/>
    <col min="14835" max="14835" width="12" style="13" customWidth="1"/>
    <col min="14836" max="14836" width="10.7109375" style="13" customWidth="1"/>
    <col min="14837" max="14839" width="0" style="13" hidden="1" customWidth="1"/>
    <col min="14840" max="15067" width="9.140625" style="13"/>
    <col min="15068" max="15068" width="5.140625" style="13" customWidth="1"/>
    <col min="15069" max="15069" width="32.42578125" style="13" customWidth="1"/>
    <col min="15070" max="15072" width="10.28515625" style="13" customWidth="1"/>
    <col min="15073" max="15074" width="12.42578125" style="13" customWidth="1"/>
    <col min="15075" max="15075" width="11.28515625" style="13" customWidth="1"/>
    <col min="15076" max="15076" width="12.42578125" style="13" customWidth="1"/>
    <col min="15077" max="15077" width="11.28515625" style="13" customWidth="1"/>
    <col min="15078" max="15078" width="12.42578125" style="13" customWidth="1"/>
    <col min="15079" max="15079" width="11.28515625" style="13" customWidth="1"/>
    <col min="15080" max="15080" width="12.42578125" style="13" customWidth="1"/>
    <col min="15081" max="15081" width="11.28515625" style="13" customWidth="1"/>
    <col min="15082" max="15082" width="12.42578125" style="13" customWidth="1"/>
    <col min="15083" max="15083" width="11.28515625" style="13" customWidth="1"/>
    <col min="15084" max="15084" width="14.140625" style="13" customWidth="1"/>
    <col min="15085" max="15085" width="10.28515625" style="13" customWidth="1"/>
    <col min="15086" max="15086" width="17.140625" style="13" customWidth="1"/>
    <col min="15087" max="15087" width="12" style="13" customWidth="1"/>
    <col min="15088" max="15088" width="14.140625" style="13" customWidth="1"/>
    <col min="15089" max="15089" width="10.28515625" style="13" customWidth="1"/>
    <col min="15090" max="15090" width="17.140625" style="13" customWidth="1"/>
    <col min="15091" max="15091" width="12" style="13" customWidth="1"/>
    <col min="15092" max="15092" width="10.7109375" style="13" customWidth="1"/>
    <col min="15093" max="15095" width="0" style="13" hidden="1" customWidth="1"/>
    <col min="15096" max="15323" width="9.140625" style="13"/>
    <col min="15324" max="15324" width="5.140625" style="13" customWidth="1"/>
    <col min="15325" max="15325" width="32.42578125" style="13" customWidth="1"/>
    <col min="15326" max="15328" width="10.28515625" style="13" customWidth="1"/>
    <col min="15329" max="15330" width="12.42578125" style="13" customWidth="1"/>
    <col min="15331" max="15331" width="11.28515625" style="13" customWidth="1"/>
    <col min="15332" max="15332" width="12.42578125" style="13" customWidth="1"/>
    <col min="15333" max="15333" width="11.28515625" style="13" customWidth="1"/>
    <col min="15334" max="15334" width="12.42578125" style="13" customWidth="1"/>
    <col min="15335" max="15335" width="11.28515625" style="13" customWidth="1"/>
    <col min="15336" max="15336" width="12.42578125" style="13" customWidth="1"/>
    <col min="15337" max="15337" width="11.28515625" style="13" customWidth="1"/>
    <col min="15338" max="15338" width="12.42578125" style="13" customWidth="1"/>
    <col min="15339" max="15339" width="11.28515625" style="13" customWidth="1"/>
    <col min="15340" max="15340" width="14.140625" style="13" customWidth="1"/>
    <col min="15341" max="15341" width="10.28515625" style="13" customWidth="1"/>
    <col min="15342" max="15342" width="17.140625" style="13" customWidth="1"/>
    <col min="15343" max="15343" width="12" style="13" customWidth="1"/>
    <col min="15344" max="15344" width="14.140625" style="13" customWidth="1"/>
    <col min="15345" max="15345" width="10.28515625" style="13" customWidth="1"/>
    <col min="15346" max="15346" width="17.140625" style="13" customWidth="1"/>
    <col min="15347" max="15347" width="12" style="13" customWidth="1"/>
    <col min="15348" max="15348" width="10.7109375" style="13" customWidth="1"/>
    <col min="15349" max="15351" width="0" style="13" hidden="1" customWidth="1"/>
    <col min="15352" max="15579" width="9.140625" style="13"/>
    <col min="15580" max="15580" width="5.140625" style="13" customWidth="1"/>
    <col min="15581" max="15581" width="32.42578125" style="13" customWidth="1"/>
    <col min="15582" max="15584" width="10.28515625" style="13" customWidth="1"/>
    <col min="15585" max="15586" width="12.42578125" style="13" customWidth="1"/>
    <col min="15587" max="15587" width="11.28515625" style="13" customWidth="1"/>
    <col min="15588" max="15588" width="12.42578125" style="13" customWidth="1"/>
    <col min="15589" max="15589" width="11.28515625" style="13" customWidth="1"/>
    <col min="15590" max="15590" width="12.42578125" style="13" customWidth="1"/>
    <col min="15591" max="15591" width="11.28515625" style="13" customWidth="1"/>
    <col min="15592" max="15592" width="12.42578125" style="13" customWidth="1"/>
    <col min="15593" max="15593" width="11.28515625" style="13" customWidth="1"/>
    <col min="15594" max="15594" width="12.42578125" style="13" customWidth="1"/>
    <col min="15595" max="15595" width="11.28515625" style="13" customWidth="1"/>
    <col min="15596" max="15596" width="14.140625" style="13" customWidth="1"/>
    <col min="15597" max="15597" width="10.28515625" style="13" customWidth="1"/>
    <col min="15598" max="15598" width="17.140625" style="13" customWidth="1"/>
    <col min="15599" max="15599" width="12" style="13" customWidth="1"/>
    <col min="15600" max="15600" width="14.140625" style="13" customWidth="1"/>
    <col min="15601" max="15601" width="10.28515625" style="13" customWidth="1"/>
    <col min="15602" max="15602" width="17.140625" style="13" customWidth="1"/>
    <col min="15603" max="15603" width="12" style="13" customWidth="1"/>
    <col min="15604" max="15604" width="10.7109375" style="13" customWidth="1"/>
    <col min="15605" max="15607" width="0" style="13" hidden="1" customWidth="1"/>
    <col min="15608" max="15835" width="9.140625" style="13"/>
    <col min="15836" max="15836" width="5.140625" style="13" customWidth="1"/>
    <col min="15837" max="15837" width="32.42578125" style="13" customWidth="1"/>
    <col min="15838" max="15840" width="10.28515625" style="13" customWidth="1"/>
    <col min="15841" max="15842" width="12.42578125" style="13" customWidth="1"/>
    <col min="15843" max="15843" width="11.28515625" style="13" customWidth="1"/>
    <col min="15844" max="15844" width="12.42578125" style="13" customWidth="1"/>
    <col min="15845" max="15845" width="11.28515625" style="13" customWidth="1"/>
    <col min="15846" max="15846" width="12.42578125" style="13" customWidth="1"/>
    <col min="15847" max="15847" width="11.28515625" style="13" customWidth="1"/>
    <col min="15848" max="15848" width="12.42578125" style="13" customWidth="1"/>
    <col min="15849" max="15849" width="11.28515625" style="13" customWidth="1"/>
    <col min="15850" max="15850" width="12.42578125" style="13" customWidth="1"/>
    <col min="15851" max="15851" width="11.28515625" style="13" customWidth="1"/>
    <col min="15852" max="15852" width="14.140625" style="13" customWidth="1"/>
    <col min="15853" max="15853" width="10.28515625" style="13" customWidth="1"/>
    <col min="15854" max="15854" width="17.140625" style="13" customWidth="1"/>
    <col min="15855" max="15855" width="12" style="13" customWidth="1"/>
    <col min="15856" max="15856" width="14.140625" style="13" customWidth="1"/>
    <col min="15857" max="15857" width="10.28515625" style="13" customWidth="1"/>
    <col min="15858" max="15858" width="17.140625" style="13" customWidth="1"/>
    <col min="15859" max="15859" width="12" style="13" customWidth="1"/>
    <col min="15860" max="15860" width="10.7109375" style="13" customWidth="1"/>
    <col min="15861" max="15863" width="0" style="13" hidden="1" customWidth="1"/>
    <col min="15864" max="16091" width="9.140625" style="13"/>
    <col min="16092" max="16092" width="5.140625" style="13" customWidth="1"/>
    <col min="16093" max="16093" width="32.42578125" style="13" customWidth="1"/>
    <col min="16094" max="16096" width="10.28515625" style="13" customWidth="1"/>
    <col min="16097" max="16098" width="12.42578125" style="13" customWidth="1"/>
    <col min="16099" max="16099" width="11.28515625" style="13" customWidth="1"/>
    <col min="16100" max="16100" width="12.42578125" style="13" customWidth="1"/>
    <col min="16101" max="16101" width="11.28515625" style="13" customWidth="1"/>
    <col min="16102" max="16102" width="12.42578125" style="13" customWidth="1"/>
    <col min="16103" max="16103" width="11.28515625" style="13" customWidth="1"/>
    <col min="16104" max="16104" width="12.42578125" style="13" customWidth="1"/>
    <col min="16105" max="16105" width="11.28515625" style="13" customWidth="1"/>
    <col min="16106" max="16106" width="12.42578125" style="13" customWidth="1"/>
    <col min="16107" max="16107" width="11.28515625" style="13" customWidth="1"/>
    <col min="16108" max="16108" width="14.140625" style="13" customWidth="1"/>
    <col min="16109" max="16109" width="10.28515625" style="13" customWidth="1"/>
    <col min="16110" max="16110" width="17.140625" style="13" customWidth="1"/>
    <col min="16111" max="16111" width="12" style="13" customWidth="1"/>
    <col min="16112" max="16112" width="14.140625" style="13" customWidth="1"/>
    <col min="16113" max="16113" width="10.28515625" style="13" customWidth="1"/>
    <col min="16114" max="16114" width="17.140625" style="13" customWidth="1"/>
    <col min="16115" max="16115" width="12" style="13" customWidth="1"/>
    <col min="16116" max="16116" width="10.7109375" style="13" customWidth="1"/>
    <col min="16117" max="16119" width="0" style="13" hidden="1" customWidth="1"/>
    <col min="16120" max="16384" width="9.140625" style="13"/>
  </cols>
  <sheetData>
    <row r="1" spans="1:23" ht="29.25" customHeight="1">
      <c r="A1" s="1711" t="s">
        <v>2394</v>
      </c>
      <c r="B1" s="1711"/>
      <c r="C1" s="1711"/>
      <c r="D1" s="1711"/>
      <c r="E1" s="1711"/>
      <c r="F1" s="1711"/>
      <c r="G1" s="1711"/>
      <c r="H1" s="1711"/>
      <c r="I1" s="1711"/>
      <c r="J1" s="1711"/>
      <c r="K1" s="1711"/>
      <c r="L1" s="1711"/>
      <c r="M1" s="1711"/>
    </row>
    <row r="2" spans="1:23" ht="27.75" customHeight="1">
      <c r="A2" s="1243" t="s">
        <v>2609</v>
      </c>
      <c r="B2" s="1645"/>
      <c r="C2" s="1645"/>
      <c r="D2" s="1645"/>
      <c r="E2" s="1645"/>
      <c r="F2" s="1645"/>
      <c r="G2" s="1645"/>
      <c r="H2" s="1645"/>
      <c r="I2" s="1645"/>
      <c r="J2" s="1645"/>
      <c r="K2" s="1645"/>
      <c r="L2" s="1645"/>
      <c r="M2" s="1645"/>
    </row>
    <row r="3" spans="1:23" ht="20.25" customHeight="1">
      <c r="A3" s="1718" t="s">
        <v>3</v>
      </c>
      <c r="B3" s="1718"/>
      <c r="C3" s="1718"/>
      <c r="D3" s="1718"/>
      <c r="E3" s="1718"/>
      <c r="F3" s="1718"/>
      <c r="G3" s="1718"/>
      <c r="H3" s="1718"/>
      <c r="I3" s="1718"/>
      <c r="J3" s="1718"/>
      <c r="K3" s="1718"/>
      <c r="L3" s="1718"/>
      <c r="M3" s="1718"/>
      <c r="N3" s="1718"/>
      <c r="O3" s="1718"/>
      <c r="P3" s="1718"/>
      <c r="Q3" s="1718"/>
      <c r="R3" s="1718"/>
      <c r="S3" s="1718"/>
      <c r="T3" s="1718"/>
      <c r="U3" s="1718"/>
      <c r="V3" s="1718"/>
    </row>
    <row r="4" spans="1:23" s="1585" customFormat="1" ht="30" customHeight="1">
      <c r="A4" s="1712" t="s">
        <v>22</v>
      </c>
      <c r="B4" s="1712" t="s">
        <v>23</v>
      </c>
      <c r="C4" s="1712" t="s">
        <v>24</v>
      </c>
      <c r="D4" s="1712" t="s">
        <v>290</v>
      </c>
      <c r="E4" s="1712" t="s">
        <v>1986</v>
      </c>
      <c r="F4" s="1715" t="s">
        <v>1987</v>
      </c>
      <c r="G4" s="1716"/>
      <c r="H4" s="1717"/>
      <c r="I4" s="1719" t="s">
        <v>279</v>
      </c>
      <c r="J4" s="1723"/>
      <c r="K4" s="1719" t="s">
        <v>280</v>
      </c>
      <c r="L4" s="1720"/>
      <c r="M4" s="1712" t="s">
        <v>281</v>
      </c>
      <c r="N4" s="1292"/>
      <c r="O4" s="1719" t="s">
        <v>279</v>
      </c>
      <c r="P4" s="1723"/>
      <c r="Q4" s="1719" t="s">
        <v>280</v>
      </c>
      <c r="R4" s="1720"/>
      <c r="S4" s="1712" t="s">
        <v>2417</v>
      </c>
      <c r="T4" s="1719" t="s">
        <v>2594</v>
      </c>
      <c r="U4" s="1720"/>
      <c r="V4" s="1712" t="s">
        <v>2554</v>
      </c>
      <c r="W4" s="1710" t="s">
        <v>7</v>
      </c>
    </row>
    <row r="5" spans="1:23" s="1585" customFormat="1" ht="45" customHeight="1">
      <c r="A5" s="1713"/>
      <c r="B5" s="1713"/>
      <c r="C5" s="1713"/>
      <c r="D5" s="1713"/>
      <c r="E5" s="1713"/>
      <c r="F5" s="1712" t="s">
        <v>30</v>
      </c>
      <c r="G5" s="1715" t="s">
        <v>31</v>
      </c>
      <c r="H5" s="1717"/>
      <c r="I5" s="1721"/>
      <c r="J5" s="1724"/>
      <c r="K5" s="1721"/>
      <c r="L5" s="1722"/>
      <c r="M5" s="1713"/>
      <c r="N5" s="1292"/>
      <c r="O5" s="1721"/>
      <c r="P5" s="1724"/>
      <c r="Q5" s="1721"/>
      <c r="R5" s="1722"/>
      <c r="S5" s="1713"/>
      <c r="T5" s="1721"/>
      <c r="U5" s="1722"/>
      <c r="V5" s="1713"/>
      <c r="W5" s="1710"/>
    </row>
    <row r="6" spans="1:23" s="1585" customFormat="1" ht="33.75" customHeight="1">
      <c r="A6" s="1713"/>
      <c r="B6" s="1713"/>
      <c r="C6" s="1713"/>
      <c r="D6" s="1713"/>
      <c r="E6" s="1713"/>
      <c r="F6" s="1713"/>
      <c r="G6" s="1712" t="s">
        <v>32</v>
      </c>
      <c r="H6" s="1712" t="s">
        <v>278</v>
      </c>
      <c r="I6" s="1712" t="s">
        <v>283</v>
      </c>
      <c r="J6" s="1712" t="s">
        <v>278</v>
      </c>
      <c r="K6" s="1712" t="s">
        <v>9</v>
      </c>
      <c r="L6" s="1712" t="s">
        <v>278</v>
      </c>
      <c r="M6" s="1713"/>
      <c r="N6" s="1292"/>
      <c r="O6" s="1712" t="s">
        <v>283</v>
      </c>
      <c r="P6" s="1712" t="s">
        <v>278</v>
      </c>
      <c r="Q6" s="1712" t="s">
        <v>9</v>
      </c>
      <c r="R6" s="1712" t="s">
        <v>278</v>
      </c>
      <c r="S6" s="1713"/>
      <c r="T6" s="1712" t="s">
        <v>9</v>
      </c>
      <c r="U6" s="1712" t="s">
        <v>278</v>
      </c>
      <c r="V6" s="1713"/>
      <c r="W6" s="1710"/>
    </row>
    <row r="7" spans="1:23" s="1585" customFormat="1" ht="33.75" customHeight="1">
      <c r="A7" s="1713"/>
      <c r="B7" s="1713"/>
      <c r="C7" s="1713"/>
      <c r="D7" s="1713"/>
      <c r="E7" s="1713"/>
      <c r="F7" s="1713"/>
      <c r="G7" s="1713"/>
      <c r="H7" s="1713"/>
      <c r="I7" s="1713"/>
      <c r="J7" s="1713"/>
      <c r="K7" s="1713"/>
      <c r="L7" s="1713"/>
      <c r="M7" s="1713"/>
      <c r="N7" s="1292"/>
      <c r="O7" s="1713"/>
      <c r="P7" s="1713"/>
      <c r="Q7" s="1713"/>
      <c r="R7" s="1713"/>
      <c r="S7" s="1713"/>
      <c r="T7" s="1713"/>
      <c r="U7" s="1713"/>
      <c r="V7" s="1713"/>
      <c r="W7" s="1710"/>
    </row>
    <row r="8" spans="1:23" s="1585" customFormat="1">
      <c r="A8" s="1714"/>
      <c r="B8" s="1714"/>
      <c r="C8" s="1714"/>
      <c r="D8" s="1714"/>
      <c r="E8" s="1714"/>
      <c r="F8" s="1714"/>
      <c r="G8" s="1714"/>
      <c r="H8" s="1714"/>
      <c r="I8" s="1714"/>
      <c r="J8" s="1714"/>
      <c r="K8" s="1714"/>
      <c r="L8" s="1714"/>
      <c r="M8" s="1714"/>
      <c r="N8" s="1292"/>
      <c r="O8" s="1714"/>
      <c r="P8" s="1714"/>
      <c r="Q8" s="1714"/>
      <c r="R8" s="1714"/>
      <c r="S8" s="1714"/>
      <c r="T8" s="1714"/>
      <c r="U8" s="1714"/>
      <c r="V8" s="1714"/>
      <c r="W8" s="1710"/>
    </row>
    <row r="9" spans="1:23" s="20" customFormat="1" ht="30.75" customHeight="1">
      <c r="A9" s="95">
        <v>1</v>
      </c>
      <c r="B9" s="95">
        <f>A9+1</f>
        <v>2</v>
      </c>
      <c r="C9" s="95">
        <f>B9+1</f>
        <v>3</v>
      </c>
      <c r="D9" s="95">
        <f t="shared" ref="D9:L9" si="0">C9+1</f>
        <v>4</v>
      </c>
      <c r="E9" s="95">
        <f t="shared" si="0"/>
        <v>5</v>
      </c>
      <c r="F9" s="95">
        <f t="shared" si="0"/>
        <v>6</v>
      </c>
      <c r="G9" s="95">
        <f t="shared" si="0"/>
        <v>7</v>
      </c>
      <c r="H9" s="95">
        <f t="shared" si="0"/>
        <v>8</v>
      </c>
      <c r="I9" s="95">
        <f t="shared" si="0"/>
        <v>9</v>
      </c>
      <c r="J9" s="95">
        <f t="shared" si="0"/>
        <v>10</v>
      </c>
      <c r="K9" s="95">
        <f t="shared" si="0"/>
        <v>11</v>
      </c>
      <c r="L9" s="95">
        <f t="shared" si="0"/>
        <v>12</v>
      </c>
      <c r="M9" s="95">
        <f t="shared" ref="M9" si="1">L9+1</f>
        <v>13</v>
      </c>
      <c r="N9" s="1544"/>
      <c r="O9" s="1227">
        <v>9</v>
      </c>
      <c r="P9" s="1227">
        <v>10</v>
      </c>
      <c r="Q9" s="1227">
        <v>11</v>
      </c>
      <c r="R9" s="1227">
        <v>12</v>
      </c>
      <c r="S9" s="1227">
        <v>13</v>
      </c>
      <c r="T9" s="1227">
        <v>9</v>
      </c>
      <c r="U9" s="1227">
        <v>10</v>
      </c>
      <c r="V9" s="1227">
        <v>11</v>
      </c>
      <c r="W9" s="1227">
        <v>12</v>
      </c>
    </row>
    <row r="10" spans="1:23" s="20" customFormat="1">
      <c r="A10" s="1227"/>
      <c r="B10" s="1228" t="s">
        <v>13</v>
      </c>
      <c r="C10" s="1227"/>
      <c r="D10" s="1227"/>
      <c r="E10" s="1227"/>
      <c r="F10" s="1227"/>
      <c r="G10" s="204">
        <f t="shared" ref="G10:L10" si="2">SUBTOTAL(109,G11:G19)</f>
        <v>50294</v>
      </c>
      <c r="H10" s="204">
        <f t="shared" si="2"/>
        <v>50294</v>
      </c>
      <c r="I10" s="204">
        <f t="shared" si="2"/>
        <v>22541.4</v>
      </c>
      <c r="J10" s="204">
        <f t="shared" si="2"/>
        <v>22541.4</v>
      </c>
      <c r="K10" s="204">
        <f t="shared" si="2"/>
        <v>7453.2</v>
      </c>
      <c r="L10" s="204">
        <f t="shared" si="2"/>
        <v>7453.2</v>
      </c>
      <c r="M10" s="204">
        <f>SUBTOTAL(109,M11:M34)</f>
        <v>17488.400000000001</v>
      </c>
      <c r="O10" s="204">
        <f t="shared" ref="O10:V10" si="3">SUBTOTAL(109,O11:O34)</f>
        <v>24942.2</v>
      </c>
      <c r="P10" s="204">
        <f t="shared" si="3"/>
        <v>24942.2</v>
      </c>
      <c r="Q10" s="204">
        <f t="shared" si="3"/>
        <v>7453.2</v>
      </c>
      <c r="R10" s="204">
        <f t="shared" si="3"/>
        <v>7453.2</v>
      </c>
      <c r="S10" s="204">
        <f t="shared" si="3"/>
        <v>17488</v>
      </c>
      <c r="T10" s="204">
        <f t="shared" si="3"/>
        <v>24941.200000000001</v>
      </c>
      <c r="U10" s="204">
        <f t="shared" si="3"/>
        <v>24941.200000000001</v>
      </c>
      <c r="V10" s="204">
        <f t="shared" si="3"/>
        <v>20323.400000000001</v>
      </c>
      <c r="W10" s="1231"/>
    </row>
    <row r="11" spans="1:23" ht="87.75" customHeight="1">
      <c r="A11" s="1213">
        <v>1</v>
      </c>
      <c r="B11" s="1214" t="s">
        <v>361</v>
      </c>
      <c r="C11" s="1216" t="str">
        <f>VLOOKUP($B11,DATA!$B$7:$AV$679,6,0)</f>
        <v>Quảng Bình</v>
      </c>
      <c r="D11" s="1230">
        <f>VLOOKUP($B11,DATA!$B$7:$AV$679,7,0)</f>
        <v>2019</v>
      </c>
      <c r="E11" s="1230">
        <f>VLOOKUP($B11,DATA!$B$7:$AV$679,9,0)</f>
        <v>2021</v>
      </c>
      <c r="F11" s="1216" t="str">
        <f>VLOOKUP($B11,DATA!$B$7:$AV$679,12,0)</f>
        <v>3740/QĐ-UBND ngày 30/10/2018</v>
      </c>
      <c r="G11" s="1217">
        <f>VLOOKUP($B11,DATA!$B$7:$AV$679,13,0)</f>
        <v>4994</v>
      </c>
      <c r="H11" s="1217">
        <f>VLOOKUP($B11,DATA!$B$7:$AV$679,15,0)</f>
        <v>4994</v>
      </c>
      <c r="I11" s="1217">
        <f>VLOOKUP($B11,DATA!$B$7:$AV$679,29,0)</f>
        <v>2996.4</v>
      </c>
      <c r="J11" s="1217">
        <f>VLOOKUP($B11,DATA!$B$7:$AV$679,30,0)</f>
        <v>2996.4</v>
      </c>
      <c r="K11" s="1217">
        <f>VLOOKUP($B11,DATA!$B$7:$AV$679,35,0)</f>
        <v>1498.2</v>
      </c>
      <c r="L11" s="1217">
        <f>VLOOKUP($B11,DATA!$B$7:$AV$679,36,0)</f>
        <v>1498.2</v>
      </c>
      <c r="M11" s="1217">
        <f>(H11-L11)*0.5+1158</f>
        <v>2905.9</v>
      </c>
      <c r="N11" s="59"/>
      <c r="O11" s="1563">
        <v>4404.2</v>
      </c>
      <c r="P11" s="1563">
        <v>4404.2</v>
      </c>
      <c r="Q11" s="1563">
        <v>1498.2</v>
      </c>
      <c r="R11" s="1563">
        <v>1498.2</v>
      </c>
      <c r="S11" s="1563">
        <v>2905</v>
      </c>
      <c r="T11" s="1563">
        <f>Q11+S11</f>
        <v>4403.2</v>
      </c>
      <c r="U11" s="1563">
        <f>R11+S11</f>
        <v>4403.2</v>
      </c>
      <c r="V11" s="1563">
        <f>H11*0.9-T11</f>
        <v>91.400000000000546</v>
      </c>
      <c r="W11" s="1218"/>
    </row>
    <row r="12" spans="1:23" ht="51" customHeight="1">
      <c r="A12" s="1213">
        <v>2</v>
      </c>
      <c r="B12" s="1214" t="s">
        <v>365</v>
      </c>
      <c r="C12" s="1216" t="str">
        <f>VLOOKUP($B12,DATA!$B$7:$AV$679,6,0)</f>
        <v>Quảng Bình</v>
      </c>
      <c r="D12" s="1230">
        <f>VLOOKUP($B12,DATA!$B$7:$AV$679,7,0)</f>
        <v>2019</v>
      </c>
      <c r="E12" s="1230">
        <f>VLOOKUP($B12,DATA!$B$7:$AV$679,9,0)</f>
        <v>2021</v>
      </c>
      <c r="F12" s="1216" t="str">
        <f>VLOOKUP($B12,DATA!$B$7:$AV$679,12,0)</f>
        <v>3719/QĐ-UBND ngày 30/10/2018</v>
      </c>
      <c r="G12" s="1217">
        <f>VLOOKUP($B12,DATA!$B$7:$AV$679,13,0)</f>
        <v>5000</v>
      </c>
      <c r="H12" s="1217">
        <f>VLOOKUP($B12,DATA!$B$7:$AV$679,15,0)</f>
        <v>5000</v>
      </c>
      <c r="I12" s="1217">
        <f>VLOOKUP($B12,DATA!$B$7:$AV$679,29,0)</f>
        <v>3000</v>
      </c>
      <c r="J12" s="1217">
        <f>VLOOKUP($B12,DATA!$B$7:$AV$679,30,0)</f>
        <v>3000</v>
      </c>
      <c r="K12" s="1217">
        <f>VLOOKUP($B12,DATA!$B$7:$AV$679,35,0)</f>
        <v>1500</v>
      </c>
      <c r="L12" s="1217">
        <f>VLOOKUP($B12,DATA!$B$7:$AV$679,36,0)</f>
        <v>1500</v>
      </c>
      <c r="M12" s="1217">
        <f>(H12-L12)*0.5</f>
        <v>1750</v>
      </c>
      <c r="N12" s="59"/>
      <c r="O12" s="1563">
        <v>3250</v>
      </c>
      <c r="P12" s="1563">
        <v>3250</v>
      </c>
      <c r="Q12" s="1563">
        <v>1500</v>
      </c>
      <c r="R12" s="1563">
        <v>1500</v>
      </c>
      <c r="S12" s="1563">
        <v>1750</v>
      </c>
      <c r="T12" s="1563">
        <f t="shared" ref="T12:T13" si="4">Q12+S12</f>
        <v>3250</v>
      </c>
      <c r="U12" s="1563">
        <f t="shared" ref="U12:U13" si="5">R12+S12</f>
        <v>3250</v>
      </c>
      <c r="V12" s="1563">
        <f t="shared" ref="V12:V13" si="6">H12*0.9-T12</f>
        <v>1250</v>
      </c>
      <c r="W12" s="1218"/>
    </row>
    <row r="13" spans="1:23" ht="90.75" customHeight="1">
      <c r="A13" s="1213">
        <v>3</v>
      </c>
      <c r="B13" s="547" t="s">
        <v>357</v>
      </c>
      <c r="C13" s="1216" t="str">
        <f>VLOOKUP($B13,DATA!$B$7:$AV$679,6,0)</f>
        <v>Đồng Hới</v>
      </c>
      <c r="D13" s="1230">
        <f>VLOOKUP($B13,DATA!$B$7:$AV$679,7,0)</f>
        <v>2019</v>
      </c>
      <c r="E13" s="1230">
        <f>VLOOKUP($B13,DATA!$B$7:$AV$679,9,0)</f>
        <v>2021</v>
      </c>
      <c r="F13" s="1216" t="str">
        <f>VLOOKUP($B13,DATA!$B$7:$AV$679,12,0)</f>
        <v>3715/QĐ-UBND ngày 30/10/2018</v>
      </c>
      <c r="G13" s="1217">
        <f>VLOOKUP($B13,DATA!$B$7:$AV$679,13,0)</f>
        <v>14850</v>
      </c>
      <c r="H13" s="1217">
        <f>VLOOKUP($B13,DATA!$B$7:$AV$679,15,0)</f>
        <v>14850</v>
      </c>
      <c r="I13" s="1217">
        <f>VLOOKUP($B13,DATA!$B$7:$AV$679,29,0)</f>
        <v>8910</v>
      </c>
      <c r="J13" s="1217">
        <f>VLOOKUP($B13,DATA!$B$7:$AV$679,30,0)</f>
        <v>8910</v>
      </c>
      <c r="K13" s="1217">
        <f>VLOOKUP($B13,DATA!$B$7:$AV$679,35,0)</f>
        <v>4455</v>
      </c>
      <c r="L13" s="1217">
        <f>VLOOKUP($B13,DATA!$B$7:$AV$679,36,0)</f>
        <v>4455</v>
      </c>
      <c r="M13" s="1217">
        <f>(H13-L13)*0.5</f>
        <v>5197.5</v>
      </c>
      <c r="N13" s="59"/>
      <c r="O13" s="1563">
        <v>9653</v>
      </c>
      <c r="P13" s="1563">
        <v>9653</v>
      </c>
      <c r="Q13" s="1563">
        <v>4455</v>
      </c>
      <c r="R13" s="1563">
        <v>4455</v>
      </c>
      <c r="S13" s="1563">
        <v>5198</v>
      </c>
      <c r="T13" s="1563">
        <f t="shared" si="4"/>
        <v>9653</v>
      </c>
      <c r="U13" s="1563">
        <f t="shared" si="5"/>
        <v>9653</v>
      </c>
      <c r="V13" s="1563">
        <f t="shared" si="6"/>
        <v>3712</v>
      </c>
      <c r="W13" s="1218"/>
    </row>
    <row r="14" spans="1:23" ht="77.25" customHeight="1">
      <c r="A14" s="1213">
        <v>4</v>
      </c>
      <c r="B14" s="1460" t="s">
        <v>2290</v>
      </c>
      <c r="C14" s="1216" t="str">
        <f>VLOOKUP($B14,DATA!$B$7:$AV$679,6,0)</f>
        <v>Quảng Bình</v>
      </c>
      <c r="D14" s="1230">
        <f>VLOOKUP($B14,DATA!$B$7:$AV$679,7,0)</f>
        <v>2020</v>
      </c>
      <c r="E14" s="1230">
        <f>VLOOKUP($B14,DATA!$B$7:$AV$679,9,0)</f>
        <v>2022</v>
      </c>
      <c r="F14" s="1216" t="str">
        <f>VLOOKUP($B14,DATA!$B$7:$AV$679,12,0)</f>
        <v>4240/QĐ-UBND ngày 30/10/2019</v>
      </c>
      <c r="G14" s="1217">
        <f>VLOOKUP($B14,DATA!$B$7:$AV$679,13,0)</f>
        <v>3500</v>
      </c>
      <c r="H14" s="1217">
        <f>VLOOKUP($B14,DATA!$B$7:$AV$679,15,0)</f>
        <v>3500</v>
      </c>
      <c r="I14" s="1217">
        <f>VLOOKUP($B14,DATA!$B$7:$AV$679,29,0)</f>
        <v>1050</v>
      </c>
      <c r="J14" s="1217">
        <f>VLOOKUP($B14,DATA!$B$7:$AV$679,30,0)</f>
        <v>1050</v>
      </c>
      <c r="K14" s="1217">
        <f>VLOOKUP($B14,DATA!$B$7:$AV$679,35,0)</f>
        <v>0</v>
      </c>
      <c r="L14" s="1217">
        <f>VLOOKUP($B14,DATA!$B$7:$AV$679,36,0)</f>
        <v>0</v>
      </c>
      <c r="M14" s="1217">
        <f>H14*0.3</f>
        <v>1050</v>
      </c>
      <c r="N14" s="59"/>
      <c r="O14" s="1563">
        <v>1050</v>
      </c>
      <c r="P14" s="1563">
        <v>1050</v>
      </c>
      <c r="Q14" s="1563"/>
      <c r="R14" s="1563"/>
      <c r="S14" s="1563">
        <v>1050</v>
      </c>
      <c r="T14" s="1563">
        <f t="shared" ref="T14:T17" si="7">Q14+S14</f>
        <v>1050</v>
      </c>
      <c r="U14" s="1563">
        <f t="shared" ref="U14:U17" si="8">R14+S14</f>
        <v>1050</v>
      </c>
      <c r="V14" s="1563">
        <f>H14*0.9-T14</f>
        <v>2100</v>
      </c>
      <c r="W14" s="1218"/>
    </row>
    <row r="15" spans="1:23" ht="48.75" customHeight="1">
      <c r="A15" s="1213">
        <v>5</v>
      </c>
      <c r="B15" s="1460" t="s">
        <v>2291</v>
      </c>
      <c r="C15" s="1216" t="str">
        <f>VLOOKUP($B15,DATA!$B$7:$AV$679,6,0)</f>
        <v>Đồng Hới</v>
      </c>
      <c r="D15" s="1230">
        <f>VLOOKUP($B15,DATA!$B$7:$AV$679,7,0)</f>
        <v>2020</v>
      </c>
      <c r="E15" s="1230">
        <f>VLOOKUP($B15,DATA!$B$7:$AV$679,9,0)</f>
        <v>2022</v>
      </c>
      <c r="F15" s="1216" t="str">
        <f>VLOOKUP($B15,DATA!$B$7:$AV$679,12,0)</f>
        <v>4192/QĐ-UBND ngày 30/10/2019</v>
      </c>
      <c r="G15" s="1217">
        <f>VLOOKUP($B15,DATA!$B$7:$AV$679,13,0)</f>
        <v>10950</v>
      </c>
      <c r="H15" s="1217">
        <f>VLOOKUP($B15,DATA!$B$7:$AV$679,15,0)</f>
        <v>10950</v>
      </c>
      <c r="I15" s="1217">
        <f>VLOOKUP($B15,DATA!$B$7:$AV$679,29,0)</f>
        <v>3285</v>
      </c>
      <c r="J15" s="1217">
        <f>VLOOKUP($B15,DATA!$B$7:$AV$679,30,0)</f>
        <v>3285</v>
      </c>
      <c r="K15" s="1217">
        <f>VLOOKUP($B15,DATA!$B$7:$AV$679,35,0)</f>
        <v>0</v>
      </c>
      <c r="L15" s="1217">
        <f>VLOOKUP($B15,DATA!$B$7:$AV$679,36,0)</f>
        <v>0</v>
      </c>
      <c r="M15" s="1217">
        <f t="shared" ref="M15:M17" si="9">H15*0.3</f>
        <v>3285</v>
      </c>
      <c r="N15" s="59"/>
      <c r="O15" s="1563">
        <v>3285</v>
      </c>
      <c r="P15" s="1563">
        <v>3285</v>
      </c>
      <c r="Q15" s="1563"/>
      <c r="R15" s="1563"/>
      <c r="S15" s="1563">
        <v>3285</v>
      </c>
      <c r="T15" s="1563">
        <f t="shared" si="7"/>
        <v>3285</v>
      </c>
      <c r="U15" s="1563">
        <f t="shared" si="8"/>
        <v>3285</v>
      </c>
      <c r="V15" s="1563">
        <f t="shared" ref="V15:V17" si="10">H15*0.9-T15</f>
        <v>6570</v>
      </c>
      <c r="W15" s="1218"/>
    </row>
    <row r="16" spans="1:23" ht="60.75" customHeight="1">
      <c r="A16" s="1213">
        <v>6</v>
      </c>
      <c r="B16" s="1460" t="s">
        <v>2390</v>
      </c>
      <c r="C16" s="1216" t="str">
        <f>VLOOKUP($B16,DATA!$B$7:$AV$679,6,0)</f>
        <v>Đồng Hới</v>
      </c>
      <c r="D16" s="1230">
        <f>VLOOKUP($B16,DATA!$B$7:$AV$679,7,0)</f>
        <v>2020</v>
      </c>
      <c r="E16" s="1230">
        <f>VLOOKUP($B16,DATA!$B$7:$AV$679,9,0)</f>
        <v>2022</v>
      </c>
      <c r="F16" s="1216" t="str">
        <f>VLOOKUP($B16,DATA!$B$7:$AV$679,12,0)</f>
        <v>4100/QĐ-UBND ngày 29/10/2019</v>
      </c>
      <c r="G16" s="1217">
        <f>VLOOKUP($B16,DATA!$B$7:$AV$679,13,0)</f>
        <v>7000</v>
      </c>
      <c r="H16" s="1217">
        <f>VLOOKUP($B16,DATA!$B$7:$AV$679,15,0)</f>
        <v>7000</v>
      </c>
      <c r="I16" s="1217">
        <f>VLOOKUP($B16,DATA!$B$7:$AV$679,29,0)</f>
        <v>2100</v>
      </c>
      <c r="J16" s="1217">
        <f>VLOOKUP($B16,DATA!$B$7:$AV$679,30,0)</f>
        <v>2100</v>
      </c>
      <c r="K16" s="1217">
        <f>VLOOKUP($B16,DATA!$B$7:$AV$679,35,0)</f>
        <v>0</v>
      </c>
      <c r="L16" s="1217">
        <f>VLOOKUP($B16,DATA!$B$7:$AV$679,36,0)</f>
        <v>0</v>
      </c>
      <c r="M16" s="1217">
        <f>H16*0.3</f>
        <v>2100</v>
      </c>
      <c r="N16" s="59"/>
      <c r="O16" s="1563">
        <v>2100</v>
      </c>
      <c r="P16" s="1563">
        <v>2100</v>
      </c>
      <c r="Q16" s="1563"/>
      <c r="R16" s="1563"/>
      <c r="S16" s="1563">
        <v>2100</v>
      </c>
      <c r="T16" s="1563">
        <f t="shared" si="7"/>
        <v>2100</v>
      </c>
      <c r="U16" s="1563">
        <f t="shared" si="8"/>
        <v>2100</v>
      </c>
      <c r="V16" s="1563">
        <f t="shared" si="10"/>
        <v>4200</v>
      </c>
      <c r="W16" s="1218"/>
    </row>
    <row r="17" spans="1:23" ht="71.25" customHeight="1">
      <c r="A17" s="1213">
        <v>7</v>
      </c>
      <c r="B17" s="1449" t="s">
        <v>2572</v>
      </c>
      <c r="C17" s="1216" t="str">
        <f>VLOOKUP($B17,DATA!$B$7:$AV$679,6,0)</f>
        <v>Quảng Bình</v>
      </c>
      <c r="D17" s="1230">
        <f>VLOOKUP($B17,DATA!$B$7:$AV$679,7,0)</f>
        <v>2020</v>
      </c>
      <c r="E17" s="1230">
        <f>VLOOKUP($B17,DATA!$B$7:$AV$679,9,0)</f>
        <v>2022</v>
      </c>
      <c r="F17" s="1216" t="str">
        <f>VLOOKUP($B17,DATA!$B$7:$AV$679,12,0)</f>
        <v>110/NQ-HĐND ngày 8/7/2020</v>
      </c>
      <c r="G17" s="1217">
        <f>VLOOKUP($B17,DATA!$B$7:$AV$679,13,0)</f>
        <v>4000</v>
      </c>
      <c r="H17" s="1217">
        <f>VLOOKUP($B17,DATA!$B$7:$AV$679,15,0)</f>
        <v>4000</v>
      </c>
      <c r="I17" s="1217">
        <f>VLOOKUP($B17,DATA!$B$7:$AV$679,29,0)</f>
        <v>1200</v>
      </c>
      <c r="J17" s="1217">
        <f>VLOOKUP($B17,DATA!$B$7:$AV$679,30,0)</f>
        <v>1200</v>
      </c>
      <c r="K17" s="1217">
        <f>VLOOKUP($B17,DATA!$B$7:$AV$679,35,0)</f>
        <v>0</v>
      </c>
      <c r="L17" s="1217">
        <f>VLOOKUP($B17,DATA!$B$7:$AV$679,36,0)</f>
        <v>0</v>
      </c>
      <c r="M17" s="1217">
        <f t="shared" si="9"/>
        <v>1200</v>
      </c>
      <c r="N17" s="59"/>
      <c r="O17" s="1563">
        <v>1200</v>
      </c>
      <c r="P17" s="1563">
        <v>1200</v>
      </c>
      <c r="Q17" s="1563"/>
      <c r="R17" s="1563"/>
      <c r="S17" s="1563">
        <v>1200</v>
      </c>
      <c r="T17" s="1563">
        <f t="shared" si="7"/>
        <v>1200</v>
      </c>
      <c r="U17" s="1563">
        <f t="shared" si="8"/>
        <v>1200</v>
      </c>
      <c r="V17" s="1563">
        <f t="shared" si="10"/>
        <v>2400</v>
      </c>
      <c r="W17" s="1218"/>
    </row>
    <row r="18" spans="1:23">
      <c r="A18" s="13"/>
      <c r="B18" s="202"/>
      <c r="C18" s="13"/>
      <c r="D18" s="13"/>
      <c r="E18" s="13"/>
      <c r="F18" s="200"/>
      <c r="G18" s="13"/>
      <c r="H18" s="13"/>
      <c r="I18" s="13"/>
      <c r="J18" s="13"/>
      <c r="K18" s="13"/>
      <c r="L18" s="13"/>
      <c r="M18" s="13"/>
    </row>
    <row r="19" spans="1:23">
      <c r="A19" s="13"/>
      <c r="B19" s="202"/>
      <c r="C19" s="13"/>
      <c r="D19" s="13"/>
      <c r="E19" s="13"/>
      <c r="F19" s="200"/>
      <c r="G19" s="13"/>
      <c r="H19" s="13"/>
      <c r="I19" s="13"/>
      <c r="J19" s="13"/>
      <c r="K19" s="13"/>
      <c r="L19" s="13"/>
      <c r="M19" s="1535"/>
    </row>
    <row r="20" spans="1:23">
      <c r="A20" s="13"/>
      <c r="B20" s="202"/>
      <c r="C20" s="13"/>
      <c r="D20" s="13"/>
      <c r="E20" s="13"/>
      <c r="F20" s="200"/>
      <c r="G20" s="13"/>
      <c r="H20" s="13"/>
      <c r="I20" s="13"/>
      <c r="J20" s="13"/>
      <c r="K20" s="13"/>
      <c r="L20" s="13"/>
      <c r="M20" s="13"/>
    </row>
    <row r="21" spans="1:23">
      <c r="A21" s="13"/>
      <c r="B21" s="202"/>
      <c r="C21" s="13"/>
      <c r="D21" s="13"/>
      <c r="E21" s="13"/>
      <c r="F21" s="200"/>
      <c r="G21" s="13"/>
      <c r="H21" s="13"/>
      <c r="I21" s="13"/>
      <c r="J21" s="13"/>
      <c r="K21" s="13"/>
      <c r="L21" s="13"/>
      <c r="M21" s="13"/>
    </row>
    <row r="22" spans="1:23">
      <c r="A22" s="13"/>
      <c r="B22" s="202"/>
      <c r="C22" s="13"/>
      <c r="D22" s="13"/>
      <c r="E22" s="13"/>
      <c r="F22" s="200"/>
      <c r="G22" s="13"/>
      <c r="H22" s="13"/>
      <c r="I22" s="13"/>
      <c r="J22" s="13"/>
      <c r="K22" s="13"/>
      <c r="L22" s="13"/>
      <c r="M22" s="13"/>
    </row>
    <row r="23" spans="1:23">
      <c r="A23" s="13"/>
      <c r="B23" s="202"/>
      <c r="C23" s="13"/>
      <c r="D23" s="13"/>
      <c r="E23" s="13"/>
      <c r="F23" s="200"/>
      <c r="G23" s="13"/>
      <c r="H23" s="13"/>
      <c r="I23" s="13"/>
      <c r="J23" s="13"/>
      <c r="K23" s="13"/>
      <c r="L23" s="13"/>
      <c r="M23" s="13"/>
    </row>
    <row r="24" spans="1:23">
      <c r="A24" s="13"/>
      <c r="B24" s="202"/>
      <c r="C24" s="13"/>
      <c r="D24" s="13"/>
      <c r="E24" s="13"/>
      <c r="F24" s="200"/>
      <c r="G24" s="13"/>
      <c r="H24" s="13"/>
      <c r="I24" s="13"/>
      <c r="J24" s="13"/>
      <c r="K24" s="13"/>
      <c r="L24" s="13"/>
      <c r="M24" s="13"/>
    </row>
    <row r="25" spans="1:23">
      <c r="A25" s="13"/>
      <c r="B25" s="202"/>
      <c r="C25" s="13"/>
      <c r="D25" s="13"/>
      <c r="E25" s="13"/>
      <c r="F25" s="200"/>
      <c r="G25" s="13"/>
      <c r="H25" s="13"/>
      <c r="I25" s="13"/>
      <c r="J25" s="13"/>
      <c r="K25" s="13"/>
      <c r="L25" s="13"/>
      <c r="M25" s="13"/>
    </row>
    <row r="26" spans="1:23">
      <c r="A26" s="13"/>
      <c r="B26" s="202"/>
      <c r="C26" s="13"/>
      <c r="D26" s="13"/>
      <c r="E26" s="13"/>
      <c r="F26" s="200"/>
      <c r="G26" s="13"/>
      <c r="H26" s="13"/>
      <c r="I26" s="13"/>
      <c r="J26" s="13"/>
      <c r="K26" s="13"/>
      <c r="L26" s="13"/>
      <c r="M26" s="13"/>
    </row>
    <row r="27" spans="1:23">
      <c r="A27" s="13"/>
      <c r="B27" s="202"/>
      <c r="C27" s="13"/>
      <c r="D27" s="13"/>
      <c r="E27" s="13"/>
      <c r="F27" s="200"/>
      <c r="G27" s="13"/>
      <c r="H27" s="13"/>
      <c r="I27" s="13"/>
      <c r="J27" s="13"/>
      <c r="K27" s="13"/>
      <c r="L27" s="13"/>
      <c r="M27" s="13"/>
    </row>
    <row r="28" spans="1:23">
      <c r="A28" s="13"/>
      <c r="B28" s="202"/>
      <c r="C28" s="13"/>
      <c r="D28" s="13"/>
      <c r="E28" s="13"/>
      <c r="F28" s="200"/>
      <c r="G28" s="13"/>
      <c r="H28" s="13"/>
      <c r="I28" s="13"/>
      <c r="J28" s="13"/>
      <c r="K28" s="13"/>
      <c r="L28" s="13"/>
      <c r="M28" s="13"/>
    </row>
    <row r="29" spans="1:23">
      <c r="A29" s="13"/>
      <c r="B29" s="202"/>
      <c r="C29" s="13"/>
      <c r="D29" s="13"/>
      <c r="E29" s="13"/>
      <c r="F29" s="200"/>
      <c r="G29" s="13"/>
      <c r="H29" s="13"/>
      <c r="I29" s="13"/>
      <c r="J29" s="13"/>
      <c r="K29" s="13"/>
      <c r="L29" s="13"/>
      <c r="M29" s="13"/>
    </row>
    <row r="30" spans="1:23">
      <c r="A30" s="13"/>
      <c r="B30" s="202"/>
      <c r="C30" s="13"/>
      <c r="D30" s="13"/>
      <c r="E30" s="13"/>
      <c r="F30" s="200"/>
      <c r="G30" s="13"/>
      <c r="H30" s="13"/>
      <c r="I30" s="13"/>
      <c r="J30" s="13"/>
      <c r="K30" s="13"/>
      <c r="L30" s="13"/>
      <c r="M30" s="13"/>
    </row>
    <row r="31" spans="1:23">
      <c r="A31" s="13"/>
      <c r="B31" s="202"/>
      <c r="C31" s="13"/>
      <c r="D31" s="13"/>
      <c r="E31" s="13"/>
      <c r="F31" s="200"/>
      <c r="G31" s="13"/>
      <c r="H31" s="13"/>
      <c r="I31" s="13"/>
      <c r="J31" s="13"/>
      <c r="K31" s="13"/>
      <c r="L31" s="13"/>
      <c r="M31" s="13"/>
    </row>
    <row r="32" spans="1:23">
      <c r="A32" s="13"/>
      <c r="B32" s="202"/>
      <c r="C32" s="13"/>
      <c r="D32" s="13"/>
      <c r="E32" s="13"/>
      <c r="F32" s="200"/>
      <c r="G32" s="13"/>
      <c r="H32" s="13"/>
      <c r="I32" s="13"/>
      <c r="J32" s="13"/>
      <c r="K32" s="13"/>
      <c r="L32" s="13"/>
      <c r="M32" s="13"/>
    </row>
    <row r="33" spans="1:13">
      <c r="A33" s="13"/>
      <c r="B33" s="202"/>
      <c r="C33" s="13"/>
      <c r="D33" s="13"/>
      <c r="E33" s="13"/>
      <c r="F33" s="200"/>
      <c r="G33" s="13"/>
      <c r="H33" s="13"/>
      <c r="I33" s="13"/>
      <c r="J33" s="13"/>
      <c r="K33" s="13"/>
      <c r="L33" s="13"/>
      <c r="M33" s="13"/>
    </row>
    <row r="34" spans="1:13">
      <c r="A34" s="13"/>
      <c r="B34" s="202"/>
      <c r="C34" s="13"/>
      <c r="D34" s="13"/>
      <c r="E34" s="13"/>
      <c r="F34" s="200"/>
      <c r="G34" s="13"/>
      <c r="H34" s="13"/>
      <c r="I34" s="13"/>
      <c r="J34" s="13"/>
      <c r="K34" s="13"/>
      <c r="L34" s="13"/>
      <c r="M34" s="13"/>
    </row>
    <row r="35" spans="1:13">
      <c r="A35" s="13"/>
      <c r="B35" s="202"/>
      <c r="C35" s="13"/>
      <c r="D35" s="13"/>
      <c r="E35" s="13"/>
      <c r="F35" s="200"/>
      <c r="G35" s="13"/>
      <c r="H35" s="13"/>
      <c r="I35" s="13"/>
      <c r="J35" s="13"/>
      <c r="K35" s="13"/>
      <c r="L35" s="13"/>
      <c r="M35" s="13"/>
    </row>
    <row r="36" spans="1:13">
      <c r="A36" s="13"/>
      <c r="B36" s="202"/>
      <c r="C36" s="13"/>
      <c r="D36" s="13"/>
      <c r="E36" s="13"/>
      <c r="F36" s="200"/>
      <c r="G36" s="13"/>
      <c r="H36" s="13"/>
      <c r="I36" s="13"/>
      <c r="J36" s="13"/>
      <c r="K36" s="13"/>
      <c r="L36" s="13"/>
      <c r="M36" s="13"/>
    </row>
    <row r="37" spans="1:13">
      <c r="A37" s="13"/>
      <c r="B37" s="202"/>
      <c r="C37" s="13"/>
      <c r="D37" s="13"/>
      <c r="E37" s="13"/>
      <c r="F37" s="200"/>
      <c r="G37" s="13"/>
      <c r="H37" s="13"/>
      <c r="I37" s="13"/>
      <c r="J37" s="13"/>
      <c r="K37" s="13"/>
      <c r="L37" s="13"/>
      <c r="M37" s="13"/>
    </row>
    <row r="38" spans="1:13">
      <c r="A38" s="13"/>
      <c r="B38" s="202"/>
      <c r="C38" s="13"/>
      <c r="D38" s="13"/>
      <c r="E38" s="13"/>
      <c r="F38" s="200"/>
      <c r="G38" s="13"/>
      <c r="H38" s="13"/>
      <c r="I38" s="13"/>
      <c r="J38" s="13"/>
      <c r="K38" s="13"/>
      <c r="L38" s="13"/>
      <c r="M38" s="13"/>
    </row>
    <row r="39" spans="1:13">
      <c r="A39" s="13"/>
      <c r="B39" s="202"/>
      <c r="C39" s="13"/>
      <c r="D39" s="13"/>
      <c r="E39" s="13"/>
      <c r="F39" s="200"/>
      <c r="G39" s="13"/>
      <c r="H39" s="13"/>
      <c r="I39" s="13"/>
      <c r="J39" s="13"/>
      <c r="K39" s="13"/>
      <c r="L39" s="13"/>
      <c r="M39" s="13"/>
    </row>
    <row r="40" spans="1:13">
      <c r="A40" s="13"/>
      <c r="B40" s="202"/>
      <c r="C40" s="13"/>
      <c r="D40" s="13"/>
      <c r="E40" s="13"/>
      <c r="F40" s="200"/>
      <c r="G40" s="13"/>
      <c r="H40" s="13"/>
      <c r="I40" s="13"/>
      <c r="J40" s="13"/>
      <c r="K40" s="13"/>
      <c r="L40" s="13"/>
      <c r="M40" s="13"/>
    </row>
    <row r="41" spans="1:13">
      <c r="A41" s="13"/>
      <c r="B41" s="202"/>
      <c r="C41" s="13"/>
      <c r="D41" s="13"/>
      <c r="E41" s="13"/>
      <c r="F41" s="200"/>
      <c r="G41" s="13"/>
      <c r="H41" s="13"/>
      <c r="I41" s="13"/>
      <c r="J41" s="13"/>
      <c r="K41" s="13"/>
      <c r="L41" s="13"/>
      <c r="M41" s="13"/>
    </row>
    <row r="42" spans="1:13">
      <c r="A42" s="13"/>
      <c r="B42" s="202"/>
      <c r="C42" s="13"/>
      <c r="D42" s="13"/>
      <c r="E42" s="13"/>
      <c r="F42" s="200"/>
      <c r="G42" s="13"/>
      <c r="H42" s="13"/>
      <c r="I42" s="13"/>
      <c r="J42" s="13"/>
      <c r="K42" s="13"/>
      <c r="L42" s="13"/>
      <c r="M42" s="13"/>
    </row>
    <row r="43" spans="1:13">
      <c r="A43" s="13"/>
      <c r="B43" s="202"/>
      <c r="C43" s="13"/>
      <c r="D43" s="13"/>
      <c r="E43" s="13"/>
      <c r="F43" s="200"/>
      <c r="G43" s="13"/>
      <c r="H43" s="13"/>
      <c r="I43" s="13"/>
      <c r="J43" s="13"/>
      <c r="K43" s="13"/>
      <c r="L43" s="13"/>
      <c r="M43" s="13"/>
    </row>
    <row r="44" spans="1:13">
      <c r="A44" s="13"/>
      <c r="B44" s="202"/>
      <c r="C44" s="13"/>
      <c r="D44" s="13"/>
      <c r="E44" s="13"/>
      <c r="F44" s="200"/>
      <c r="G44" s="13"/>
      <c r="H44" s="13"/>
      <c r="I44" s="13"/>
      <c r="J44" s="13"/>
      <c r="K44" s="13"/>
      <c r="L44" s="13"/>
      <c r="M44" s="13"/>
    </row>
    <row r="45" spans="1:13">
      <c r="A45" s="13"/>
      <c r="B45" s="202"/>
      <c r="C45" s="13"/>
      <c r="D45" s="13"/>
      <c r="E45" s="13"/>
      <c r="F45" s="200"/>
      <c r="G45" s="13"/>
      <c r="H45" s="13"/>
      <c r="I45" s="13"/>
      <c r="J45" s="13"/>
      <c r="K45" s="13"/>
      <c r="L45" s="13"/>
      <c r="M45" s="13"/>
    </row>
    <row r="46" spans="1:13">
      <c r="A46" s="13"/>
      <c r="B46" s="202"/>
      <c r="C46" s="13"/>
      <c r="D46" s="13"/>
      <c r="E46" s="13"/>
      <c r="F46" s="200"/>
      <c r="G46" s="13"/>
      <c r="H46" s="13"/>
      <c r="I46" s="13"/>
      <c r="J46" s="13"/>
      <c r="K46" s="13"/>
      <c r="L46" s="13"/>
      <c r="M46" s="13"/>
    </row>
    <row r="47" spans="1:13">
      <c r="A47" s="13"/>
      <c r="B47" s="202"/>
      <c r="C47" s="13"/>
      <c r="D47" s="13"/>
      <c r="E47" s="13"/>
      <c r="F47" s="200"/>
      <c r="G47" s="13"/>
      <c r="H47" s="13"/>
      <c r="I47" s="13"/>
      <c r="J47" s="13"/>
      <c r="K47" s="13"/>
      <c r="L47" s="13"/>
      <c r="M47" s="13"/>
    </row>
    <row r="48" spans="1:13">
      <c r="A48" s="13"/>
      <c r="B48" s="202"/>
      <c r="C48" s="13"/>
      <c r="D48" s="13"/>
      <c r="E48" s="13"/>
      <c r="F48" s="200"/>
      <c r="G48" s="13"/>
      <c r="H48" s="13"/>
      <c r="I48" s="13"/>
      <c r="J48" s="13"/>
      <c r="K48" s="13"/>
      <c r="L48" s="13"/>
      <c r="M48" s="13"/>
    </row>
    <row r="49" spans="1:13">
      <c r="A49" s="13"/>
      <c r="B49" s="202"/>
      <c r="C49" s="13"/>
      <c r="D49" s="13"/>
      <c r="E49" s="13"/>
      <c r="F49" s="200"/>
      <c r="G49" s="13"/>
      <c r="H49" s="13"/>
      <c r="I49" s="13"/>
      <c r="J49" s="13"/>
      <c r="K49" s="13"/>
      <c r="L49" s="13"/>
      <c r="M49" s="13"/>
    </row>
    <row r="50" spans="1:13">
      <c r="A50" s="13"/>
      <c r="B50" s="202"/>
      <c r="C50" s="13"/>
      <c r="D50" s="13"/>
      <c r="E50" s="13"/>
      <c r="F50" s="200"/>
      <c r="G50" s="13"/>
      <c r="H50" s="13"/>
      <c r="I50" s="13"/>
      <c r="J50" s="13"/>
      <c r="K50" s="13"/>
      <c r="L50" s="13"/>
      <c r="M50" s="13"/>
    </row>
    <row r="51" spans="1:13">
      <c r="A51" s="13"/>
      <c r="B51" s="202"/>
      <c r="C51" s="13"/>
      <c r="D51" s="13"/>
      <c r="E51" s="13"/>
      <c r="F51" s="200"/>
      <c r="G51" s="13"/>
      <c r="H51" s="13"/>
      <c r="I51" s="13"/>
      <c r="J51" s="13"/>
      <c r="K51" s="13"/>
      <c r="L51" s="13"/>
      <c r="M51" s="13"/>
    </row>
    <row r="52" spans="1:13">
      <c r="A52" s="13"/>
      <c r="B52" s="202"/>
      <c r="C52" s="13"/>
      <c r="D52" s="13"/>
      <c r="E52" s="13"/>
      <c r="F52" s="200"/>
      <c r="G52" s="13"/>
      <c r="H52" s="13"/>
      <c r="I52" s="13"/>
      <c r="J52" s="13"/>
      <c r="K52" s="13"/>
      <c r="L52" s="13"/>
      <c r="M52" s="13"/>
    </row>
    <row r="53" spans="1:13">
      <c r="A53" s="13"/>
      <c r="B53" s="202"/>
      <c r="C53" s="13"/>
      <c r="D53" s="13"/>
      <c r="E53" s="13"/>
      <c r="F53" s="200"/>
      <c r="G53" s="13"/>
      <c r="H53" s="13"/>
      <c r="I53" s="13"/>
      <c r="J53" s="13"/>
      <c r="K53" s="13"/>
      <c r="L53" s="13"/>
      <c r="M53" s="13"/>
    </row>
    <row r="54" spans="1:13">
      <c r="A54" s="13"/>
      <c r="B54" s="202"/>
      <c r="C54" s="13"/>
      <c r="D54" s="13"/>
      <c r="E54" s="13"/>
      <c r="F54" s="200"/>
      <c r="G54" s="13"/>
      <c r="H54" s="13"/>
      <c r="I54" s="13"/>
      <c r="J54" s="13"/>
      <c r="K54" s="13"/>
      <c r="L54" s="13"/>
      <c r="M54" s="13"/>
    </row>
    <row r="55" spans="1:13">
      <c r="A55" s="13"/>
      <c r="B55" s="202"/>
      <c r="C55" s="13"/>
      <c r="D55" s="13"/>
      <c r="E55" s="13"/>
      <c r="F55" s="200"/>
      <c r="G55" s="13"/>
      <c r="H55" s="13"/>
      <c r="I55" s="13"/>
      <c r="J55" s="13"/>
      <c r="K55" s="13"/>
      <c r="L55" s="13"/>
      <c r="M55" s="13"/>
    </row>
    <row r="56" spans="1:13">
      <c r="A56" s="13"/>
      <c r="B56" s="202"/>
      <c r="C56" s="13"/>
      <c r="D56" s="13"/>
      <c r="E56" s="13"/>
      <c r="F56" s="200"/>
      <c r="G56" s="13"/>
      <c r="H56" s="13"/>
      <c r="I56" s="13"/>
      <c r="J56" s="13"/>
      <c r="K56" s="13"/>
      <c r="L56" s="13"/>
      <c r="M56" s="13"/>
    </row>
    <row r="57" spans="1:13">
      <c r="A57" s="13"/>
      <c r="B57" s="202"/>
      <c r="C57" s="13"/>
      <c r="D57" s="13"/>
      <c r="E57" s="13"/>
      <c r="F57" s="200"/>
      <c r="G57" s="13"/>
      <c r="H57" s="13"/>
      <c r="I57" s="13"/>
      <c r="J57" s="13"/>
      <c r="K57" s="13"/>
      <c r="L57" s="13"/>
      <c r="M57" s="13"/>
    </row>
    <row r="58" spans="1:13">
      <c r="A58" s="13"/>
      <c r="B58" s="202"/>
      <c r="C58" s="13"/>
      <c r="D58" s="13"/>
      <c r="E58" s="13"/>
      <c r="F58" s="200"/>
      <c r="G58" s="13"/>
      <c r="H58" s="13"/>
      <c r="I58" s="13"/>
      <c r="J58" s="13"/>
      <c r="K58" s="13"/>
      <c r="L58" s="13"/>
      <c r="M58" s="13"/>
    </row>
    <row r="59" spans="1:13">
      <c r="A59" s="13"/>
      <c r="B59" s="202"/>
      <c r="C59" s="13"/>
      <c r="D59" s="13"/>
      <c r="E59" s="13"/>
      <c r="F59" s="200"/>
      <c r="G59" s="13"/>
      <c r="H59" s="13"/>
      <c r="I59" s="13"/>
      <c r="J59" s="13"/>
      <c r="K59" s="13"/>
      <c r="L59" s="13"/>
      <c r="M59" s="13"/>
    </row>
    <row r="60" spans="1:13">
      <c r="A60" s="13"/>
      <c r="B60" s="202"/>
      <c r="C60" s="13"/>
      <c r="D60" s="13"/>
      <c r="E60" s="13"/>
      <c r="F60" s="200"/>
      <c r="G60" s="13"/>
      <c r="H60" s="13"/>
      <c r="I60" s="13"/>
      <c r="J60" s="13"/>
      <c r="K60" s="13"/>
      <c r="L60" s="13"/>
      <c r="M60" s="13"/>
    </row>
    <row r="61" spans="1:13">
      <c r="A61" s="13"/>
      <c r="B61" s="202"/>
      <c r="C61" s="13"/>
      <c r="D61" s="13"/>
      <c r="E61" s="13"/>
      <c r="F61" s="200"/>
      <c r="G61" s="13"/>
      <c r="H61" s="13"/>
      <c r="I61" s="13"/>
      <c r="J61" s="13"/>
      <c r="K61" s="13"/>
      <c r="L61" s="13"/>
      <c r="M61" s="13"/>
    </row>
    <row r="62" spans="1:13">
      <c r="A62" s="13"/>
      <c r="B62" s="202"/>
      <c r="C62" s="13"/>
      <c r="D62" s="13"/>
      <c r="E62" s="13"/>
      <c r="F62" s="200"/>
      <c r="G62" s="13"/>
      <c r="H62" s="13"/>
      <c r="I62" s="13"/>
      <c r="J62" s="13"/>
      <c r="K62" s="13"/>
      <c r="L62" s="13"/>
      <c r="M62" s="13"/>
    </row>
    <row r="63" spans="1:13">
      <c r="A63" s="13"/>
      <c r="B63" s="202"/>
      <c r="C63" s="13"/>
      <c r="D63" s="13"/>
      <c r="E63" s="13"/>
      <c r="F63" s="200"/>
      <c r="G63" s="13"/>
      <c r="H63" s="13"/>
      <c r="I63" s="13"/>
      <c r="J63" s="13"/>
      <c r="K63" s="13"/>
      <c r="L63" s="13"/>
      <c r="M63" s="13"/>
    </row>
    <row r="64" spans="1:13">
      <c r="A64" s="13"/>
      <c r="B64" s="202"/>
      <c r="C64" s="13"/>
      <c r="D64" s="13"/>
      <c r="E64" s="13"/>
      <c r="F64" s="200"/>
      <c r="G64" s="13"/>
      <c r="H64" s="13"/>
      <c r="I64" s="13"/>
      <c r="J64" s="13"/>
      <c r="K64" s="13"/>
      <c r="L64" s="13"/>
      <c r="M64" s="13"/>
    </row>
    <row r="65" spans="1:13">
      <c r="A65" s="13"/>
      <c r="B65" s="202"/>
      <c r="C65" s="13"/>
      <c r="D65" s="13"/>
      <c r="E65" s="13"/>
      <c r="F65" s="200"/>
      <c r="G65" s="13"/>
      <c r="H65" s="13"/>
      <c r="I65" s="13"/>
      <c r="J65" s="13"/>
      <c r="K65" s="13"/>
      <c r="L65" s="13"/>
      <c r="M65" s="13"/>
    </row>
    <row r="66" spans="1:13">
      <c r="A66" s="13"/>
      <c r="B66" s="202"/>
      <c r="C66" s="13"/>
      <c r="D66" s="13"/>
      <c r="E66" s="13"/>
      <c r="F66" s="200"/>
      <c r="G66" s="13"/>
      <c r="H66" s="13"/>
      <c r="I66" s="13"/>
      <c r="J66" s="13"/>
      <c r="K66" s="13"/>
      <c r="L66" s="13"/>
      <c r="M66" s="13"/>
    </row>
    <row r="67" spans="1:13">
      <c r="A67" s="13"/>
      <c r="B67" s="202"/>
      <c r="C67" s="13"/>
      <c r="D67" s="13"/>
      <c r="E67" s="13"/>
      <c r="F67" s="200"/>
      <c r="G67" s="13"/>
      <c r="H67" s="13"/>
      <c r="I67" s="13"/>
      <c r="J67" s="13"/>
      <c r="K67" s="13"/>
      <c r="L67" s="13"/>
      <c r="M67" s="13"/>
    </row>
    <row r="68" spans="1:13">
      <c r="A68" s="13"/>
      <c r="B68" s="202"/>
      <c r="C68" s="13"/>
      <c r="D68" s="13"/>
      <c r="E68" s="13"/>
      <c r="F68" s="200"/>
      <c r="G68" s="13"/>
      <c r="H68" s="13"/>
      <c r="I68" s="13"/>
      <c r="J68" s="13"/>
      <c r="K68" s="13"/>
      <c r="L68" s="13"/>
      <c r="M68" s="13"/>
    </row>
    <row r="69" spans="1:13">
      <c r="A69" s="13"/>
      <c r="B69" s="202"/>
      <c r="C69" s="13"/>
      <c r="D69" s="13"/>
      <c r="E69" s="13"/>
      <c r="F69" s="200"/>
      <c r="G69" s="13"/>
      <c r="H69" s="13"/>
      <c r="I69" s="13"/>
      <c r="J69" s="13"/>
      <c r="K69" s="13"/>
      <c r="L69" s="13"/>
      <c r="M69" s="13"/>
    </row>
    <row r="70" spans="1:13">
      <c r="A70" s="13"/>
      <c r="B70" s="202"/>
      <c r="C70" s="13"/>
      <c r="D70" s="13"/>
      <c r="E70" s="13"/>
      <c r="F70" s="200"/>
      <c r="G70" s="13"/>
      <c r="H70" s="13"/>
      <c r="I70" s="13"/>
      <c r="J70" s="13"/>
      <c r="K70" s="13"/>
      <c r="L70" s="13"/>
      <c r="M70" s="13"/>
    </row>
    <row r="71" spans="1:13">
      <c r="A71" s="13"/>
      <c r="B71" s="202"/>
      <c r="C71" s="13"/>
      <c r="D71" s="13"/>
      <c r="E71" s="13"/>
      <c r="F71" s="200"/>
      <c r="G71" s="13"/>
      <c r="H71" s="13"/>
      <c r="I71" s="13"/>
      <c r="J71" s="13"/>
      <c r="K71" s="13"/>
      <c r="L71" s="13"/>
      <c r="M71" s="13"/>
    </row>
    <row r="72" spans="1:13">
      <c r="A72" s="13"/>
      <c r="B72" s="202"/>
      <c r="C72" s="13"/>
      <c r="D72" s="13"/>
      <c r="E72" s="13"/>
      <c r="F72" s="200"/>
      <c r="G72" s="13"/>
      <c r="H72" s="13"/>
      <c r="I72" s="13"/>
      <c r="J72" s="13"/>
      <c r="K72" s="13"/>
      <c r="L72" s="13"/>
      <c r="M72" s="13"/>
    </row>
    <row r="73" spans="1:13">
      <c r="A73" s="13"/>
      <c r="B73" s="202"/>
      <c r="C73" s="13"/>
      <c r="D73" s="13"/>
      <c r="E73" s="13"/>
      <c r="F73" s="200"/>
      <c r="G73" s="13"/>
      <c r="H73" s="13"/>
      <c r="I73" s="13"/>
      <c r="J73" s="13"/>
      <c r="K73" s="13"/>
      <c r="L73" s="13"/>
      <c r="M73" s="13"/>
    </row>
    <row r="74" spans="1:13">
      <c r="A74" s="13"/>
      <c r="B74" s="202"/>
      <c r="C74" s="13"/>
      <c r="D74" s="13"/>
      <c r="E74" s="13"/>
      <c r="F74" s="200"/>
      <c r="G74" s="13"/>
      <c r="H74" s="13"/>
      <c r="I74" s="13"/>
      <c r="J74" s="13"/>
      <c r="K74" s="13"/>
      <c r="L74" s="13"/>
      <c r="M74" s="13"/>
    </row>
    <row r="75" spans="1:13">
      <c r="A75" s="13"/>
      <c r="B75" s="202"/>
      <c r="C75" s="13"/>
      <c r="D75" s="13"/>
      <c r="E75" s="13"/>
      <c r="F75" s="200"/>
      <c r="G75" s="13"/>
      <c r="H75" s="13"/>
      <c r="I75" s="13"/>
      <c r="J75" s="13"/>
      <c r="K75" s="13"/>
      <c r="L75" s="13"/>
      <c r="M75" s="13"/>
    </row>
    <row r="76" spans="1:13">
      <c r="A76" s="13"/>
      <c r="B76" s="202"/>
      <c r="C76" s="13"/>
      <c r="D76" s="13"/>
      <c r="E76" s="13"/>
      <c r="F76" s="200"/>
      <c r="G76" s="13"/>
      <c r="H76" s="13"/>
      <c r="I76" s="13"/>
      <c r="J76" s="13"/>
      <c r="K76" s="13"/>
      <c r="L76" s="13"/>
      <c r="M76" s="13"/>
    </row>
    <row r="77" spans="1:13">
      <c r="A77" s="13"/>
      <c r="B77" s="202"/>
      <c r="C77" s="13"/>
      <c r="D77" s="13"/>
      <c r="E77" s="13"/>
      <c r="F77" s="200"/>
      <c r="G77" s="13"/>
      <c r="H77" s="13"/>
      <c r="I77" s="13"/>
      <c r="J77" s="13"/>
      <c r="K77" s="13"/>
      <c r="L77" s="13"/>
      <c r="M77" s="13"/>
    </row>
    <row r="78" spans="1:13">
      <c r="A78" s="13"/>
      <c r="B78" s="202"/>
      <c r="C78" s="13"/>
      <c r="D78" s="13"/>
      <c r="E78" s="13"/>
      <c r="F78" s="200"/>
      <c r="G78" s="13"/>
      <c r="H78" s="13"/>
      <c r="I78" s="13"/>
      <c r="J78" s="13"/>
      <c r="K78" s="13"/>
      <c r="L78" s="13"/>
      <c r="M78" s="13"/>
    </row>
    <row r="79" spans="1:13">
      <c r="A79" s="13"/>
      <c r="B79" s="202"/>
      <c r="C79" s="13"/>
      <c r="D79" s="13"/>
      <c r="E79" s="13"/>
      <c r="F79" s="200"/>
      <c r="G79" s="13"/>
      <c r="H79" s="13"/>
      <c r="I79" s="13"/>
      <c r="J79" s="13"/>
      <c r="K79" s="13"/>
      <c r="L79" s="13"/>
      <c r="M79" s="13"/>
    </row>
    <row r="80" spans="1:13">
      <c r="A80" s="13"/>
      <c r="B80" s="202"/>
      <c r="C80" s="13"/>
      <c r="D80" s="13"/>
      <c r="E80" s="13"/>
      <c r="F80" s="200"/>
      <c r="G80" s="13"/>
      <c r="H80" s="13"/>
      <c r="I80" s="13"/>
      <c r="J80" s="13"/>
      <c r="K80" s="13"/>
      <c r="L80" s="13"/>
      <c r="M80" s="13"/>
    </row>
    <row r="81" spans="1:13">
      <c r="A81" s="13"/>
      <c r="B81" s="202"/>
      <c r="C81" s="13"/>
      <c r="D81" s="13"/>
      <c r="E81" s="13"/>
      <c r="F81" s="200"/>
      <c r="G81" s="13"/>
      <c r="H81" s="13"/>
      <c r="I81" s="13"/>
      <c r="J81" s="13"/>
      <c r="K81" s="13"/>
      <c r="L81" s="13"/>
      <c r="M81" s="13"/>
    </row>
    <row r="82" spans="1:13">
      <c r="A82" s="13"/>
      <c r="B82" s="202"/>
      <c r="C82" s="13"/>
      <c r="D82" s="13"/>
      <c r="E82" s="13"/>
      <c r="F82" s="200"/>
      <c r="G82" s="13"/>
      <c r="H82" s="13"/>
      <c r="I82" s="13"/>
      <c r="J82" s="13"/>
      <c r="K82" s="13"/>
      <c r="L82" s="13"/>
      <c r="M82" s="13"/>
    </row>
    <row r="83" spans="1:13">
      <c r="A83" s="13"/>
      <c r="B83" s="202"/>
      <c r="C83" s="13"/>
      <c r="D83" s="13"/>
      <c r="E83" s="13"/>
      <c r="F83" s="200"/>
      <c r="G83" s="13"/>
      <c r="H83" s="13"/>
      <c r="I83" s="13"/>
      <c r="J83" s="13"/>
      <c r="K83" s="13"/>
      <c r="L83" s="13"/>
      <c r="M83" s="13"/>
    </row>
    <row r="84" spans="1:13">
      <c r="A84" s="13"/>
      <c r="B84" s="202"/>
      <c r="C84" s="13"/>
      <c r="D84" s="13"/>
      <c r="E84" s="13"/>
      <c r="F84" s="200"/>
      <c r="G84" s="13"/>
      <c r="H84" s="13"/>
      <c r="I84" s="13"/>
      <c r="J84" s="13"/>
      <c r="K84" s="13"/>
      <c r="L84" s="13"/>
      <c r="M84" s="13"/>
    </row>
    <row r="85" spans="1:13">
      <c r="A85" s="13"/>
      <c r="B85" s="202"/>
      <c r="C85" s="13"/>
      <c r="D85" s="13"/>
      <c r="E85" s="13"/>
      <c r="F85" s="200"/>
      <c r="G85" s="13"/>
      <c r="H85" s="13"/>
      <c r="I85" s="13"/>
      <c r="J85" s="13"/>
      <c r="K85" s="13"/>
      <c r="L85" s="13"/>
      <c r="M85" s="13"/>
    </row>
    <row r="86" spans="1:13">
      <c r="A86" s="13"/>
      <c r="B86" s="202"/>
      <c r="C86" s="13"/>
      <c r="D86" s="13"/>
      <c r="E86" s="13"/>
      <c r="F86" s="200"/>
      <c r="G86" s="13"/>
      <c r="H86" s="13"/>
      <c r="I86" s="13"/>
      <c r="J86" s="13"/>
      <c r="K86" s="13"/>
      <c r="L86" s="13"/>
      <c r="M86" s="13"/>
    </row>
    <row r="87" spans="1:13">
      <c r="A87" s="13"/>
      <c r="B87" s="202"/>
      <c r="C87" s="13"/>
      <c r="D87" s="13"/>
      <c r="E87" s="13"/>
      <c r="F87" s="200"/>
      <c r="G87" s="13"/>
      <c r="H87" s="13"/>
      <c r="I87" s="13"/>
      <c r="J87" s="13"/>
      <c r="K87" s="13"/>
      <c r="L87" s="13"/>
      <c r="M87" s="13"/>
    </row>
    <row r="88" spans="1:13">
      <c r="A88" s="13"/>
      <c r="B88" s="202"/>
      <c r="C88" s="13"/>
      <c r="D88" s="13"/>
      <c r="E88" s="13"/>
      <c r="F88" s="200"/>
      <c r="G88" s="13"/>
      <c r="H88" s="13"/>
      <c r="I88" s="13"/>
      <c r="J88" s="13"/>
      <c r="K88" s="13"/>
      <c r="L88" s="13"/>
      <c r="M88" s="13"/>
    </row>
    <row r="89" spans="1:13">
      <c r="A89" s="13"/>
      <c r="B89" s="202"/>
      <c r="C89" s="13"/>
      <c r="D89" s="13"/>
      <c r="E89" s="13"/>
      <c r="F89" s="200"/>
      <c r="G89" s="13"/>
      <c r="H89" s="13"/>
      <c r="I89" s="13"/>
      <c r="J89" s="13"/>
      <c r="K89" s="13"/>
      <c r="L89" s="13"/>
      <c r="M89" s="13"/>
    </row>
    <row r="90" spans="1:13">
      <c r="A90" s="13"/>
      <c r="B90" s="202"/>
      <c r="C90" s="13"/>
      <c r="D90" s="13"/>
      <c r="E90" s="13"/>
      <c r="F90" s="200"/>
      <c r="G90" s="13"/>
      <c r="H90" s="13"/>
      <c r="I90" s="13"/>
      <c r="J90" s="13"/>
      <c r="K90" s="13"/>
      <c r="L90" s="13"/>
      <c r="M90" s="13"/>
    </row>
    <row r="91" spans="1:13">
      <c r="A91" s="13"/>
      <c r="B91" s="202"/>
      <c r="C91" s="13"/>
      <c r="D91" s="13"/>
      <c r="E91" s="13"/>
      <c r="F91" s="200"/>
      <c r="G91" s="13"/>
      <c r="H91" s="13"/>
      <c r="I91" s="13"/>
      <c r="J91" s="13"/>
      <c r="K91" s="13"/>
      <c r="L91" s="13"/>
      <c r="M91" s="13"/>
    </row>
    <row r="92" spans="1:13">
      <c r="A92" s="13"/>
      <c r="B92" s="202"/>
      <c r="C92" s="13"/>
      <c r="D92" s="13"/>
      <c r="E92" s="13"/>
      <c r="F92" s="200"/>
      <c r="G92" s="13"/>
      <c r="H92" s="13"/>
      <c r="I92" s="13"/>
      <c r="J92" s="13"/>
      <c r="K92" s="13"/>
      <c r="L92" s="13"/>
      <c r="M92" s="13"/>
    </row>
    <row r="93" spans="1:13">
      <c r="A93" s="13"/>
      <c r="B93" s="202"/>
      <c r="C93" s="13"/>
      <c r="D93" s="13"/>
      <c r="E93" s="13"/>
      <c r="F93" s="200"/>
      <c r="G93" s="13"/>
      <c r="H93" s="13"/>
      <c r="I93" s="13"/>
      <c r="J93" s="13"/>
      <c r="K93" s="13"/>
      <c r="L93" s="13"/>
      <c r="M93" s="13"/>
    </row>
    <row r="94" spans="1:13">
      <c r="A94" s="13"/>
      <c r="B94" s="202"/>
      <c r="C94" s="13"/>
      <c r="D94" s="13"/>
      <c r="E94" s="13"/>
      <c r="F94" s="200"/>
      <c r="G94" s="13"/>
      <c r="H94" s="13"/>
      <c r="I94" s="13"/>
      <c r="J94" s="13"/>
      <c r="K94" s="13"/>
      <c r="L94" s="13"/>
      <c r="M94" s="13"/>
    </row>
    <row r="95" spans="1:13">
      <c r="A95" s="13"/>
      <c r="B95" s="202"/>
      <c r="C95" s="13"/>
      <c r="D95" s="13"/>
      <c r="E95" s="13"/>
      <c r="F95" s="200"/>
      <c r="G95" s="13"/>
      <c r="H95" s="13"/>
      <c r="I95" s="13"/>
      <c r="J95" s="13"/>
      <c r="K95" s="13"/>
      <c r="L95" s="13"/>
      <c r="M95" s="13"/>
    </row>
    <row r="96" spans="1:13">
      <c r="A96" s="13"/>
      <c r="B96" s="202"/>
      <c r="C96" s="13"/>
      <c r="D96" s="13"/>
      <c r="E96" s="13"/>
      <c r="F96" s="200"/>
      <c r="G96" s="13"/>
      <c r="H96" s="13"/>
      <c r="I96" s="13"/>
      <c r="J96" s="13"/>
      <c r="K96" s="13"/>
      <c r="L96" s="13"/>
      <c r="M96" s="13"/>
    </row>
    <row r="97" spans="1:13">
      <c r="A97" s="13"/>
      <c r="B97" s="202"/>
      <c r="C97" s="13"/>
      <c r="D97" s="13"/>
      <c r="E97" s="13"/>
      <c r="F97" s="200"/>
      <c r="G97" s="13"/>
      <c r="H97" s="13"/>
      <c r="I97" s="13"/>
      <c r="J97" s="13"/>
      <c r="K97" s="13"/>
      <c r="L97" s="13"/>
      <c r="M97" s="13"/>
    </row>
    <row r="98" spans="1:13">
      <c r="A98" s="13"/>
      <c r="B98" s="202"/>
      <c r="C98" s="13"/>
      <c r="D98" s="13"/>
      <c r="E98" s="13"/>
      <c r="F98" s="200"/>
      <c r="G98" s="13"/>
      <c r="H98" s="13"/>
      <c r="I98" s="13"/>
      <c r="J98" s="13"/>
      <c r="K98" s="13"/>
      <c r="L98" s="13"/>
      <c r="M98" s="13"/>
    </row>
    <row r="99" spans="1:13">
      <c r="A99" s="13"/>
      <c r="B99" s="202"/>
      <c r="C99" s="13"/>
      <c r="D99" s="13"/>
      <c r="E99" s="13"/>
      <c r="F99" s="200"/>
      <c r="G99" s="13"/>
      <c r="H99" s="13"/>
      <c r="I99" s="13"/>
      <c r="J99" s="13"/>
      <c r="K99" s="13"/>
      <c r="L99" s="13"/>
      <c r="M99" s="13"/>
    </row>
    <row r="100" spans="1:13">
      <c r="A100" s="13"/>
      <c r="B100" s="202"/>
      <c r="C100" s="13"/>
      <c r="D100" s="13"/>
      <c r="E100" s="13"/>
      <c r="F100" s="200"/>
      <c r="G100" s="13"/>
      <c r="H100" s="13"/>
      <c r="I100" s="13"/>
      <c r="J100" s="13"/>
      <c r="K100" s="13"/>
      <c r="L100" s="13"/>
      <c r="M100" s="13"/>
    </row>
    <row r="101" spans="1:13">
      <c r="A101" s="13"/>
      <c r="B101" s="202"/>
      <c r="C101" s="13"/>
      <c r="D101" s="13"/>
      <c r="E101" s="13"/>
      <c r="F101" s="200"/>
      <c r="G101" s="13"/>
      <c r="H101" s="13"/>
      <c r="I101" s="13"/>
      <c r="J101" s="13"/>
      <c r="K101" s="13"/>
      <c r="L101" s="13"/>
      <c r="M101" s="13"/>
    </row>
    <row r="102" spans="1:13">
      <c r="A102" s="13"/>
      <c r="B102" s="202"/>
      <c r="C102" s="13"/>
      <c r="D102" s="13"/>
      <c r="E102" s="13"/>
      <c r="F102" s="200"/>
      <c r="G102" s="13"/>
      <c r="H102" s="13"/>
      <c r="I102" s="13"/>
      <c r="J102" s="13"/>
      <c r="K102" s="13"/>
      <c r="L102" s="13"/>
      <c r="M102" s="13"/>
    </row>
    <row r="103" spans="1:13">
      <c r="A103" s="13"/>
      <c r="B103" s="202"/>
      <c r="C103" s="13"/>
      <c r="D103" s="13"/>
      <c r="E103" s="13"/>
      <c r="F103" s="200"/>
      <c r="G103" s="13"/>
      <c r="H103" s="13"/>
      <c r="I103" s="13"/>
      <c r="J103" s="13"/>
      <c r="K103" s="13"/>
      <c r="L103" s="13"/>
      <c r="M103" s="13"/>
    </row>
    <row r="104" spans="1:13">
      <c r="A104" s="13"/>
      <c r="B104" s="202"/>
      <c r="C104" s="13"/>
      <c r="D104" s="13"/>
      <c r="E104" s="13"/>
      <c r="F104" s="200"/>
      <c r="G104" s="13"/>
      <c r="H104" s="13"/>
      <c r="I104" s="13"/>
      <c r="J104" s="13"/>
      <c r="K104" s="13"/>
      <c r="L104" s="13"/>
      <c r="M104" s="13"/>
    </row>
    <row r="105" spans="1:13">
      <c r="A105" s="13"/>
      <c r="B105" s="202"/>
      <c r="C105" s="13"/>
      <c r="D105" s="13"/>
      <c r="E105" s="13"/>
      <c r="F105" s="200"/>
      <c r="G105" s="13"/>
      <c r="H105" s="13"/>
      <c r="I105" s="13"/>
      <c r="J105" s="13"/>
      <c r="K105" s="13"/>
      <c r="L105" s="13"/>
      <c r="M105" s="13"/>
    </row>
    <row r="106" spans="1:13">
      <c r="A106" s="13"/>
      <c r="B106" s="202"/>
      <c r="C106" s="13"/>
      <c r="D106" s="13"/>
      <c r="E106" s="13"/>
      <c r="F106" s="200"/>
      <c r="G106" s="13"/>
      <c r="H106" s="13"/>
      <c r="I106" s="13"/>
      <c r="J106" s="13"/>
      <c r="K106" s="13"/>
      <c r="L106" s="13"/>
      <c r="M106" s="13"/>
    </row>
    <row r="107" spans="1:13">
      <c r="A107" s="13"/>
      <c r="B107" s="202"/>
      <c r="C107" s="13"/>
      <c r="D107" s="13"/>
      <c r="E107" s="13"/>
      <c r="F107" s="200"/>
      <c r="G107" s="13"/>
      <c r="H107" s="13"/>
      <c r="I107" s="13"/>
      <c r="J107" s="13"/>
      <c r="K107" s="13"/>
      <c r="L107" s="13"/>
      <c r="M107" s="13"/>
    </row>
    <row r="108" spans="1:13">
      <c r="A108" s="13"/>
      <c r="B108" s="202"/>
      <c r="C108" s="13"/>
      <c r="D108" s="13"/>
      <c r="E108" s="13"/>
      <c r="F108" s="200"/>
      <c r="G108" s="13"/>
      <c r="H108" s="13"/>
      <c r="I108" s="13"/>
      <c r="J108" s="13"/>
      <c r="K108" s="13"/>
      <c r="L108" s="13"/>
      <c r="M108" s="13"/>
    </row>
    <row r="109" spans="1:13">
      <c r="A109" s="13"/>
      <c r="B109" s="202"/>
      <c r="C109" s="13"/>
      <c r="D109" s="13"/>
      <c r="E109" s="13"/>
      <c r="F109" s="200"/>
      <c r="G109" s="13"/>
      <c r="H109" s="13"/>
      <c r="I109" s="13"/>
      <c r="J109" s="13"/>
      <c r="K109" s="13"/>
      <c r="L109" s="13"/>
      <c r="M109" s="13"/>
    </row>
    <row r="110" spans="1:13">
      <c r="A110" s="13"/>
      <c r="B110" s="202"/>
      <c r="C110" s="13"/>
      <c r="D110" s="13"/>
      <c r="E110" s="13"/>
      <c r="F110" s="200"/>
      <c r="G110" s="13"/>
      <c r="H110" s="13"/>
      <c r="I110" s="13"/>
      <c r="J110" s="13"/>
      <c r="K110" s="13"/>
      <c r="L110" s="13"/>
      <c r="M110" s="13"/>
    </row>
    <row r="111" spans="1:13">
      <c r="A111" s="13"/>
      <c r="B111" s="202"/>
      <c r="C111" s="13"/>
      <c r="D111" s="13"/>
      <c r="E111" s="13"/>
      <c r="F111" s="200"/>
      <c r="G111" s="13"/>
      <c r="H111" s="13"/>
      <c r="I111" s="13"/>
      <c r="J111" s="13"/>
      <c r="K111" s="13"/>
      <c r="L111" s="13"/>
      <c r="M111" s="13"/>
    </row>
    <row r="112" spans="1:13">
      <c r="A112" s="13"/>
      <c r="B112" s="202"/>
      <c r="C112" s="13"/>
      <c r="D112" s="13"/>
      <c r="E112" s="13"/>
      <c r="F112" s="200"/>
      <c r="G112" s="13"/>
      <c r="H112" s="13"/>
      <c r="I112" s="13"/>
      <c r="J112" s="13"/>
      <c r="K112" s="13"/>
      <c r="L112" s="13"/>
      <c r="M112" s="13"/>
    </row>
    <row r="113" spans="1:13">
      <c r="A113" s="13"/>
      <c r="B113" s="202"/>
      <c r="C113" s="13"/>
      <c r="D113" s="13"/>
      <c r="E113" s="13"/>
      <c r="F113" s="200"/>
      <c r="G113" s="13"/>
      <c r="H113" s="13"/>
      <c r="I113" s="13"/>
      <c r="J113" s="13"/>
      <c r="K113" s="13"/>
      <c r="L113" s="13"/>
      <c r="M113" s="13"/>
    </row>
    <row r="114" spans="1:13">
      <c r="A114" s="13"/>
      <c r="B114" s="202"/>
      <c r="C114" s="13"/>
      <c r="D114" s="13"/>
      <c r="E114" s="13"/>
      <c r="F114" s="200"/>
      <c r="G114" s="13"/>
      <c r="H114" s="13"/>
      <c r="I114" s="13"/>
      <c r="J114" s="13"/>
      <c r="K114" s="13"/>
      <c r="L114" s="13"/>
      <c r="M114" s="13"/>
    </row>
    <row r="115" spans="1:13">
      <c r="A115" s="13"/>
      <c r="B115" s="202"/>
      <c r="C115" s="13"/>
      <c r="D115" s="13"/>
      <c r="E115" s="13"/>
      <c r="F115" s="200"/>
      <c r="G115" s="13"/>
      <c r="H115" s="13"/>
      <c r="I115" s="13"/>
      <c r="J115" s="13"/>
      <c r="K115" s="13"/>
      <c r="L115" s="13"/>
      <c r="M115" s="13"/>
    </row>
    <row r="116" spans="1:13">
      <c r="A116" s="13"/>
      <c r="B116" s="202"/>
      <c r="C116" s="13"/>
      <c r="D116" s="13"/>
      <c r="E116" s="13"/>
      <c r="F116" s="200"/>
      <c r="G116" s="13"/>
      <c r="H116" s="13"/>
      <c r="I116" s="13"/>
      <c r="J116" s="13"/>
      <c r="K116" s="13"/>
      <c r="L116" s="13"/>
      <c r="M116" s="13"/>
    </row>
    <row r="117" spans="1:13">
      <c r="A117" s="13"/>
      <c r="B117" s="202"/>
      <c r="C117" s="13"/>
      <c r="D117" s="13"/>
      <c r="E117" s="13"/>
      <c r="F117" s="200"/>
      <c r="G117" s="13"/>
      <c r="H117" s="13"/>
      <c r="I117" s="13"/>
      <c r="J117" s="13"/>
      <c r="K117" s="13"/>
      <c r="L117" s="13"/>
      <c r="M117" s="13"/>
    </row>
    <row r="118" spans="1:13">
      <c r="A118" s="13"/>
      <c r="B118" s="202"/>
      <c r="C118" s="13"/>
      <c r="D118" s="13"/>
      <c r="E118" s="13"/>
      <c r="F118" s="200"/>
      <c r="G118" s="13"/>
      <c r="H118" s="13"/>
      <c r="I118" s="13"/>
      <c r="J118" s="13"/>
      <c r="K118" s="13"/>
      <c r="L118" s="13"/>
      <c r="M118" s="13"/>
    </row>
    <row r="119" spans="1:13">
      <c r="A119" s="13"/>
      <c r="B119" s="202"/>
      <c r="C119" s="13"/>
      <c r="D119" s="13"/>
      <c r="E119" s="13"/>
      <c r="F119" s="200"/>
      <c r="G119" s="13"/>
      <c r="H119" s="13"/>
      <c r="I119" s="13"/>
      <c r="J119" s="13"/>
      <c r="K119" s="13"/>
      <c r="L119" s="13"/>
      <c r="M119" s="13"/>
    </row>
    <row r="120" spans="1:13">
      <c r="A120" s="13"/>
      <c r="B120" s="202"/>
      <c r="C120" s="13"/>
      <c r="D120" s="13"/>
      <c r="E120" s="13"/>
      <c r="F120" s="200"/>
      <c r="G120" s="13"/>
      <c r="H120" s="13"/>
      <c r="I120" s="13"/>
      <c r="J120" s="13"/>
      <c r="K120" s="13"/>
      <c r="L120" s="13"/>
      <c r="M120" s="13"/>
    </row>
    <row r="121" spans="1:13">
      <c r="A121" s="13"/>
      <c r="B121" s="202"/>
      <c r="C121" s="13"/>
      <c r="D121" s="13"/>
      <c r="E121" s="13"/>
      <c r="F121" s="200"/>
      <c r="G121" s="13"/>
      <c r="H121" s="13"/>
      <c r="I121" s="13"/>
      <c r="J121" s="13"/>
      <c r="K121" s="13"/>
      <c r="L121" s="13"/>
      <c r="M121" s="13"/>
    </row>
    <row r="122" spans="1:13">
      <c r="A122" s="13"/>
      <c r="B122" s="202"/>
      <c r="C122" s="13"/>
      <c r="D122" s="13"/>
      <c r="E122" s="13"/>
      <c r="F122" s="200"/>
      <c r="G122" s="13"/>
      <c r="H122" s="13"/>
      <c r="I122" s="13"/>
      <c r="J122" s="13"/>
      <c r="K122" s="13"/>
      <c r="L122" s="13"/>
      <c r="M122" s="13"/>
    </row>
    <row r="123" spans="1:13">
      <c r="A123" s="13"/>
      <c r="B123" s="202"/>
      <c r="C123" s="13"/>
      <c r="D123" s="13"/>
      <c r="E123" s="13"/>
      <c r="F123" s="200"/>
      <c r="G123" s="13"/>
      <c r="H123" s="13"/>
      <c r="I123" s="13"/>
      <c r="J123" s="13"/>
      <c r="K123" s="13"/>
      <c r="L123" s="13"/>
      <c r="M123" s="13"/>
    </row>
    <row r="124" spans="1:13">
      <c r="A124" s="13"/>
      <c r="B124" s="202"/>
      <c r="C124" s="13"/>
      <c r="D124" s="13"/>
      <c r="E124" s="13"/>
      <c r="F124" s="200"/>
      <c r="G124" s="13"/>
      <c r="H124" s="13"/>
      <c r="I124" s="13"/>
      <c r="J124" s="13"/>
      <c r="K124" s="13"/>
      <c r="L124" s="13"/>
      <c r="M124" s="13"/>
    </row>
    <row r="125" spans="1:13">
      <c r="A125" s="13"/>
      <c r="B125" s="202"/>
      <c r="C125" s="13"/>
      <c r="D125" s="13"/>
      <c r="E125" s="13"/>
      <c r="F125" s="200"/>
      <c r="G125" s="13"/>
      <c r="H125" s="13"/>
      <c r="I125" s="13"/>
      <c r="J125" s="13"/>
      <c r="K125" s="13"/>
      <c r="L125" s="13"/>
      <c r="M125" s="13"/>
    </row>
    <row r="126" spans="1:13">
      <c r="A126" s="13"/>
      <c r="B126" s="202"/>
      <c r="C126" s="13"/>
      <c r="D126" s="13"/>
      <c r="E126" s="13"/>
      <c r="F126" s="200"/>
      <c r="G126" s="13"/>
      <c r="H126" s="13"/>
      <c r="I126" s="13"/>
      <c r="J126" s="13"/>
      <c r="K126" s="13"/>
      <c r="L126" s="13"/>
      <c r="M126" s="13"/>
    </row>
    <row r="127" spans="1:13">
      <c r="A127" s="13"/>
      <c r="B127" s="202"/>
      <c r="C127" s="13"/>
      <c r="D127" s="13"/>
      <c r="E127" s="13"/>
      <c r="F127" s="200"/>
      <c r="G127" s="13"/>
      <c r="H127" s="13"/>
      <c r="I127" s="13"/>
      <c r="J127" s="13"/>
      <c r="K127" s="13"/>
      <c r="L127" s="13"/>
      <c r="M127" s="13"/>
    </row>
    <row r="128" spans="1:13">
      <c r="A128" s="13"/>
      <c r="B128" s="202"/>
      <c r="C128" s="13"/>
      <c r="D128" s="13"/>
      <c r="E128" s="13"/>
      <c r="F128" s="200"/>
      <c r="G128" s="13"/>
      <c r="H128" s="13"/>
      <c r="I128" s="13"/>
      <c r="J128" s="13"/>
      <c r="K128" s="13"/>
      <c r="L128" s="13"/>
      <c r="M128" s="13"/>
    </row>
    <row r="129" spans="1:13">
      <c r="A129" s="13"/>
      <c r="B129" s="202"/>
      <c r="C129" s="13"/>
      <c r="D129" s="13"/>
      <c r="E129" s="13"/>
      <c r="F129" s="200"/>
      <c r="G129" s="13"/>
      <c r="H129" s="13"/>
      <c r="I129" s="13"/>
      <c r="J129" s="13"/>
      <c r="K129" s="13"/>
      <c r="L129" s="13"/>
      <c r="M129" s="13"/>
    </row>
    <row r="130" spans="1:13">
      <c r="A130" s="13"/>
      <c r="B130" s="202"/>
      <c r="C130" s="13"/>
      <c r="D130" s="13"/>
      <c r="E130" s="13"/>
      <c r="F130" s="200"/>
      <c r="G130" s="13"/>
      <c r="H130" s="13"/>
      <c r="I130" s="13"/>
      <c r="J130" s="13"/>
      <c r="K130" s="13"/>
      <c r="L130" s="13"/>
      <c r="M130" s="13"/>
    </row>
    <row r="131" spans="1:13">
      <c r="A131" s="13"/>
      <c r="B131" s="202"/>
      <c r="C131" s="13"/>
      <c r="D131" s="13"/>
      <c r="E131" s="13"/>
      <c r="F131" s="200"/>
      <c r="G131" s="13"/>
      <c r="H131" s="13"/>
      <c r="I131" s="13"/>
      <c r="J131" s="13"/>
      <c r="K131" s="13"/>
      <c r="L131" s="13"/>
      <c r="M131" s="13"/>
    </row>
    <row r="132" spans="1:13">
      <c r="A132" s="13"/>
      <c r="B132" s="202"/>
      <c r="C132" s="13"/>
      <c r="D132" s="13"/>
      <c r="E132" s="13"/>
      <c r="F132" s="200"/>
      <c r="G132" s="13"/>
      <c r="H132" s="13"/>
      <c r="I132" s="13"/>
      <c r="J132" s="13"/>
      <c r="K132" s="13"/>
      <c r="L132" s="13"/>
      <c r="M132" s="13"/>
    </row>
    <row r="133" spans="1:13">
      <c r="A133" s="13"/>
      <c r="B133" s="202"/>
      <c r="C133" s="13"/>
      <c r="D133" s="13"/>
      <c r="E133" s="13"/>
      <c r="F133" s="200"/>
      <c r="G133" s="13"/>
      <c r="H133" s="13"/>
      <c r="I133" s="13"/>
      <c r="J133" s="13"/>
      <c r="K133" s="13"/>
      <c r="L133" s="13"/>
      <c r="M133" s="13"/>
    </row>
    <row r="134" spans="1:13">
      <c r="A134" s="13"/>
      <c r="B134" s="202"/>
      <c r="C134" s="13"/>
      <c r="D134" s="13"/>
      <c r="E134" s="13"/>
      <c r="F134" s="200"/>
      <c r="G134" s="13"/>
      <c r="H134" s="13"/>
      <c r="I134" s="13"/>
      <c r="J134" s="13"/>
      <c r="K134" s="13"/>
      <c r="L134" s="13"/>
      <c r="M134" s="13"/>
    </row>
    <row r="135" spans="1:13">
      <c r="A135" s="13"/>
      <c r="B135" s="202"/>
      <c r="C135" s="13"/>
      <c r="D135" s="13"/>
      <c r="E135" s="13"/>
      <c r="F135" s="200"/>
      <c r="G135" s="13"/>
      <c r="H135" s="13"/>
      <c r="I135" s="13"/>
      <c r="J135" s="13"/>
      <c r="K135" s="13"/>
      <c r="L135" s="13"/>
      <c r="M135" s="13"/>
    </row>
    <row r="136" spans="1:13">
      <c r="A136" s="13"/>
      <c r="B136" s="202"/>
      <c r="C136" s="13"/>
      <c r="D136" s="13"/>
      <c r="E136" s="13"/>
      <c r="F136" s="200"/>
      <c r="G136" s="13"/>
      <c r="H136" s="13"/>
      <c r="I136" s="13"/>
      <c r="J136" s="13"/>
      <c r="K136" s="13"/>
      <c r="L136" s="13"/>
      <c r="M136" s="13"/>
    </row>
    <row r="137" spans="1:13">
      <c r="A137" s="13"/>
      <c r="B137" s="202"/>
      <c r="C137" s="13"/>
      <c r="D137" s="13"/>
      <c r="E137" s="13"/>
      <c r="F137" s="200"/>
      <c r="G137" s="13"/>
      <c r="H137" s="13"/>
      <c r="I137" s="13"/>
      <c r="J137" s="13"/>
      <c r="K137" s="13"/>
      <c r="L137" s="13"/>
      <c r="M137" s="13"/>
    </row>
    <row r="138" spans="1:13">
      <c r="A138" s="13"/>
      <c r="B138" s="202"/>
      <c r="C138" s="13"/>
      <c r="D138" s="13"/>
      <c r="E138" s="13"/>
      <c r="F138" s="200"/>
      <c r="G138" s="13"/>
      <c r="H138" s="13"/>
      <c r="I138" s="13"/>
      <c r="J138" s="13"/>
      <c r="K138" s="13"/>
      <c r="L138" s="13"/>
      <c r="M138" s="13"/>
    </row>
    <row r="139" spans="1:13">
      <c r="A139" s="13"/>
      <c r="B139" s="202"/>
      <c r="C139" s="13"/>
      <c r="D139" s="13"/>
      <c r="E139" s="13"/>
      <c r="F139" s="200"/>
      <c r="G139" s="13"/>
      <c r="H139" s="13"/>
      <c r="I139" s="13"/>
      <c r="J139" s="13"/>
      <c r="K139" s="13"/>
      <c r="L139" s="13"/>
      <c r="M139" s="13"/>
    </row>
    <row r="140" spans="1:13">
      <c r="A140" s="13"/>
      <c r="B140" s="202"/>
      <c r="C140" s="13"/>
      <c r="D140" s="13"/>
      <c r="E140" s="13"/>
      <c r="F140" s="200"/>
      <c r="G140" s="13"/>
      <c r="H140" s="13"/>
      <c r="I140" s="13"/>
      <c r="J140" s="13"/>
      <c r="K140" s="13"/>
      <c r="L140" s="13"/>
      <c r="M140" s="13"/>
    </row>
    <row r="141" spans="1:13">
      <c r="A141" s="13"/>
      <c r="B141" s="202"/>
      <c r="C141" s="13"/>
      <c r="D141" s="13"/>
      <c r="E141" s="13"/>
      <c r="F141" s="200"/>
      <c r="G141" s="13"/>
      <c r="H141" s="13"/>
      <c r="I141" s="13"/>
      <c r="J141" s="13"/>
      <c r="K141" s="13"/>
      <c r="L141" s="13"/>
      <c r="M141" s="13"/>
    </row>
    <row r="142" spans="1:13">
      <c r="A142" s="13"/>
      <c r="B142" s="202"/>
      <c r="C142" s="13"/>
      <c r="D142" s="13"/>
      <c r="E142" s="13"/>
      <c r="F142" s="200"/>
      <c r="G142" s="13"/>
      <c r="H142" s="13"/>
      <c r="I142" s="13"/>
      <c r="J142" s="13"/>
      <c r="K142" s="13"/>
      <c r="L142" s="13"/>
      <c r="M142" s="13"/>
    </row>
    <row r="143" spans="1:13">
      <c r="A143" s="13"/>
      <c r="B143" s="202"/>
      <c r="C143" s="13"/>
      <c r="D143" s="13"/>
      <c r="E143" s="13"/>
      <c r="F143" s="200"/>
      <c r="G143" s="13"/>
      <c r="H143" s="13"/>
      <c r="I143" s="13"/>
      <c r="J143" s="13"/>
      <c r="K143" s="13"/>
      <c r="L143" s="13"/>
      <c r="M143" s="13"/>
    </row>
    <row r="144" spans="1:13">
      <c r="A144" s="13"/>
      <c r="B144" s="202"/>
      <c r="C144" s="13"/>
      <c r="D144" s="13"/>
      <c r="E144" s="13"/>
      <c r="F144" s="200"/>
      <c r="G144" s="13"/>
      <c r="H144" s="13"/>
      <c r="I144" s="13"/>
      <c r="J144" s="13"/>
      <c r="K144" s="13"/>
      <c r="L144" s="13"/>
      <c r="M144" s="13"/>
    </row>
    <row r="145" spans="1:13">
      <c r="A145" s="13"/>
      <c r="B145" s="202"/>
      <c r="C145" s="13"/>
      <c r="D145" s="13"/>
      <c r="E145" s="13"/>
      <c r="F145" s="200"/>
      <c r="G145" s="13"/>
      <c r="H145" s="13"/>
      <c r="I145" s="13"/>
      <c r="J145" s="13"/>
      <c r="K145" s="13"/>
      <c r="L145" s="13"/>
      <c r="M145" s="13"/>
    </row>
    <row r="146" spans="1:13">
      <c r="A146" s="13"/>
      <c r="B146" s="202"/>
      <c r="C146" s="13"/>
      <c r="D146" s="13"/>
      <c r="E146" s="13"/>
      <c r="F146" s="200"/>
      <c r="G146" s="13"/>
      <c r="H146" s="13"/>
      <c r="I146" s="13"/>
      <c r="J146" s="13"/>
      <c r="K146" s="13"/>
      <c r="L146" s="13"/>
      <c r="M146" s="13"/>
    </row>
    <row r="147" spans="1:13">
      <c r="A147" s="13"/>
      <c r="B147" s="202"/>
      <c r="C147" s="13"/>
      <c r="D147" s="13"/>
      <c r="E147" s="13"/>
      <c r="F147" s="200"/>
      <c r="G147" s="13"/>
      <c r="H147" s="13"/>
      <c r="I147" s="13"/>
      <c r="J147" s="13"/>
      <c r="K147" s="13"/>
      <c r="L147" s="13"/>
      <c r="M147" s="13"/>
    </row>
    <row r="148" spans="1:13">
      <c r="A148" s="13"/>
      <c r="B148" s="202"/>
      <c r="C148" s="13"/>
      <c r="D148" s="13"/>
      <c r="E148" s="13"/>
      <c r="F148" s="200"/>
      <c r="G148" s="13"/>
      <c r="H148" s="13"/>
      <c r="I148" s="13"/>
      <c r="J148" s="13"/>
      <c r="K148" s="13"/>
      <c r="L148" s="13"/>
      <c r="M148" s="13"/>
    </row>
    <row r="149" spans="1:13">
      <c r="A149" s="13"/>
      <c r="B149" s="202"/>
      <c r="C149" s="13"/>
      <c r="D149" s="13"/>
      <c r="E149" s="13"/>
      <c r="F149" s="200"/>
      <c r="G149" s="13"/>
      <c r="H149" s="13"/>
      <c r="I149" s="13"/>
      <c r="J149" s="13"/>
      <c r="K149" s="13"/>
      <c r="L149" s="13"/>
      <c r="M149" s="13"/>
    </row>
    <row r="150" spans="1:13">
      <c r="A150" s="13"/>
      <c r="B150" s="202"/>
      <c r="C150" s="13"/>
      <c r="D150" s="13"/>
      <c r="E150" s="13"/>
      <c r="F150" s="200"/>
      <c r="G150" s="13"/>
      <c r="H150" s="13"/>
      <c r="I150" s="13"/>
      <c r="J150" s="13"/>
      <c r="K150" s="13"/>
      <c r="L150" s="13"/>
      <c r="M150" s="13"/>
    </row>
    <row r="151" spans="1:13">
      <c r="A151" s="13"/>
      <c r="B151" s="202"/>
      <c r="C151" s="13"/>
      <c r="D151" s="13"/>
      <c r="E151" s="13"/>
      <c r="F151" s="200"/>
      <c r="G151" s="13"/>
      <c r="H151" s="13"/>
      <c r="I151" s="13"/>
      <c r="J151" s="13"/>
      <c r="K151" s="13"/>
      <c r="L151" s="13"/>
      <c r="M151" s="13"/>
    </row>
    <row r="152" spans="1:13">
      <c r="A152" s="13"/>
      <c r="B152" s="202"/>
      <c r="C152" s="13"/>
      <c r="D152" s="13"/>
      <c r="E152" s="13"/>
      <c r="F152" s="200"/>
      <c r="G152" s="13"/>
      <c r="H152" s="13"/>
      <c r="I152" s="13"/>
      <c r="J152" s="13"/>
      <c r="K152" s="13"/>
      <c r="L152" s="13"/>
      <c r="M152" s="13"/>
    </row>
    <row r="153" spans="1:13">
      <c r="A153" s="13"/>
      <c r="B153" s="202"/>
      <c r="C153" s="13"/>
      <c r="D153" s="13"/>
      <c r="E153" s="13"/>
      <c r="F153" s="200"/>
      <c r="G153" s="13"/>
      <c r="H153" s="13"/>
      <c r="I153" s="13"/>
      <c r="J153" s="13"/>
      <c r="K153" s="13"/>
      <c r="L153" s="13"/>
      <c r="M153" s="13"/>
    </row>
    <row r="154" spans="1:13">
      <c r="A154" s="13"/>
      <c r="B154" s="202"/>
      <c r="C154" s="13"/>
      <c r="D154" s="13"/>
      <c r="E154" s="13"/>
      <c r="F154" s="200"/>
      <c r="G154" s="13"/>
      <c r="H154" s="13"/>
      <c r="I154" s="13"/>
      <c r="J154" s="13"/>
      <c r="K154" s="13"/>
      <c r="L154" s="13"/>
      <c r="M154" s="13"/>
    </row>
    <row r="155" spans="1:13">
      <c r="A155" s="13"/>
      <c r="B155" s="202"/>
      <c r="C155" s="13"/>
      <c r="D155" s="13"/>
      <c r="E155" s="13"/>
      <c r="F155" s="200"/>
      <c r="G155" s="13"/>
      <c r="H155" s="13"/>
      <c r="I155" s="13"/>
      <c r="J155" s="13"/>
      <c r="K155" s="13"/>
      <c r="L155" s="13"/>
      <c r="M155" s="13"/>
    </row>
    <row r="156" spans="1:13">
      <c r="A156" s="13"/>
      <c r="B156" s="202"/>
      <c r="C156" s="13"/>
      <c r="D156" s="13"/>
      <c r="E156" s="13"/>
      <c r="F156" s="200"/>
      <c r="G156" s="13"/>
      <c r="H156" s="13"/>
      <c r="I156" s="13"/>
      <c r="J156" s="13"/>
      <c r="K156" s="13"/>
      <c r="L156" s="13"/>
      <c r="M156" s="13"/>
    </row>
    <row r="157" spans="1:13">
      <c r="A157" s="13"/>
      <c r="B157" s="202"/>
      <c r="C157" s="13"/>
      <c r="D157" s="13"/>
      <c r="E157" s="13"/>
      <c r="F157" s="200"/>
      <c r="G157" s="13"/>
      <c r="H157" s="13"/>
      <c r="I157" s="13"/>
      <c r="J157" s="13"/>
      <c r="K157" s="13"/>
      <c r="L157" s="13"/>
      <c r="M157" s="13"/>
    </row>
    <row r="158" spans="1:13">
      <c r="A158" s="13"/>
      <c r="B158" s="202"/>
      <c r="C158" s="13"/>
      <c r="D158" s="13"/>
      <c r="E158" s="13"/>
      <c r="F158" s="200"/>
      <c r="G158" s="13"/>
      <c r="H158" s="13"/>
      <c r="I158" s="13"/>
      <c r="J158" s="13"/>
      <c r="K158" s="13"/>
      <c r="L158" s="13"/>
      <c r="M158" s="13"/>
    </row>
    <row r="159" spans="1:13">
      <c r="A159" s="13"/>
      <c r="B159" s="202"/>
      <c r="C159" s="13"/>
      <c r="D159" s="13"/>
      <c r="E159" s="13"/>
      <c r="F159" s="200"/>
      <c r="G159" s="13"/>
      <c r="H159" s="13"/>
      <c r="I159" s="13"/>
      <c r="J159" s="13"/>
      <c r="K159" s="13"/>
      <c r="L159" s="13"/>
      <c r="M159" s="13"/>
    </row>
    <row r="160" spans="1:13">
      <c r="A160" s="13"/>
      <c r="B160" s="202"/>
      <c r="C160" s="13"/>
      <c r="D160" s="13"/>
      <c r="E160" s="13"/>
      <c r="F160" s="200"/>
      <c r="G160" s="13"/>
      <c r="H160" s="13"/>
      <c r="I160" s="13"/>
      <c r="J160" s="13"/>
      <c r="K160" s="13"/>
      <c r="L160" s="13"/>
      <c r="M160" s="13"/>
    </row>
    <row r="161" spans="1:13">
      <c r="A161" s="13"/>
      <c r="B161" s="202"/>
      <c r="C161" s="13"/>
      <c r="D161" s="13"/>
      <c r="E161" s="13"/>
      <c r="F161" s="200"/>
      <c r="G161" s="13"/>
      <c r="H161" s="13"/>
      <c r="I161" s="13"/>
      <c r="J161" s="13"/>
      <c r="K161" s="13"/>
      <c r="L161" s="13"/>
      <c r="M161" s="13"/>
    </row>
    <row r="162" spans="1:13">
      <c r="A162" s="13"/>
      <c r="B162" s="202"/>
      <c r="C162" s="13"/>
      <c r="D162" s="13"/>
      <c r="E162" s="13"/>
      <c r="F162" s="200"/>
      <c r="G162" s="13"/>
      <c r="H162" s="13"/>
      <c r="I162" s="13"/>
      <c r="J162" s="13"/>
      <c r="K162" s="13"/>
      <c r="L162" s="13"/>
      <c r="M162" s="13"/>
    </row>
    <row r="163" spans="1:13">
      <c r="A163" s="13"/>
      <c r="B163" s="202"/>
      <c r="C163" s="13"/>
      <c r="D163" s="13"/>
      <c r="E163" s="13"/>
      <c r="F163" s="200"/>
      <c r="G163" s="13"/>
      <c r="H163" s="13"/>
      <c r="I163" s="13"/>
      <c r="J163" s="13"/>
      <c r="K163" s="13"/>
      <c r="L163" s="13"/>
      <c r="M163" s="13"/>
    </row>
    <row r="164" spans="1:13">
      <c r="A164" s="13"/>
      <c r="B164" s="202"/>
      <c r="C164" s="13"/>
      <c r="D164" s="13"/>
      <c r="E164" s="13"/>
      <c r="F164" s="200"/>
      <c r="G164" s="13"/>
      <c r="H164" s="13"/>
      <c r="I164" s="13"/>
      <c r="J164" s="13"/>
      <c r="K164" s="13"/>
      <c r="L164" s="13"/>
      <c r="M164" s="13"/>
    </row>
    <row r="165" spans="1:13">
      <c r="A165" s="13"/>
      <c r="B165" s="202"/>
      <c r="C165" s="13"/>
      <c r="D165" s="13"/>
      <c r="E165" s="13"/>
      <c r="F165" s="200"/>
      <c r="G165" s="13"/>
      <c r="H165" s="13"/>
      <c r="I165" s="13"/>
      <c r="J165" s="13"/>
      <c r="K165" s="13"/>
      <c r="L165" s="13"/>
      <c r="M165" s="13"/>
    </row>
    <row r="166" spans="1:13">
      <c r="A166" s="13"/>
      <c r="B166" s="202"/>
      <c r="C166" s="13"/>
      <c r="D166" s="13"/>
      <c r="E166" s="13"/>
      <c r="F166" s="200"/>
      <c r="G166" s="13"/>
      <c r="H166" s="13"/>
      <c r="I166" s="13"/>
      <c r="J166" s="13"/>
      <c r="K166" s="13"/>
      <c r="L166" s="13"/>
      <c r="M166" s="13"/>
    </row>
    <row r="167" spans="1:13">
      <c r="A167" s="13"/>
      <c r="B167" s="202"/>
      <c r="C167" s="13"/>
      <c r="D167" s="13"/>
      <c r="E167" s="13"/>
      <c r="F167" s="200"/>
      <c r="G167" s="13"/>
      <c r="H167" s="13"/>
      <c r="I167" s="13"/>
      <c r="J167" s="13"/>
      <c r="K167" s="13"/>
      <c r="L167" s="13"/>
      <c r="M167" s="13"/>
    </row>
    <row r="168" spans="1:13">
      <c r="A168" s="13"/>
      <c r="B168" s="202"/>
      <c r="C168" s="13"/>
      <c r="D168" s="13"/>
      <c r="E168" s="13"/>
      <c r="F168" s="200"/>
      <c r="G168" s="13"/>
      <c r="H168" s="13"/>
      <c r="I168" s="13"/>
      <c r="J168" s="13"/>
      <c r="K168" s="13"/>
      <c r="L168" s="13"/>
      <c r="M168" s="13"/>
    </row>
    <row r="169" spans="1:13">
      <c r="A169" s="13"/>
      <c r="B169" s="202"/>
      <c r="C169" s="13"/>
      <c r="D169" s="13"/>
      <c r="E169" s="13"/>
      <c r="F169" s="200"/>
      <c r="G169" s="13"/>
      <c r="H169" s="13"/>
      <c r="I169" s="13"/>
      <c r="J169" s="13"/>
      <c r="K169" s="13"/>
      <c r="L169" s="13"/>
      <c r="M169" s="13"/>
    </row>
    <row r="170" spans="1:13">
      <c r="A170" s="13"/>
      <c r="B170" s="202"/>
      <c r="C170" s="13"/>
      <c r="D170" s="13"/>
      <c r="E170" s="13"/>
      <c r="F170" s="200"/>
      <c r="G170" s="13"/>
      <c r="H170" s="13"/>
      <c r="I170" s="13"/>
      <c r="J170" s="13"/>
      <c r="K170" s="13"/>
      <c r="L170" s="13"/>
      <c r="M170" s="13"/>
    </row>
    <row r="171" spans="1:13">
      <c r="A171" s="13"/>
      <c r="B171" s="202"/>
      <c r="C171" s="13"/>
      <c r="D171" s="13"/>
      <c r="E171" s="13"/>
      <c r="F171" s="200"/>
      <c r="G171" s="13"/>
      <c r="H171" s="13"/>
      <c r="I171" s="13"/>
      <c r="J171" s="13"/>
      <c r="K171" s="13"/>
      <c r="L171" s="13"/>
      <c r="M171" s="13"/>
    </row>
    <row r="172" spans="1:13">
      <c r="A172" s="13"/>
      <c r="B172" s="202"/>
      <c r="C172" s="13"/>
      <c r="D172" s="13"/>
      <c r="E172" s="13"/>
      <c r="F172" s="200"/>
      <c r="G172" s="13"/>
      <c r="H172" s="13"/>
      <c r="I172" s="13"/>
      <c r="J172" s="13"/>
      <c r="K172" s="13"/>
      <c r="L172" s="13"/>
      <c r="M172" s="13"/>
    </row>
    <row r="173" spans="1:13">
      <c r="A173" s="13"/>
      <c r="B173" s="202"/>
      <c r="C173" s="13"/>
      <c r="D173" s="13"/>
      <c r="E173" s="13"/>
      <c r="F173" s="200"/>
      <c r="G173" s="13"/>
      <c r="H173" s="13"/>
      <c r="I173" s="13"/>
      <c r="J173" s="13"/>
      <c r="K173" s="13"/>
      <c r="L173" s="13"/>
      <c r="M173" s="13"/>
    </row>
    <row r="174" spans="1:13">
      <c r="A174" s="13"/>
      <c r="B174" s="202"/>
      <c r="C174" s="13"/>
      <c r="D174" s="13"/>
      <c r="E174" s="13"/>
      <c r="F174" s="200"/>
      <c r="G174" s="13"/>
      <c r="H174" s="13"/>
      <c r="I174" s="13"/>
      <c r="J174" s="13"/>
      <c r="K174" s="13"/>
      <c r="L174" s="13"/>
      <c r="M174" s="13"/>
    </row>
    <row r="175" spans="1:13">
      <c r="A175" s="13"/>
      <c r="B175" s="202"/>
      <c r="C175" s="13"/>
      <c r="D175" s="13"/>
      <c r="E175" s="13"/>
      <c r="F175" s="200"/>
      <c r="G175" s="13"/>
      <c r="H175" s="13"/>
      <c r="I175" s="13"/>
      <c r="J175" s="13"/>
      <c r="K175" s="13"/>
      <c r="L175" s="13"/>
      <c r="M175" s="13"/>
    </row>
    <row r="176" spans="1:13">
      <c r="A176" s="13"/>
      <c r="B176" s="202"/>
      <c r="C176" s="13"/>
      <c r="D176" s="13"/>
      <c r="E176" s="13"/>
      <c r="F176" s="200"/>
      <c r="G176" s="13"/>
      <c r="H176" s="13"/>
      <c r="I176" s="13"/>
      <c r="J176" s="13"/>
      <c r="K176" s="13"/>
      <c r="L176" s="13"/>
      <c r="M176" s="13"/>
    </row>
    <row r="177" spans="1:13">
      <c r="A177" s="13"/>
      <c r="B177" s="202"/>
      <c r="C177" s="13"/>
      <c r="D177" s="13"/>
      <c r="E177" s="13"/>
      <c r="F177" s="200"/>
      <c r="G177" s="13"/>
      <c r="H177" s="13"/>
      <c r="I177" s="13"/>
      <c r="J177" s="13"/>
      <c r="K177" s="13"/>
      <c r="L177" s="13"/>
      <c r="M177" s="13"/>
    </row>
    <row r="178" spans="1:13">
      <c r="A178" s="13"/>
      <c r="B178" s="202"/>
      <c r="C178" s="13"/>
      <c r="D178" s="13"/>
      <c r="E178" s="13"/>
      <c r="F178" s="200"/>
      <c r="G178" s="13"/>
      <c r="H178" s="13"/>
      <c r="I178" s="13"/>
      <c r="J178" s="13"/>
      <c r="K178" s="13"/>
      <c r="L178" s="13"/>
      <c r="M178" s="13"/>
    </row>
    <row r="179" spans="1:13">
      <c r="A179" s="13"/>
      <c r="B179" s="202"/>
      <c r="C179" s="13"/>
      <c r="D179" s="13"/>
      <c r="E179" s="13"/>
      <c r="F179" s="200"/>
      <c r="G179" s="13"/>
      <c r="H179" s="13"/>
      <c r="I179" s="13"/>
      <c r="J179" s="13"/>
      <c r="K179" s="13"/>
      <c r="L179" s="13"/>
      <c r="M179" s="13"/>
    </row>
    <row r="180" spans="1:13">
      <c r="A180" s="13"/>
      <c r="B180" s="202"/>
      <c r="C180" s="13"/>
      <c r="D180" s="13"/>
      <c r="E180" s="13"/>
      <c r="F180" s="200"/>
      <c r="G180" s="13"/>
      <c r="H180" s="13"/>
      <c r="I180" s="13"/>
      <c r="J180" s="13"/>
      <c r="K180" s="13"/>
      <c r="L180" s="13"/>
      <c r="M180" s="13"/>
    </row>
    <row r="181" spans="1:13">
      <c r="A181" s="13"/>
      <c r="B181" s="202"/>
      <c r="C181" s="13"/>
      <c r="D181" s="13"/>
      <c r="E181" s="13"/>
      <c r="F181" s="200"/>
      <c r="G181" s="13"/>
      <c r="H181" s="13"/>
      <c r="I181" s="13"/>
      <c r="J181" s="13"/>
      <c r="K181" s="13"/>
      <c r="L181" s="13"/>
      <c r="M181" s="13"/>
    </row>
    <row r="182" spans="1:13">
      <c r="A182" s="13"/>
      <c r="B182" s="202"/>
      <c r="C182" s="13"/>
      <c r="D182" s="13"/>
      <c r="E182" s="13"/>
      <c r="F182" s="200"/>
      <c r="G182" s="13"/>
      <c r="H182" s="13"/>
      <c r="I182" s="13"/>
      <c r="J182" s="13"/>
      <c r="K182" s="13"/>
      <c r="L182" s="13"/>
      <c r="M182" s="13"/>
    </row>
    <row r="183" spans="1:13">
      <c r="A183" s="13"/>
      <c r="B183" s="202"/>
      <c r="C183" s="13"/>
      <c r="D183" s="13"/>
      <c r="E183" s="13"/>
      <c r="F183" s="200"/>
      <c r="G183" s="13"/>
      <c r="H183" s="13"/>
      <c r="I183" s="13"/>
      <c r="J183" s="13"/>
      <c r="K183" s="13"/>
      <c r="L183" s="13"/>
      <c r="M183" s="13"/>
    </row>
    <row r="184" spans="1:13">
      <c r="A184" s="13"/>
      <c r="B184" s="202"/>
      <c r="C184" s="13"/>
      <c r="D184" s="13"/>
      <c r="E184" s="13"/>
      <c r="F184" s="200"/>
      <c r="G184" s="13"/>
      <c r="H184" s="13"/>
      <c r="I184" s="13"/>
      <c r="J184" s="13"/>
      <c r="K184" s="13"/>
      <c r="L184" s="13"/>
      <c r="M184" s="13"/>
    </row>
    <row r="185" spans="1:13">
      <c r="A185" s="13"/>
      <c r="B185" s="202"/>
      <c r="C185" s="13"/>
      <c r="D185" s="13"/>
      <c r="E185" s="13"/>
      <c r="F185" s="200"/>
      <c r="G185" s="13"/>
      <c r="H185" s="13"/>
      <c r="I185" s="13"/>
      <c r="J185" s="13"/>
      <c r="K185" s="13"/>
      <c r="L185" s="13"/>
      <c r="M185" s="13"/>
    </row>
    <row r="186" spans="1:13">
      <c r="A186" s="13"/>
      <c r="B186" s="202"/>
      <c r="C186" s="13"/>
      <c r="D186" s="13"/>
      <c r="E186" s="13"/>
      <c r="F186" s="200"/>
      <c r="G186" s="13"/>
      <c r="H186" s="13"/>
      <c r="I186" s="13"/>
      <c r="J186" s="13"/>
      <c r="K186" s="13"/>
      <c r="L186" s="13"/>
      <c r="M186" s="13"/>
    </row>
    <row r="187" spans="1:13">
      <c r="A187" s="13"/>
      <c r="B187" s="202"/>
      <c r="C187" s="13"/>
      <c r="D187" s="13"/>
      <c r="E187" s="13"/>
      <c r="F187" s="200"/>
      <c r="G187" s="13"/>
      <c r="H187" s="13"/>
      <c r="I187" s="13"/>
      <c r="J187" s="13"/>
      <c r="K187" s="13"/>
      <c r="L187" s="13"/>
      <c r="M187" s="13"/>
    </row>
    <row r="188" spans="1:13">
      <c r="A188" s="13"/>
      <c r="B188" s="202"/>
      <c r="C188" s="13"/>
      <c r="D188" s="13"/>
      <c r="E188" s="13"/>
      <c r="F188" s="200"/>
      <c r="G188" s="13"/>
      <c r="H188" s="13"/>
      <c r="I188" s="13"/>
      <c r="J188" s="13"/>
      <c r="K188" s="13"/>
      <c r="L188" s="13"/>
      <c r="M188" s="13"/>
    </row>
    <row r="189" spans="1:13">
      <c r="A189" s="13"/>
      <c r="B189" s="202"/>
      <c r="C189" s="13"/>
      <c r="D189" s="13"/>
      <c r="E189" s="13"/>
      <c r="F189" s="200"/>
      <c r="G189" s="13"/>
      <c r="H189" s="13"/>
      <c r="I189" s="13"/>
      <c r="J189" s="13"/>
      <c r="K189" s="13"/>
      <c r="L189" s="13"/>
      <c r="M189" s="13"/>
    </row>
    <row r="190" spans="1:13">
      <c r="A190" s="13"/>
      <c r="B190" s="202"/>
      <c r="C190" s="13"/>
      <c r="D190" s="13"/>
      <c r="E190" s="13"/>
      <c r="F190" s="200"/>
      <c r="G190" s="13"/>
      <c r="H190" s="13"/>
      <c r="I190" s="13"/>
      <c r="J190" s="13"/>
      <c r="K190" s="13"/>
      <c r="L190" s="13"/>
      <c r="M190" s="13"/>
    </row>
    <row r="191" spans="1:13">
      <c r="A191" s="13"/>
      <c r="B191" s="202"/>
      <c r="C191" s="13"/>
      <c r="D191" s="13"/>
      <c r="E191" s="13"/>
      <c r="F191" s="200"/>
      <c r="G191" s="13"/>
      <c r="H191" s="13"/>
      <c r="I191" s="13"/>
      <c r="J191" s="13"/>
      <c r="K191" s="13"/>
      <c r="L191" s="13"/>
      <c r="M191" s="13"/>
    </row>
    <row r="192" spans="1:13">
      <c r="A192" s="13"/>
      <c r="B192" s="202"/>
      <c r="C192" s="13"/>
      <c r="D192" s="13"/>
      <c r="E192" s="13"/>
      <c r="F192" s="200"/>
      <c r="G192" s="13"/>
      <c r="H192" s="13"/>
      <c r="I192" s="13"/>
      <c r="J192" s="13"/>
      <c r="K192" s="13"/>
      <c r="L192" s="13"/>
      <c r="M192" s="13"/>
    </row>
    <row r="193" spans="1:13">
      <c r="A193" s="13"/>
      <c r="B193" s="202"/>
      <c r="C193" s="13"/>
      <c r="D193" s="13"/>
      <c r="E193" s="13"/>
      <c r="F193" s="200"/>
      <c r="G193" s="13"/>
      <c r="H193" s="13"/>
      <c r="I193" s="13"/>
      <c r="J193" s="13"/>
      <c r="K193" s="13"/>
      <c r="L193" s="13"/>
      <c r="M193" s="13"/>
    </row>
    <row r="194" spans="1:13">
      <c r="A194" s="13"/>
      <c r="B194" s="202"/>
      <c r="C194" s="13"/>
      <c r="D194" s="13"/>
      <c r="E194" s="13"/>
      <c r="F194" s="200"/>
      <c r="G194" s="13"/>
      <c r="H194" s="13"/>
      <c r="I194" s="13"/>
      <c r="J194" s="13"/>
      <c r="K194" s="13"/>
      <c r="L194" s="13"/>
      <c r="M194" s="13"/>
    </row>
  </sheetData>
  <autoFilter ref="C4:C17"/>
  <mergeCells count="31">
    <mergeCell ref="T4:U5"/>
    <mergeCell ref="T6:T8"/>
    <mergeCell ref="U6:U8"/>
    <mergeCell ref="V4:V8"/>
    <mergeCell ref="J6:J8"/>
    <mergeCell ref="I4:J5"/>
    <mergeCell ref="K4:L5"/>
    <mergeCell ref="M4:M8"/>
    <mergeCell ref="S4:S8"/>
    <mergeCell ref="O4:P5"/>
    <mergeCell ref="Q4:R5"/>
    <mergeCell ref="O6:O8"/>
    <mergeCell ref="P6:P8"/>
    <mergeCell ref="Q6:Q8"/>
    <mergeCell ref="R6:R8"/>
    <mergeCell ref="W4:W8"/>
    <mergeCell ref="A1:M1"/>
    <mergeCell ref="A4:A8"/>
    <mergeCell ref="B4:B8"/>
    <mergeCell ref="C4:C8"/>
    <mergeCell ref="E4:E8"/>
    <mergeCell ref="F4:H4"/>
    <mergeCell ref="D4:D8"/>
    <mergeCell ref="F5:F8"/>
    <mergeCell ref="G5:H5"/>
    <mergeCell ref="G6:G8"/>
    <mergeCell ref="H6:H8"/>
    <mergeCell ref="I6:I8"/>
    <mergeCell ref="K6:K8"/>
    <mergeCell ref="L6:L8"/>
    <mergeCell ref="A3:V3"/>
  </mergeCells>
  <printOptions horizontalCentered="1"/>
  <pageMargins left="0.74" right="0.47244094488188981" top="0.43" bottom="0.39370078740157483" header="0.31496062992125984" footer="0.23622047244094491"/>
  <pageSetup paperSize="9" scale="60" orientation="landscape" r:id="rId1"/>
  <headerFoot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5"/>
  <sheetViews>
    <sheetView zoomScale="55" zoomScaleNormal="55" workbookViewId="0">
      <pane xSplit="2" ySplit="10" topLeftCell="C101" activePane="bottomRight" state="frozen"/>
      <selection pane="topRight" activeCell="C1" sqref="C1"/>
      <selection pane="bottomLeft" activeCell="A11" sqref="A11"/>
      <selection pane="bottomRight" activeCell="V104" activeCellId="1" sqref="V11 V104"/>
    </sheetView>
  </sheetViews>
  <sheetFormatPr defaultRowHeight="18.75"/>
  <cols>
    <col min="1" max="1" width="10.7109375" style="40" customWidth="1"/>
    <col min="2" max="2" width="46.28515625" style="203" customWidth="1"/>
    <col min="3" max="3" width="10.5703125" style="44" customWidth="1"/>
    <col min="4" max="4" width="9.5703125" style="44" customWidth="1"/>
    <col min="5" max="5" width="9.85546875" style="44" customWidth="1"/>
    <col min="6" max="6" width="19.5703125" style="201" customWidth="1"/>
    <col min="7" max="7" width="14.42578125" style="3" customWidth="1"/>
    <col min="8" max="8" width="14.85546875" style="3" customWidth="1"/>
    <col min="9" max="12" width="11" style="3" hidden="1" customWidth="1"/>
    <col min="13" max="13" width="13.85546875" style="3" hidden="1" customWidth="1"/>
    <col min="14" max="16" width="15" style="13" hidden="1" customWidth="1"/>
    <col min="17" max="17" width="12" style="13" hidden="1" customWidth="1"/>
    <col min="18" max="18" width="13" style="13" hidden="1" customWidth="1"/>
    <col min="19" max="19" width="13.140625" style="13" hidden="1" customWidth="1"/>
    <col min="20" max="20" width="13.7109375" style="13" customWidth="1"/>
    <col min="21" max="21" width="14.7109375" style="13" customWidth="1"/>
    <col min="22" max="22" width="13.42578125" style="13" customWidth="1"/>
    <col min="23" max="23" width="24.140625" style="13" customWidth="1"/>
    <col min="24" max="25" width="5.85546875" style="13" bestFit="1" customWidth="1"/>
    <col min="26" max="220" width="9.140625" style="13"/>
    <col min="221" max="221" width="5.140625" style="13" customWidth="1"/>
    <col min="222" max="222" width="32.42578125" style="13" customWidth="1"/>
    <col min="223" max="225" width="10.28515625" style="13" customWidth="1"/>
    <col min="226" max="227" width="12.42578125" style="13" customWidth="1"/>
    <col min="228" max="228" width="11.28515625" style="13" customWidth="1"/>
    <col min="229" max="229" width="12.42578125" style="13" customWidth="1"/>
    <col min="230" max="230" width="11.28515625" style="13" customWidth="1"/>
    <col min="231" max="231" width="12.42578125" style="13" customWidth="1"/>
    <col min="232" max="232" width="11.28515625" style="13" customWidth="1"/>
    <col min="233" max="233" width="12.42578125" style="13" customWidth="1"/>
    <col min="234" max="234" width="11.28515625" style="13" customWidth="1"/>
    <col min="235" max="235" width="12.42578125" style="13" customWidth="1"/>
    <col min="236" max="236" width="11.28515625" style="13" customWidth="1"/>
    <col min="237" max="237" width="14.140625" style="13" customWidth="1"/>
    <col min="238" max="238" width="10.28515625" style="13" customWidth="1"/>
    <col min="239" max="239" width="17.140625" style="13" customWidth="1"/>
    <col min="240" max="240" width="12" style="13" customWidth="1"/>
    <col min="241" max="241" width="14.140625" style="13" customWidth="1"/>
    <col min="242" max="242" width="10.28515625" style="13" customWidth="1"/>
    <col min="243" max="243" width="17.140625" style="13" customWidth="1"/>
    <col min="244" max="244" width="12" style="13" customWidth="1"/>
    <col min="245" max="245" width="10.7109375" style="13" customWidth="1"/>
    <col min="246" max="248" width="0" style="13" hidden="1" customWidth="1"/>
    <col min="249" max="476" width="9.140625" style="13"/>
    <col min="477" max="477" width="5.140625" style="13" customWidth="1"/>
    <col min="478" max="478" width="32.42578125" style="13" customWidth="1"/>
    <col min="479" max="481" width="10.28515625" style="13" customWidth="1"/>
    <col min="482" max="483" width="12.42578125" style="13" customWidth="1"/>
    <col min="484" max="484" width="11.28515625" style="13" customWidth="1"/>
    <col min="485" max="485" width="12.42578125" style="13" customWidth="1"/>
    <col min="486" max="486" width="11.28515625" style="13" customWidth="1"/>
    <col min="487" max="487" width="12.42578125" style="13" customWidth="1"/>
    <col min="488" max="488" width="11.28515625" style="13" customWidth="1"/>
    <col min="489" max="489" width="12.42578125" style="13" customWidth="1"/>
    <col min="490" max="490" width="11.28515625" style="13" customWidth="1"/>
    <col min="491" max="491" width="12.42578125" style="13" customWidth="1"/>
    <col min="492" max="492" width="11.28515625" style="13" customWidth="1"/>
    <col min="493" max="493" width="14.140625" style="13" customWidth="1"/>
    <col min="494" max="494" width="10.28515625" style="13" customWidth="1"/>
    <col min="495" max="495" width="17.140625" style="13" customWidth="1"/>
    <col min="496" max="496" width="12" style="13" customWidth="1"/>
    <col min="497" max="497" width="14.140625" style="13" customWidth="1"/>
    <col min="498" max="498" width="10.28515625" style="13" customWidth="1"/>
    <col min="499" max="499" width="17.140625" style="13" customWidth="1"/>
    <col min="500" max="500" width="12" style="13" customWidth="1"/>
    <col min="501" max="501" width="10.7109375" style="13" customWidth="1"/>
    <col min="502" max="504" width="0" style="13" hidden="1" customWidth="1"/>
    <col min="505" max="732" width="9.140625" style="13"/>
    <col min="733" max="733" width="5.140625" style="13" customWidth="1"/>
    <col min="734" max="734" width="32.42578125" style="13" customWidth="1"/>
    <col min="735" max="737" width="10.28515625" style="13" customWidth="1"/>
    <col min="738" max="739" width="12.42578125" style="13" customWidth="1"/>
    <col min="740" max="740" width="11.28515625" style="13" customWidth="1"/>
    <col min="741" max="741" width="12.42578125" style="13" customWidth="1"/>
    <col min="742" max="742" width="11.28515625" style="13" customWidth="1"/>
    <col min="743" max="743" width="12.42578125" style="13" customWidth="1"/>
    <col min="744" max="744" width="11.28515625" style="13" customWidth="1"/>
    <col min="745" max="745" width="12.42578125" style="13" customWidth="1"/>
    <col min="746" max="746" width="11.28515625" style="13" customWidth="1"/>
    <col min="747" max="747" width="12.42578125" style="13" customWidth="1"/>
    <col min="748" max="748" width="11.28515625" style="13" customWidth="1"/>
    <col min="749" max="749" width="14.140625" style="13" customWidth="1"/>
    <col min="750" max="750" width="10.28515625" style="13" customWidth="1"/>
    <col min="751" max="751" width="17.140625" style="13" customWidth="1"/>
    <col min="752" max="752" width="12" style="13" customWidth="1"/>
    <col min="753" max="753" width="14.140625" style="13" customWidth="1"/>
    <col min="754" max="754" width="10.28515625" style="13" customWidth="1"/>
    <col min="755" max="755" width="17.140625" style="13" customWidth="1"/>
    <col min="756" max="756" width="12" style="13" customWidth="1"/>
    <col min="757" max="757" width="10.7109375" style="13" customWidth="1"/>
    <col min="758" max="760" width="0" style="13" hidden="1" customWidth="1"/>
    <col min="761" max="988" width="9.140625" style="13"/>
    <col min="989" max="989" width="5.140625" style="13" customWidth="1"/>
    <col min="990" max="990" width="32.42578125" style="13" customWidth="1"/>
    <col min="991" max="993" width="10.28515625" style="13" customWidth="1"/>
    <col min="994" max="995" width="12.42578125" style="13" customWidth="1"/>
    <col min="996" max="996" width="11.28515625" style="13" customWidth="1"/>
    <col min="997" max="997" width="12.42578125" style="13" customWidth="1"/>
    <col min="998" max="998" width="11.28515625" style="13" customWidth="1"/>
    <col min="999" max="999" width="12.42578125" style="13" customWidth="1"/>
    <col min="1000" max="1000" width="11.28515625" style="13" customWidth="1"/>
    <col min="1001" max="1001" width="12.42578125" style="13" customWidth="1"/>
    <col min="1002" max="1002" width="11.28515625" style="13" customWidth="1"/>
    <col min="1003" max="1003" width="12.42578125" style="13" customWidth="1"/>
    <col min="1004" max="1004" width="11.28515625" style="13" customWidth="1"/>
    <col min="1005" max="1005" width="14.140625" style="13" customWidth="1"/>
    <col min="1006" max="1006" width="10.28515625" style="13" customWidth="1"/>
    <col min="1007" max="1007" width="17.140625" style="13" customWidth="1"/>
    <col min="1008" max="1008" width="12" style="13" customWidth="1"/>
    <col min="1009" max="1009" width="14.140625" style="13" customWidth="1"/>
    <col min="1010" max="1010" width="10.28515625" style="13" customWidth="1"/>
    <col min="1011" max="1011" width="17.140625" style="13" customWidth="1"/>
    <col min="1012" max="1012" width="12" style="13" customWidth="1"/>
    <col min="1013" max="1013" width="10.7109375" style="13" customWidth="1"/>
    <col min="1014" max="1016" width="0" style="13" hidden="1" customWidth="1"/>
    <col min="1017" max="1244" width="9.140625" style="13"/>
    <col min="1245" max="1245" width="5.140625" style="13" customWidth="1"/>
    <col min="1246" max="1246" width="32.42578125" style="13" customWidth="1"/>
    <col min="1247" max="1249" width="10.28515625" style="13" customWidth="1"/>
    <col min="1250" max="1251" width="12.42578125" style="13" customWidth="1"/>
    <col min="1252" max="1252" width="11.28515625" style="13" customWidth="1"/>
    <col min="1253" max="1253" width="12.42578125" style="13" customWidth="1"/>
    <col min="1254" max="1254" width="11.28515625" style="13" customWidth="1"/>
    <col min="1255" max="1255" width="12.42578125" style="13" customWidth="1"/>
    <col min="1256" max="1256" width="11.28515625" style="13" customWidth="1"/>
    <col min="1257" max="1257" width="12.42578125" style="13" customWidth="1"/>
    <col min="1258" max="1258" width="11.28515625" style="13" customWidth="1"/>
    <col min="1259" max="1259" width="12.42578125" style="13" customWidth="1"/>
    <col min="1260" max="1260" width="11.28515625" style="13" customWidth="1"/>
    <col min="1261" max="1261" width="14.140625" style="13" customWidth="1"/>
    <col min="1262" max="1262" width="10.28515625" style="13" customWidth="1"/>
    <col min="1263" max="1263" width="17.140625" style="13" customWidth="1"/>
    <col min="1264" max="1264" width="12" style="13" customWidth="1"/>
    <col min="1265" max="1265" width="14.140625" style="13" customWidth="1"/>
    <col min="1266" max="1266" width="10.28515625" style="13" customWidth="1"/>
    <col min="1267" max="1267" width="17.140625" style="13" customWidth="1"/>
    <col min="1268" max="1268" width="12" style="13" customWidth="1"/>
    <col min="1269" max="1269" width="10.7109375" style="13" customWidth="1"/>
    <col min="1270" max="1272" width="0" style="13" hidden="1" customWidth="1"/>
    <col min="1273" max="1500" width="9.140625" style="13"/>
    <col min="1501" max="1501" width="5.140625" style="13" customWidth="1"/>
    <col min="1502" max="1502" width="32.42578125" style="13" customWidth="1"/>
    <col min="1503" max="1505" width="10.28515625" style="13" customWidth="1"/>
    <col min="1506" max="1507" width="12.42578125" style="13" customWidth="1"/>
    <col min="1508" max="1508" width="11.28515625" style="13" customWidth="1"/>
    <col min="1509" max="1509" width="12.42578125" style="13" customWidth="1"/>
    <col min="1510" max="1510" width="11.28515625" style="13" customWidth="1"/>
    <col min="1511" max="1511" width="12.42578125" style="13" customWidth="1"/>
    <col min="1512" max="1512" width="11.28515625" style="13" customWidth="1"/>
    <col min="1513" max="1513" width="12.42578125" style="13" customWidth="1"/>
    <col min="1514" max="1514" width="11.28515625" style="13" customWidth="1"/>
    <col min="1515" max="1515" width="12.42578125" style="13" customWidth="1"/>
    <col min="1516" max="1516" width="11.28515625" style="13" customWidth="1"/>
    <col min="1517" max="1517" width="14.140625" style="13" customWidth="1"/>
    <col min="1518" max="1518" width="10.28515625" style="13" customWidth="1"/>
    <col min="1519" max="1519" width="17.140625" style="13" customWidth="1"/>
    <col min="1520" max="1520" width="12" style="13" customWidth="1"/>
    <col min="1521" max="1521" width="14.140625" style="13" customWidth="1"/>
    <col min="1522" max="1522" width="10.28515625" style="13" customWidth="1"/>
    <col min="1523" max="1523" width="17.140625" style="13" customWidth="1"/>
    <col min="1524" max="1524" width="12" style="13" customWidth="1"/>
    <col min="1525" max="1525" width="10.7109375" style="13" customWidth="1"/>
    <col min="1526" max="1528" width="0" style="13" hidden="1" customWidth="1"/>
    <col min="1529" max="1756" width="9.140625" style="13"/>
    <col min="1757" max="1757" width="5.140625" style="13" customWidth="1"/>
    <col min="1758" max="1758" width="32.42578125" style="13" customWidth="1"/>
    <col min="1759" max="1761" width="10.28515625" style="13" customWidth="1"/>
    <col min="1762" max="1763" width="12.42578125" style="13" customWidth="1"/>
    <col min="1764" max="1764" width="11.28515625" style="13" customWidth="1"/>
    <col min="1765" max="1765" width="12.42578125" style="13" customWidth="1"/>
    <col min="1766" max="1766" width="11.28515625" style="13" customWidth="1"/>
    <col min="1767" max="1767" width="12.42578125" style="13" customWidth="1"/>
    <col min="1768" max="1768" width="11.28515625" style="13" customWidth="1"/>
    <col min="1769" max="1769" width="12.42578125" style="13" customWidth="1"/>
    <col min="1770" max="1770" width="11.28515625" style="13" customWidth="1"/>
    <col min="1771" max="1771" width="12.42578125" style="13" customWidth="1"/>
    <col min="1772" max="1772" width="11.28515625" style="13" customWidth="1"/>
    <col min="1773" max="1773" width="14.140625" style="13" customWidth="1"/>
    <col min="1774" max="1774" width="10.28515625" style="13" customWidth="1"/>
    <col min="1775" max="1775" width="17.140625" style="13" customWidth="1"/>
    <col min="1776" max="1776" width="12" style="13" customWidth="1"/>
    <col min="1777" max="1777" width="14.140625" style="13" customWidth="1"/>
    <col min="1778" max="1778" width="10.28515625" style="13" customWidth="1"/>
    <col min="1779" max="1779" width="17.140625" style="13" customWidth="1"/>
    <col min="1780" max="1780" width="12" style="13" customWidth="1"/>
    <col min="1781" max="1781" width="10.7109375" style="13" customWidth="1"/>
    <col min="1782" max="1784" width="0" style="13" hidden="1" customWidth="1"/>
    <col min="1785" max="2012" width="9.140625" style="13"/>
    <col min="2013" max="2013" width="5.140625" style="13" customWidth="1"/>
    <col min="2014" max="2014" width="32.42578125" style="13" customWidth="1"/>
    <col min="2015" max="2017" width="10.28515625" style="13" customWidth="1"/>
    <col min="2018" max="2019" width="12.42578125" style="13" customWidth="1"/>
    <col min="2020" max="2020" width="11.28515625" style="13" customWidth="1"/>
    <col min="2021" max="2021" width="12.42578125" style="13" customWidth="1"/>
    <col min="2022" max="2022" width="11.28515625" style="13" customWidth="1"/>
    <col min="2023" max="2023" width="12.42578125" style="13" customWidth="1"/>
    <col min="2024" max="2024" width="11.28515625" style="13" customWidth="1"/>
    <col min="2025" max="2025" width="12.42578125" style="13" customWidth="1"/>
    <col min="2026" max="2026" width="11.28515625" style="13" customWidth="1"/>
    <col min="2027" max="2027" width="12.42578125" style="13" customWidth="1"/>
    <col min="2028" max="2028" width="11.28515625" style="13" customWidth="1"/>
    <col min="2029" max="2029" width="14.140625" style="13" customWidth="1"/>
    <col min="2030" max="2030" width="10.28515625" style="13" customWidth="1"/>
    <col min="2031" max="2031" width="17.140625" style="13" customWidth="1"/>
    <col min="2032" max="2032" width="12" style="13" customWidth="1"/>
    <col min="2033" max="2033" width="14.140625" style="13" customWidth="1"/>
    <col min="2034" max="2034" width="10.28515625" style="13" customWidth="1"/>
    <col min="2035" max="2035" width="17.140625" style="13" customWidth="1"/>
    <col min="2036" max="2036" width="12" style="13" customWidth="1"/>
    <col min="2037" max="2037" width="10.7109375" style="13" customWidth="1"/>
    <col min="2038" max="2040" width="0" style="13" hidden="1" customWidth="1"/>
    <col min="2041" max="2268" width="9.140625" style="13"/>
    <col min="2269" max="2269" width="5.140625" style="13" customWidth="1"/>
    <col min="2270" max="2270" width="32.42578125" style="13" customWidth="1"/>
    <col min="2271" max="2273" width="10.28515625" style="13" customWidth="1"/>
    <col min="2274" max="2275" width="12.42578125" style="13" customWidth="1"/>
    <col min="2276" max="2276" width="11.28515625" style="13" customWidth="1"/>
    <col min="2277" max="2277" width="12.42578125" style="13" customWidth="1"/>
    <col min="2278" max="2278" width="11.28515625" style="13" customWidth="1"/>
    <col min="2279" max="2279" width="12.42578125" style="13" customWidth="1"/>
    <col min="2280" max="2280" width="11.28515625" style="13" customWidth="1"/>
    <col min="2281" max="2281" width="12.42578125" style="13" customWidth="1"/>
    <col min="2282" max="2282" width="11.28515625" style="13" customWidth="1"/>
    <col min="2283" max="2283" width="12.42578125" style="13" customWidth="1"/>
    <col min="2284" max="2284" width="11.28515625" style="13" customWidth="1"/>
    <col min="2285" max="2285" width="14.140625" style="13" customWidth="1"/>
    <col min="2286" max="2286" width="10.28515625" style="13" customWidth="1"/>
    <col min="2287" max="2287" width="17.140625" style="13" customWidth="1"/>
    <col min="2288" max="2288" width="12" style="13" customWidth="1"/>
    <col min="2289" max="2289" width="14.140625" style="13" customWidth="1"/>
    <col min="2290" max="2290" width="10.28515625" style="13" customWidth="1"/>
    <col min="2291" max="2291" width="17.140625" style="13" customWidth="1"/>
    <col min="2292" max="2292" width="12" style="13" customWidth="1"/>
    <col min="2293" max="2293" width="10.7109375" style="13" customWidth="1"/>
    <col min="2294" max="2296" width="0" style="13" hidden="1" customWidth="1"/>
    <col min="2297" max="2524" width="9.140625" style="13"/>
    <col min="2525" max="2525" width="5.140625" style="13" customWidth="1"/>
    <col min="2526" max="2526" width="32.42578125" style="13" customWidth="1"/>
    <col min="2527" max="2529" width="10.28515625" style="13" customWidth="1"/>
    <col min="2530" max="2531" width="12.42578125" style="13" customWidth="1"/>
    <col min="2532" max="2532" width="11.28515625" style="13" customWidth="1"/>
    <col min="2533" max="2533" width="12.42578125" style="13" customWidth="1"/>
    <col min="2534" max="2534" width="11.28515625" style="13" customWidth="1"/>
    <col min="2535" max="2535" width="12.42578125" style="13" customWidth="1"/>
    <col min="2536" max="2536" width="11.28515625" style="13" customWidth="1"/>
    <col min="2537" max="2537" width="12.42578125" style="13" customWidth="1"/>
    <col min="2538" max="2538" width="11.28515625" style="13" customWidth="1"/>
    <col min="2539" max="2539" width="12.42578125" style="13" customWidth="1"/>
    <col min="2540" max="2540" width="11.28515625" style="13" customWidth="1"/>
    <col min="2541" max="2541" width="14.140625" style="13" customWidth="1"/>
    <col min="2542" max="2542" width="10.28515625" style="13" customWidth="1"/>
    <col min="2543" max="2543" width="17.140625" style="13" customWidth="1"/>
    <col min="2544" max="2544" width="12" style="13" customWidth="1"/>
    <col min="2545" max="2545" width="14.140625" style="13" customWidth="1"/>
    <col min="2546" max="2546" width="10.28515625" style="13" customWidth="1"/>
    <col min="2547" max="2547" width="17.140625" style="13" customWidth="1"/>
    <col min="2548" max="2548" width="12" style="13" customWidth="1"/>
    <col min="2549" max="2549" width="10.7109375" style="13" customWidth="1"/>
    <col min="2550" max="2552" width="0" style="13" hidden="1" customWidth="1"/>
    <col min="2553" max="2780" width="9.140625" style="13"/>
    <col min="2781" max="2781" width="5.140625" style="13" customWidth="1"/>
    <col min="2782" max="2782" width="32.42578125" style="13" customWidth="1"/>
    <col min="2783" max="2785" width="10.28515625" style="13" customWidth="1"/>
    <col min="2786" max="2787" width="12.42578125" style="13" customWidth="1"/>
    <col min="2788" max="2788" width="11.28515625" style="13" customWidth="1"/>
    <col min="2789" max="2789" width="12.42578125" style="13" customWidth="1"/>
    <col min="2790" max="2790" width="11.28515625" style="13" customWidth="1"/>
    <col min="2791" max="2791" width="12.42578125" style="13" customWidth="1"/>
    <col min="2792" max="2792" width="11.28515625" style="13" customWidth="1"/>
    <col min="2793" max="2793" width="12.42578125" style="13" customWidth="1"/>
    <col min="2794" max="2794" width="11.28515625" style="13" customWidth="1"/>
    <col min="2795" max="2795" width="12.42578125" style="13" customWidth="1"/>
    <col min="2796" max="2796" width="11.28515625" style="13" customWidth="1"/>
    <col min="2797" max="2797" width="14.140625" style="13" customWidth="1"/>
    <col min="2798" max="2798" width="10.28515625" style="13" customWidth="1"/>
    <col min="2799" max="2799" width="17.140625" style="13" customWidth="1"/>
    <col min="2800" max="2800" width="12" style="13" customWidth="1"/>
    <col min="2801" max="2801" width="14.140625" style="13" customWidth="1"/>
    <col min="2802" max="2802" width="10.28515625" style="13" customWidth="1"/>
    <col min="2803" max="2803" width="17.140625" style="13" customWidth="1"/>
    <col min="2804" max="2804" width="12" style="13" customWidth="1"/>
    <col min="2805" max="2805" width="10.7109375" style="13" customWidth="1"/>
    <col min="2806" max="2808" width="0" style="13" hidden="1" customWidth="1"/>
    <col min="2809" max="3036" width="9.140625" style="13"/>
    <col min="3037" max="3037" width="5.140625" style="13" customWidth="1"/>
    <col min="3038" max="3038" width="32.42578125" style="13" customWidth="1"/>
    <col min="3039" max="3041" width="10.28515625" style="13" customWidth="1"/>
    <col min="3042" max="3043" width="12.42578125" style="13" customWidth="1"/>
    <col min="3044" max="3044" width="11.28515625" style="13" customWidth="1"/>
    <col min="3045" max="3045" width="12.42578125" style="13" customWidth="1"/>
    <col min="3046" max="3046" width="11.28515625" style="13" customWidth="1"/>
    <col min="3047" max="3047" width="12.42578125" style="13" customWidth="1"/>
    <col min="3048" max="3048" width="11.28515625" style="13" customWidth="1"/>
    <col min="3049" max="3049" width="12.42578125" style="13" customWidth="1"/>
    <col min="3050" max="3050" width="11.28515625" style="13" customWidth="1"/>
    <col min="3051" max="3051" width="12.42578125" style="13" customWidth="1"/>
    <col min="3052" max="3052" width="11.28515625" style="13" customWidth="1"/>
    <col min="3053" max="3053" width="14.140625" style="13" customWidth="1"/>
    <col min="3054" max="3054" width="10.28515625" style="13" customWidth="1"/>
    <col min="3055" max="3055" width="17.140625" style="13" customWidth="1"/>
    <col min="3056" max="3056" width="12" style="13" customWidth="1"/>
    <col min="3057" max="3057" width="14.140625" style="13" customWidth="1"/>
    <col min="3058" max="3058" width="10.28515625" style="13" customWidth="1"/>
    <col min="3059" max="3059" width="17.140625" style="13" customWidth="1"/>
    <col min="3060" max="3060" width="12" style="13" customWidth="1"/>
    <col min="3061" max="3061" width="10.7109375" style="13" customWidth="1"/>
    <col min="3062" max="3064" width="0" style="13" hidden="1" customWidth="1"/>
    <col min="3065" max="3292" width="9.140625" style="13"/>
    <col min="3293" max="3293" width="5.140625" style="13" customWidth="1"/>
    <col min="3294" max="3294" width="32.42578125" style="13" customWidth="1"/>
    <col min="3295" max="3297" width="10.28515625" style="13" customWidth="1"/>
    <col min="3298" max="3299" width="12.42578125" style="13" customWidth="1"/>
    <col min="3300" max="3300" width="11.28515625" style="13" customWidth="1"/>
    <col min="3301" max="3301" width="12.42578125" style="13" customWidth="1"/>
    <col min="3302" max="3302" width="11.28515625" style="13" customWidth="1"/>
    <col min="3303" max="3303" width="12.42578125" style="13" customWidth="1"/>
    <col min="3304" max="3304" width="11.28515625" style="13" customWidth="1"/>
    <col min="3305" max="3305" width="12.42578125" style="13" customWidth="1"/>
    <col min="3306" max="3306" width="11.28515625" style="13" customWidth="1"/>
    <col min="3307" max="3307" width="12.42578125" style="13" customWidth="1"/>
    <col min="3308" max="3308" width="11.28515625" style="13" customWidth="1"/>
    <col min="3309" max="3309" width="14.140625" style="13" customWidth="1"/>
    <col min="3310" max="3310" width="10.28515625" style="13" customWidth="1"/>
    <col min="3311" max="3311" width="17.140625" style="13" customWidth="1"/>
    <col min="3312" max="3312" width="12" style="13" customWidth="1"/>
    <col min="3313" max="3313" width="14.140625" style="13" customWidth="1"/>
    <col min="3314" max="3314" width="10.28515625" style="13" customWidth="1"/>
    <col min="3315" max="3315" width="17.140625" style="13" customWidth="1"/>
    <col min="3316" max="3316" width="12" style="13" customWidth="1"/>
    <col min="3317" max="3317" width="10.7109375" style="13" customWidth="1"/>
    <col min="3318" max="3320" width="0" style="13" hidden="1" customWidth="1"/>
    <col min="3321" max="3548" width="9.140625" style="13"/>
    <col min="3549" max="3549" width="5.140625" style="13" customWidth="1"/>
    <col min="3550" max="3550" width="32.42578125" style="13" customWidth="1"/>
    <col min="3551" max="3553" width="10.28515625" style="13" customWidth="1"/>
    <col min="3554" max="3555" width="12.42578125" style="13" customWidth="1"/>
    <col min="3556" max="3556" width="11.28515625" style="13" customWidth="1"/>
    <col min="3557" max="3557" width="12.42578125" style="13" customWidth="1"/>
    <col min="3558" max="3558" width="11.28515625" style="13" customWidth="1"/>
    <col min="3559" max="3559" width="12.42578125" style="13" customWidth="1"/>
    <col min="3560" max="3560" width="11.28515625" style="13" customWidth="1"/>
    <col min="3561" max="3561" width="12.42578125" style="13" customWidth="1"/>
    <col min="3562" max="3562" width="11.28515625" style="13" customWidth="1"/>
    <col min="3563" max="3563" width="12.42578125" style="13" customWidth="1"/>
    <col min="3564" max="3564" width="11.28515625" style="13" customWidth="1"/>
    <col min="3565" max="3565" width="14.140625" style="13" customWidth="1"/>
    <col min="3566" max="3566" width="10.28515625" style="13" customWidth="1"/>
    <col min="3567" max="3567" width="17.140625" style="13" customWidth="1"/>
    <col min="3568" max="3568" width="12" style="13" customWidth="1"/>
    <col min="3569" max="3569" width="14.140625" style="13" customWidth="1"/>
    <col min="3570" max="3570" width="10.28515625" style="13" customWidth="1"/>
    <col min="3571" max="3571" width="17.140625" style="13" customWidth="1"/>
    <col min="3572" max="3572" width="12" style="13" customWidth="1"/>
    <col min="3573" max="3573" width="10.7109375" style="13" customWidth="1"/>
    <col min="3574" max="3576" width="0" style="13" hidden="1" customWidth="1"/>
    <col min="3577" max="3804" width="9.140625" style="13"/>
    <col min="3805" max="3805" width="5.140625" style="13" customWidth="1"/>
    <col min="3806" max="3806" width="32.42578125" style="13" customWidth="1"/>
    <col min="3807" max="3809" width="10.28515625" style="13" customWidth="1"/>
    <col min="3810" max="3811" width="12.42578125" style="13" customWidth="1"/>
    <col min="3812" max="3812" width="11.28515625" style="13" customWidth="1"/>
    <col min="3813" max="3813" width="12.42578125" style="13" customWidth="1"/>
    <col min="3814" max="3814" width="11.28515625" style="13" customWidth="1"/>
    <col min="3815" max="3815" width="12.42578125" style="13" customWidth="1"/>
    <col min="3816" max="3816" width="11.28515625" style="13" customWidth="1"/>
    <col min="3817" max="3817" width="12.42578125" style="13" customWidth="1"/>
    <col min="3818" max="3818" width="11.28515625" style="13" customWidth="1"/>
    <col min="3819" max="3819" width="12.42578125" style="13" customWidth="1"/>
    <col min="3820" max="3820" width="11.28515625" style="13" customWidth="1"/>
    <col min="3821" max="3821" width="14.140625" style="13" customWidth="1"/>
    <col min="3822" max="3822" width="10.28515625" style="13" customWidth="1"/>
    <col min="3823" max="3823" width="17.140625" style="13" customWidth="1"/>
    <col min="3824" max="3824" width="12" style="13" customWidth="1"/>
    <col min="3825" max="3825" width="14.140625" style="13" customWidth="1"/>
    <col min="3826" max="3826" width="10.28515625" style="13" customWidth="1"/>
    <col min="3827" max="3827" width="17.140625" style="13" customWidth="1"/>
    <col min="3828" max="3828" width="12" style="13" customWidth="1"/>
    <col min="3829" max="3829" width="10.7109375" style="13" customWidth="1"/>
    <col min="3830" max="3832" width="0" style="13" hidden="1" customWidth="1"/>
    <col min="3833" max="4060" width="9.140625" style="13"/>
    <col min="4061" max="4061" width="5.140625" style="13" customWidth="1"/>
    <col min="4062" max="4062" width="32.42578125" style="13" customWidth="1"/>
    <col min="4063" max="4065" width="10.28515625" style="13" customWidth="1"/>
    <col min="4066" max="4067" width="12.42578125" style="13" customWidth="1"/>
    <col min="4068" max="4068" width="11.28515625" style="13" customWidth="1"/>
    <col min="4069" max="4069" width="12.42578125" style="13" customWidth="1"/>
    <col min="4070" max="4070" width="11.28515625" style="13" customWidth="1"/>
    <col min="4071" max="4071" width="12.42578125" style="13" customWidth="1"/>
    <col min="4072" max="4072" width="11.28515625" style="13" customWidth="1"/>
    <col min="4073" max="4073" width="12.42578125" style="13" customWidth="1"/>
    <col min="4074" max="4074" width="11.28515625" style="13" customWidth="1"/>
    <col min="4075" max="4075" width="12.42578125" style="13" customWidth="1"/>
    <col min="4076" max="4076" width="11.28515625" style="13" customWidth="1"/>
    <col min="4077" max="4077" width="14.140625" style="13" customWidth="1"/>
    <col min="4078" max="4078" width="10.28515625" style="13" customWidth="1"/>
    <col min="4079" max="4079" width="17.140625" style="13" customWidth="1"/>
    <col min="4080" max="4080" width="12" style="13" customWidth="1"/>
    <col min="4081" max="4081" width="14.140625" style="13" customWidth="1"/>
    <col min="4082" max="4082" width="10.28515625" style="13" customWidth="1"/>
    <col min="4083" max="4083" width="17.140625" style="13" customWidth="1"/>
    <col min="4084" max="4084" width="12" style="13" customWidth="1"/>
    <col min="4085" max="4085" width="10.7109375" style="13" customWidth="1"/>
    <col min="4086" max="4088" width="0" style="13" hidden="1" customWidth="1"/>
    <col min="4089" max="4316" width="9.140625" style="13"/>
    <col min="4317" max="4317" width="5.140625" style="13" customWidth="1"/>
    <col min="4318" max="4318" width="32.42578125" style="13" customWidth="1"/>
    <col min="4319" max="4321" width="10.28515625" style="13" customWidth="1"/>
    <col min="4322" max="4323" width="12.42578125" style="13" customWidth="1"/>
    <col min="4324" max="4324" width="11.28515625" style="13" customWidth="1"/>
    <col min="4325" max="4325" width="12.42578125" style="13" customWidth="1"/>
    <col min="4326" max="4326" width="11.28515625" style="13" customWidth="1"/>
    <col min="4327" max="4327" width="12.42578125" style="13" customWidth="1"/>
    <col min="4328" max="4328" width="11.28515625" style="13" customWidth="1"/>
    <col min="4329" max="4329" width="12.42578125" style="13" customWidth="1"/>
    <col min="4330" max="4330" width="11.28515625" style="13" customWidth="1"/>
    <col min="4331" max="4331" width="12.42578125" style="13" customWidth="1"/>
    <col min="4332" max="4332" width="11.28515625" style="13" customWidth="1"/>
    <col min="4333" max="4333" width="14.140625" style="13" customWidth="1"/>
    <col min="4334" max="4334" width="10.28515625" style="13" customWidth="1"/>
    <col min="4335" max="4335" width="17.140625" style="13" customWidth="1"/>
    <col min="4336" max="4336" width="12" style="13" customWidth="1"/>
    <col min="4337" max="4337" width="14.140625" style="13" customWidth="1"/>
    <col min="4338" max="4338" width="10.28515625" style="13" customWidth="1"/>
    <col min="4339" max="4339" width="17.140625" style="13" customWidth="1"/>
    <col min="4340" max="4340" width="12" style="13" customWidth="1"/>
    <col min="4341" max="4341" width="10.7109375" style="13" customWidth="1"/>
    <col min="4342" max="4344" width="0" style="13" hidden="1" customWidth="1"/>
    <col min="4345" max="4572" width="9.140625" style="13"/>
    <col min="4573" max="4573" width="5.140625" style="13" customWidth="1"/>
    <col min="4574" max="4574" width="32.42578125" style="13" customWidth="1"/>
    <col min="4575" max="4577" width="10.28515625" style="13" customWidth="1"/>
    <col min="4578" max="4579" width="12.42578125" style="13" customWidth="1"/>
    <col min="4580" max="4580" width="11.28515625" style="13" customWidth="1"/>
    <col min="4581" max="4581" width="12.42578125" style="13" customWidth="1"/>
    <col min="4582" max="4582" width="11.28515625" style="13" customWidth="1"/>
    <col min="4583" max="4583" width="12.42578125" style="13" customWidth="1"/>
    <col min="4584" max="4584" width="11.28515625" style="13" customWidth="1"/>
    <col min="4585" max="4585" width="12.42578125" style="13" customWidth="1"/>
    <col min="4586" max="4586" width="11.28515625" style="13" customWidth="1"/>
    <col min="4587" max="4587" width="12.42578125" style="13" customWidth="1"/>
    <col min="4588" max="4588" width="11.28515625" style="13" customWidth="1"/>
    <col min="4589" max="4589" width="14.140625" style="13" customWidth="1"/>
    <col min="4590" max="4590" width="10.28515625" style="13" customWidth="1"/>
    <col min="4591" max="4591" width="17.140625" style="13" customWidth="1"/>
    <col min="4592" max="4592" width="12" style="13" customWidth="1"/>
    <col min="4593" max="4593" width="14.140625" style="13" customWidth="1"/>
    <col min="4594" max="4594" width="10.28515625" style="13" customWidth="1"/>
    <col min="4595" max="4595" width="17.140625" style="13" customWidth="1"/>
    <col min="4596" max="4596" width="12" style="13" customWidth="1"/>
    <col min="4597" max="4597" width="10.7109375" style="13" customWidth="1"/>
    <col min="4598" max="4600" width="0" style="13" hidden="1" customWidth="1"/>
    <col min="4601" max="4828" width="9.140625" style="13"/>
    <col min="4829" max="4829" width="5.140625" style="13" customWidth="1"/>
    <col min="4830" max="4830" width="32.42578125" style="13" customWidth="1"/>
    <col min="4831" max="4833" width="10.28515625" style="13" customWidth="1"/>
    <col min="4834" max="4835" width="12.42578125" style="13" customWidth="1"/>
    <col min="4836" max="4836" width="11.28515625" style="13" customWidth="1"/>
    <col min="4837" max="4837" width="12.42578125" style="13" customWidth="1"/>
    <col min="4838" max="4838" width="11.28515625" style="13" customWidth="1"/>
    <col min="4839" max="4839" width="12.42578125" style="13" customWidth="1"/>
    <col min="4840" max="4840" width="11.28515625" style="13" customWidth="1"/>
    <col min="4841" max="4841" width="12.42578125" style="13" customWidth="1"/>
    <col min="4842" max="4842" width="11.28515625" style="13" customWidth="1"/>
    <col min="4843" max="4843" width="12.42578125" style="13" customWidth="1"/>
    <col min="4844" max="4844" width="11.28515625" style="13" customWidth="1"/>
    <col min="4845" max="4845" width="14.140625" style="13" customWidth="1"/>
    <col min="4846" max="4846" width="10.28515625" style="13" customWidth="1"/>
    <col min="4847" max="4847" width="17.140625" style="13" customWidth="1"/>
    <col min="4848" max="4848" width="12" style="13" customWidth="1"/>
    <col min="4849" max="4849" width="14.140625" style="13" customWidth="1"/>
    <col min="4850" max="4850" width="10.28515625" style="13" customWidth="1"/>
    <col min="4851" max="4851" width="17.140625" style="13" customWidth="1"/>
    <col min="4852" max="4852" width="12" style="13" customWidth="1"/>
    <col min="4853" max="4853" width="10.7109375" style="13" customWidth="1"/>
    <col min="4854" max="4856" width="0" style="13" hidden="1" customWidth="1"/>
    <col min="4857" max="5084" width="9.140625" style="13"/>
    <col min="5085" max="5085" width="5.140625" style="13" customWidth="1"/>
    <col min="5086" max="5086" width="32.42578125" style="13" customWidth="1"/>
    <col min="5087" max="5089" width="10.28515625" style="13" customWidth="1"/>
    <col min="5090" max="5091" width="12.42578125" style="13" customWidth="1"/>
    <col min="5092" max="5092" width="11.28515625" style="13" customWidth="1"/>
    <col min="5093" max="5093" width="12.42578125" style="13" customWidth="1"/>
    <col min="5094" max="5094" width="11.28515625" style="13" customWidth="1"/>
    <col min="5095" max="5095" width="12.42578125" style="13" customWidth="1"/>
    <col min="5096" max="5096" width="11.28515625" style="13" customWidth="1"/>
    <col min="5097" max="5097" width="12.42578125" style="13" customWidth="1"/>
    <col min="5098" max="5098" width="11.28515625" style="13" customWidth="1"/>
    <col min="5099" max="5099" width="12.42578125" style="13" customWidth="1"/>
    <col min="5100" max="5100" width="11.28515625" style="13" customWidth="1"/>
    <col min="5101" max="5101" width="14.140625" style="13" customWidth="1"/>
    <col min="5102" max="5102" width="10.28515625" style="13" customWidth="1"/>
    <col min="5103" max="5103" width="17.140625" style="13" customWidth="1"/>
    <col min="5104" max="5104" width="12" style="13" customWidth="1"/>
    <col min="5105" max="5105" width="14.140625" style="13" customWidth="1"/>
    <col min="5106" max="5106" width="10.28515625" style="13" customWidth="1"/>
    <col min="5107" max="5107" width="17.140625" style="13" customWidth="1"/>
    <col min="5108" max="5108" width="12" style="13" customWidth="1"/>
    <col min="5109" max="5109" width="10.7109375" style="13" customWidth="1"/>
    <col min="5110" max="5112" width="0" style="13" hidden="1" customWidth="1"/>
    <col min="5113" max="5340" width="9.140625" style="13"/>
    <col min="5341" max="5341" width="5.140625" style="13" customWidth="1"/>
    <col min="5342" max="5342" width="32.42578125" style="13" customWidth="1"/>
    <col min="5343" max="5345" width="10.28515625" style="13" customWidth="1"/>
    <col min="5346" max="5347" width="12.42578125" style="13" customWidth="1"/>
    <col min="5348" max="5348" width="11.28515625" style="13" customWidth="1"/>
    <col min="5349" max="5349" width="12.42578125" style="13" customWidth="1"/>
    <col min="5350" max="5350" width="11.28515625" style="13" customWidth="1"/>
    <col min="5351" max="5351" width="12.42578125" style="13" customWidth="1"/>
    <col min="5352" max="5352" width="11.28515625" style="13" customWidth="1"/>
    <col min="5353" max="5353" width="12.42578125" style="13" customWidth="1"/>
    <col min="5354" max="5354" width="11.28515625" style="13" customWidth="1"/>
    <col min="5355" max="5355" width="12.42578125" style="13" customWidth="1"/>
    <col min="5356" max="5356" width="11.28515625" style="13" customWidth="1"/>
    <col min="5357" max="5357" width="14.140625" style="13" customWidth="1"/>
    <col min="5358" max="5358" width="10.28515625" style="13" customWidth="1"/>
    <col min="5359" max="5359" width="17.140625" style="13" customWidth="1"/>
    <col min="5360" max="5360" width="12" style="13" customWidth="1"/>
    <col min="5361" max="5361" width="14.140625" style="13" customWidth="1"/>
    <col min="5362" max="5362" width="10.28515625" style="13" customWidth="1"/>
    <col min="5363" max="5363" width="17.140625" style="13" customWidth="1"/>
    <col min="5364" max="5364" width="12" style="13" customWidth="1"/>
    <col min="5365" max="5365" width="10.7109375" style="13" customWidth="1"/>
    <col min="5366" max="5368" width="0" style="13" hidden="1" customWidth="1"/>
    <col min="5369" max="5596" width="9.140625" style="13"/>
    <col min="5597" max="5597" width="5.140625" style="13" customWidth="1"/>
    <col min="5598" max="5598" width="32.42578125" style="13" customWidth="1"/>
    <col min="5599" max="5601" width="10.28515625" style="13" customWidth="1"/>
    <col min="5602" max="5603" width="12.42578125" style="13" customWidth="1"/>
    <col min="5604" max="5604" width="11.28515625" style="13" customWidth="1"/>
    <col min="5605" max="5605" width="12.42578125" style="13" customWidth="1"/>
    <col min="5606" max="5606" width="11.28515625" style="13" customWidth="1"/>
    <col min="5607" max="5607" width="12.42578125" style="13" customWidth="1"/>
    <col min="5608" max="5608" width="11.28515625" style="13" customWidth="1"/>
    <col min="5609" max="5609" width="12.42578125" style="13" customWidth="1"/>
    <col min="5610" max="5610" width="11.28515625" style="13" customWidth="1"/>
    <col min="5611" max="5611" width="12.42578125" style="13" customWidth="1"/>
    <col min="5612" max="5612" width="11.28515625" style="13" customWidth="1"/>
    <col min="5613" max="5613" width="14.140625" style="13" customWidth="1"/>
    <col min="5614" max="5614" width="10.28515625" style="13" customWidth="1"/>
    <col min="5615" max="5615" width="17.140625" style="13" customWidth="1"/>
    <col min="5616" max="5616" width="12" style="13" customWidth="1"/>
    <col min="5617" max="5617" width="14.140625" style="13" customWidth="1"/>
    <col min="5618" max="5618" width="10.28515625" style="13" customWidth="1"/>
    <col min="5619" max="5619" width="17.140625" style="13" customWidth="1"/>
    <col min="5620" max="5620" width="12" style="13" customWidth="1"/>
    <col min="5621" max="5621" width="10.7109375" style="13" customWidth="1"/>
    <col min="5622" max="5624" width="0" style="13" hidden="1" customWidth="1"/>
    <col min="5625" max="5852" width="9.140625" style="13"/>
    <col min="5853" max="5853" width="5.140625" style="13" customWidth="1"/>
    <col min="5854" max="5854" width="32.42578125" style="13" customWidth="1"/>
    <col min="5855" max="5857" width="10.28515625" style="13" customWidth="1"/>
    <col min="5858" max="5859" width="12.42578125" style="13" customWidth="1"/>
    <col min="5860" max="5860" width="11.28515625" style="13" customWidth="1"/>
    <col min="5861" max="5861" width="12.42578125" style="13" customWidth="1"/>
    <col min="5862" max="5862" width="11.28515625" style="13" customWidth="1"/>
    <col min="5863" max="5863" width="12.42578125" style="13" customWidth="1"/>
    <col min="5864" max="5864" width="11.28515625" style="13" customWidth="1"/>
    <col min="5865" max="5865" width="12.42578125" style="13" customWidth="1"/>
    <col min="5866" max="5866" width="11.28515625" style="13" customWidth="1"/>
    <col min="5867" max="5867" width="12.42578125" style="13" customWidth="1"/>
    <col min="5868" max="5868" width="11.28515625" style="13" customWidth="1"/>
    <col min="5869" max="5869" width="14.140625" style="13" customWidth="1"/>
    <col min="5870" max="5870" width="10.28515625" style="13" customWidth="1"/>
    <col min="5871" max="5871" width="17.140625" style="13" customWidth="1"/>
    <col min="5872" max="5872" width="12" style="13" customWidth="1"/>
    <col min="5873" max="5873" width="14.140625" style="13" customWidth="1"/>
    <col min="5874" max="5874" width="10.28515625" style="13" customWidth="1"/>
    <col min="5875" max="5875" width="17.140625" style="13" customWidth="1"/>
    <col min="5876" max="5876" width="12" style="13" customWidth="1"/>
    <col min="5877" max="5877" width="10.7109375" style="13" customWidth="1"/>
    <col min="5878" max="5880" width="0" style="13" hidden="1" customWidth="1"/>
    <col min="5881" max="6108" width="9.140625" style="13"/>
    <col min="6109" max="6109" width="5.140625" style="13" customWidth="1"/>
    <col min="6110" max="6110" width="32.42578125" style="13" customWidth="1"/>
    <col min="6111" max="6113" width="10.28515625" style="13" customWidth="1"/>
    <col min="6114" max="6115" width="12.42578125" style="13" customWidth="1"/>
    <col min="6116" max="6116" width="11.28515625" style="13" customWidth="1"/>
    <col min="6117" max="6117" width="12.42578125" style="13" customWidth="1"/>
    <col min="6118" max="6118" width="11.28515625" style="13" customWidth="1"/>
    <col min="6119" max="6119" width="12.42578125" style="13" customWidth="1"/>
    <col min="6120" max="6120" width="11.28515625" style="13" customWidth="1"/>
    <col min="6121" max="6121" width="12.42578125" style="13" customWidth="1"/>
    <col min="6122" max="6122" width="11.28515625" style="13" customWidth="1"/>
    <col min="6123" max="6123" width="12.42578125" style="13" customWidth="1"/>
    <col min="6124" max="6124" width="11.28515625" style="13" customWidth="1"/>
    <col min="6125" max="6125" width="14.140625" style="13" customWidth="1"/>
    <col min="6126" max="6126" width="10.28515625" style="13" customWidth="1"/>
    <col min="6127" max="6127" width="17.140625" style="13" customWidth="1"/>
    <col min="6128" max="6128" width="12" style="13" customWidth="1"/>
    <col min="6129" max="6129" width="14.140625" style="13" customWidth="1"/>
    <col min="6130" max="6130" width="10.28515625" style="13" customWidth="1"/>
    <col min="6131" max="6131" width="17.140625" style="13" customWidth="1"/>
    <col min="6132" max="6132" width="12" style="13" customWidth="1"/>
    <col min="6133" max="6133" width="10.7109375" style="13" customWidth="1"/>
    <col min="6134" max="6136" width="0" style="13" hidden="1" customWidth="1"/>
    <col min="6137" max="6364" width="9.140625" style="13"/>
    <col min="6365" max="6365" width="5.140625" style="13" customWidth="1"/>
    <col min="6366" max="6366" width="32.42578125" style="13" customWidth="1"/>
    <col min="6367" max="6369" width="10.28515625" style="13" customWidth="1"/>
    <col min="6370" max="6371" width="12.42578125" style="13" customWidth="1"/>
    <col min="6372" max="6372" width="11.28515625" style="13" customWidth="1"/>
    <col min="6373" max="6373" width="12.42578125" style="13" customWidth="1"/>
    <col min="6374" max="6374" width="11.28515625" style="13" customWidth="1"/>
    <col min="6375" max="6375" width="12.42578125" style="13" customWidth="1"/>
    <col min="6376" max="6376" width="11.28515625" style="13" customWidth="1"/>
    <col min="6377" max="6377" width="12.42578125" style="13" customWidth="1"/>
    <col min="6378" max="6378" width="11.28515625" style="13" customWidth="1"/>
    <col min="6379" max="6379" width="12.42578125" style="13" customWidth="1"/>
    <col min="6380" max="6380" width="11.28515625" style="13" customWidth="1"/>
    <col min="6381" max="6381" width="14.140625" style="13" customWidth="1"/>
    <col min="6382" max="6382" width="10.28515625" style="13" customWidth="1"/>
    <col min="6383" max="6383" width="17.140625" style="13" customWidth="1"/>
    <col min="6384" max="6384" width="12" style="13" customWidth="1"/>
    <col min="6385" max="6385" width="14.140625" style="13" customWidth="1"/>
    <col min="6386" max="6386" width="10.28515625" style="13" customWidth="1"/>
    <col min="6387" max="6387" width="17.140625" style="13" customWidth="1"/>
    <col min="6388" max="6388" width="12" style="13" customWidth="1"/>
    <col min="6389" max="6389" width="10.7109375" style="13" customWidth="1"/>
    <col min="6390" max="6392" width="0" style="13" hidden="1" customWidth="1"/>
    <col min="6393" max="6620" width="9.140625" style="13"/>
    <col min="6621" max="6621" width="5.140625" style="13" customWidth="1"/>
    <col min="6622" max="6622" width="32.42578125" style="13" customWidth="1"/>
    <col min="6623" max="6625" width="10.28515625" style="13" customWidth="1"/>
    <col min="6626" max="6627" width="12.42578125" style="13" customWidth="1"/>
    <col min="6628" max="6628" width="11.28515625" style="13" customWidth="1"/>
    <col min="6629" max="6629" width="12.42578125" style="13" customWidth="1"/>
    <col min="6630" max="6630" width="11.28515625" style="13" customWidth="1"/>
    <col min="6631" max="6631" width="12.42578125" style="13" customWidth="1"/>
    <col min="6632" max="6632" width="11.28515625" style="13" customWidth="1"/>
    <col min="6633" max="6633" width="12.42578125" style="13" customWidth="1"/>
    <col min="6634" max="6634" width="11.28515625" style="13" customWidth="1"/>
    <col min="6635" max="6635" width="12.42578125" style="13" customWidth="1"/>
    <col min="6636" max="6636" width="11.28515625" style="13" customWidth="1"/>
    <col min="6637" max="6637" width="14.140625" style="13" customWidth="1"/>
    <col min="6638" max="6638" width="10.28515625" style="13" customWidth="1"/>
    <col min="6639" max="6639" width="17.140625" style="13" customWidth="1"/>
    <col min="6640" max="6640" width="12" style="13" customWidth="1"/>
    <col min="6641" max="6641" width="14.140625" style="13" customWidth="1"/>
    <col min="6642" max="6642" width="10.28515625" style="13" customWidth="1"/>
    <col min="6643" max="6643" width="17.140625" style="13" customWidth="1"/>
    <col min="6644" max="6644" width="12" style="13" customWidth="1"/>
    <col min="6645" max="6645" width="10.7109375" style="13" customWidth="1"/>
    <col min="6646" max="6648" width="0" style="13" hidden="1" customWidth="1"/>
    <col min="6649" max="6876" width="9.140625" style="13"/>
    <col min="6877" max="6877" width="5.140625" style="13" customWidth="1"/>
    <col min="6878" max="6878" width="32.42578125" style="13" customWidth="1"/>
    <col min="6879" max="6881" width="10.28515625" style="13" customWidth="1"/>
    <col min="6882" max="6883" width="12.42578125" style="13" customWidth="1"/>
    <col min="6884" max="6884" width="11.28515625" style="13" customWidth="1"/>
    <col min="6885" max="6885" width="12.42578125" style="13" customWidth="1"/>
    <col min="6886" max="6886" width="11.28515625" style="13" customWidth="1"/>
    <col min="6887" max="6887" width="12.42578125" style="13" customWidth="1"/>
    <col min="6888" max="6888" width="11.28515625" style="13" customWidth="1"/>
    <col min="6889" max="6889" width="12.42578125" style="13" customWidth="1"/>
    <col min="6890" max="6890" width="11.28515625" style="13" customWidth="1"/>
    <col min="6891" max="6891" width="12.42578125" style="13" customWidth="1"/>
    <col min="6892" max="6892" width="11.28515625" style="13" customWidth="1"/>
    <col min="6893" max="6893" width="14.140625" style="13" customWidth="1"/>
    <col min="6894" max="6894" width="10.28515625" style="13" customWidth="1"/>
    <col min="6895" max="6895" width="17.140625" style="13" customWidth="1"/>
    <col min="6896" max="6896" width="12" style="13" customWidth="1"/>
    <col min="6897" max="6897" width="14.140625" style="13" customWidth="1"/>
    <col min="6898" max="6898" width="10.28515625" style="13" customWidth="1"/>
    <col min="6899" max="6899" width="17.140625" style="13" customWidth="1"/>
    <col min="6900" max="6900" width="12" style="13" customWidth="1"/>
    <col min="6901" max="6901" width="10.7109375" style="13" customWidth="1"/>
    <col min="6902" max="6904" width="0" style="13" hidden="1" customWidth="1"/>
    <col min="6905" max="7132" width="9.140625" style="13"/>
    <col min="7133" max="7133" width="5.140625" style="13" customWidth="1"/>
    <col min="7134" max="7134" width="32.42578125" style="13" customWidth="1"/>
    <col min="7135" max="7137" width="10.28515625" style="13" customWidth="1"/>
    <col min="7138" max="7139" width="12.42578125" style="13" customWidth="1"/>
    <col min="7140" max="7140" width="11.28515625" style="13" customWidth="1"/>
    <col min="7141" max="7141" width="12.42578125" style="13" customWidth="1"/>
    <col min="7142" max="7142" width="11.28515625" style="13" customWidth="1"/>
    <col min="7143" max="7143" width="12.42578125" style="13" customWidth="1"/>
    <col min="7144" max="7144" width="11.28515625" style="13" customWidth="1"/>
    <col min="7145" max="7145" width="12.42578125" style="13" customWidth="1"/>
    <col min="7146" max="7146" width="11.28515625" style="13" customWidth="1"/>
    <col min="7147" max="7147" width="12.42578125" style="13" customWidth="1"/>
    <col min="7148" max="7148" width="11.28515625" style="13" customWidth="1"/>
    <col min="7149" max="7149" width="14.140625" style="13" customWidth="1"/>
    <col min="7150" max="7150" width="10.28515625" style="13" customWidth="1"/>
    <col min="7151" max="7151" width="17.140625" style="13" customWidth="1"/>
    <col min="7152" max="7152" width="12" style="13" customWidth="1"/>
    <col min="7153" max="7153" width="14.140625" style="13" customWidth="1"/>
    <col min="7154" max="7154" width="10.28515625" style="13" customWidth="1"/>
    <col min="7155" max="7155" width="17.140625" style="13" customWidth="1"/>
    <col min="7156" max="7156" width="12" style="13" customWidth="1"/>
    <col min="7157" max="7157" width="10.7109375" style="13" customWidth="1"/>
    <col min="7158" max="7160" width="0" style="13" hidden="1" customWidth="1"/>
    <col min="7161" max="7388" width="9.140625" style="13"/>
    <col min="7389" max="7389" width="5.140625" style="13" customWidth="1"/>
    <col min="7390" max="7390" width="32.42578125" style="13" customWidth="1"/>
    <col min="7391" max="7393" width="10.28515625" style="13" customWidth="1"/>
    <col min="7394" max="7395" width="12.42578125" style="13" customWidth="1"/>
    <col min="7396" max="7396" width="11.28515625" style="13" customWidth="1"/>
    <col min="7397" max="7397" width="12.42578125" style="13" customWidth="1"/>
    <col min="7398" max="7398" width="11.28515625" style="13" customWidth="1"/>
    <col min="7399" max="7399" width="12.42578125" style="13" customWidth="1"/>
    <col min="7400" max="7400" width="11.28515625" style="13" customWidth="1"/>
    <col min="7401" max="7401" width="12.42578125" style="13" customWidth="1"/>
    <col min="7402" max="7402" width="11.28515625" style="13" customWidth="1"/>
    <col min="7403" max="7403" width="12.42578125" style="13" customWidth="1"/>
    <col min="7404" max="7404" width="11.28515625" style="13" customWidth="1"/>
    <col min="7405" max="7405" width="14.140625" style="13" customWidth="1"/>
    <col min="7406" max="7406" width="10.28515625" style="13" customWidth="1"/>
    <col min="7407" max="7407" width="17.140625" style="13" customWidth="1"/>
    <col min="7408" max="7408" width="12" style="13" customWidth="1"/>
    <col min="7409" max="7409" width="14.140625" style="13" customWidth="1"/>
    <col min="7410" max="7410" width="10.28515625" style="13" customWidth="1"/>
    <col min="7411" max="7411" width="17.140625" style="13" customWidth="1"/>
    <col min="7412" max="7412" width="12" style="13" customWidth="1"/>
    <col min="7413" max="7413" width="10.7109375" style="13" customWidth="1"/>
    <col min="7414" max="7416" width="0" style="13" hidden="1" customWidth="1"/>
    <col min="7417" max="7644" width="9.140625" style="13"/>
    <col min="7645" max="7645" width="5.140625" style="13" customWidth="1"/>
    <col min="7646" max="7646" width="32.42578125" style="13" customWidth="1"/>
    <col min="7647" max="7649" width="10.28515625" style="13" customWidth="1"/>
    <col min="7650" max="7651" width="12.42578125" style="13" customWidth="1"/>
    <col min="7652" max="7652" width="11.28515625" style="13" customWidth="1"/>
    <col min="7653" max="7653" width="12.42578125" style="13" customWidth="1"/>
    <col min="7654" max="7654" width="11.28515625" style="13" customWidth="1"/>
    <col min="7655" max="7655" width="12.42578125" style="13" customWidth="1"/>
    <col min="7656" max="7656" width="11.28515625" style="13" customWidth="1"/>
    <col min="7657" max="7657" width="12.42578125" style="13" customWidth="1"/>
    <col min="7658" max="7658" width="11.28515625" style="13" customWidth="1"/>
    <col min="7659" max="7659" width="12.42578125" style="13" customWidth="1"/>
    <col min="7660" max="7660" width="11.28515625" style="13" customWidth="1"/>
    <col min="7661" max="7661" width="14.140625" style="13" customWidth="1"/>
    <col min="7662" max="7662" width="10.28515625" style="13" customWidth="1"/>
    <col min="7663" max="7663" width="17.140625" style="13" customWidth="1"/>
    <col min="7664" max="7664" width="12" style="13" customWidth="1"/>
    <col min="7665" max="7665" width="14.140625" style="13" customWidth="1"/>
    <col min="7666" max="7666" width="10.28515625" style="13" customWidth="1"/>
    <col min="7667" max="7667" width="17.140625" style="13" customWidth="1"/>
    <col min="7668" max="7668" width="12" style="13" customWidth="1"/>
    <col min="7669" max="7669" width="10.7109375" style="13" customWidth="1"/>
    <col min="7670" max="7672" width="0" style="13" hidden="1" customWidth="1"/>
    <col min="7673" max="7900" width="9.140625" style="13"/>
    <col min="7901" max="7901" width="5.140625" style="13" customWidth="1"/>
    <col min="7902" max="7902" width="32.42578125" style="13" customWidth="1"/>
    <col min="7903" max="7905" width="10.28515625" style="13" customWidth="1"/>
    <col min="7906" max="7907" width="12.42578125" style="13" customWidth="1"/>
    <col min="7908" max="7908" width="11.28515625" style="13" customWidth="1"/>
    <col min="7909" max="7909" width="12.42578125" style="13" customWidth="1"/>
    <col min="7910" max="7910" width="11.28515625" style="13" customWidth="1"/>
    <col min="7911" max="7911" width="12.42578125" style="13" customWidth="1"/>
    <col min="7912" max="7912" width="11.28515625" style="13" customWidth="1"/>
    <col min="7913" max="7913" width="12.42578125" style="13" customWidth="1"/>
    <col min="7914" max="7914" width="11.28515625" style="13" customWidth="1"/>
    <col min="7915" max="7915" width="12.42578125" style="13" customWidth="1"/>
    <col min="7916" max="7916" width="11.28515625" style="13" customWidth="1"/>
    <col min="7917" max="7917" width="14.140625" style="13" customWidth="1"/>
    <col min="7918" max="7918" width="10.28515625" style="13" customWidth="1"/>
    <col min="7919" max="7919" width="17.140625" style="13" customWidth="1"/>
    <col min="7920" max="7920" width="12" style="13" customWidth="1"/>
    <col min="7921" max="7921" width="14.140625" style="13" customWidth="1"/>
    <col min="7922" max="7922" width="10.28515625" style="13" customWidth="1"/>
    <col min="7923" max="7923" width="17.140625" style="13" customWidth="1"/>
    <col min="7924" max="7924" width="12" style="13" customWidth="1"/>
    <col min="7925" max="7925" width="10.7109375" style="13" customWidth="1"/>
    <col min="7926" max="7928" width="0" style="13" hidden="1" customWidth="1"/>
    <col min="7929" max="8156" width="9.140625" style="13"/>
    <col min="8157" max="8157" width="5.140625" style="13" customWidth="1"/>
    <col min="8158" max="8158" width="32.42578125" style="13" customWidth="1"/>
    <col min="8159" max="8161" width="10.28515625" style="13" customWidth="1"/>
    <col min="8162" max="8163" width="12.42578125" style="13" customWidth="1"/>
    <col min="8164" max="8164" width="11.28515625" style="13" customWidth="1"/>
    <col min="8165" max="8165" width="12.42578125" style="13" customWidth="1"/>
    <col min="8166" max="8166" width="11.28515625" style="13" customWidth="1"/>
    <col min="8167" max="8167" width="12.42578125" style="13" customWidth="1"/>
    <col min="8168" max="8168" width="11.28515625" style="13" customWidth="1"/>
    <col min="8169" max="8169" width="12.42578125" style="13" customWidth="1"/>
    <col min="8170" max="8170" width="11.28515625" style="13" customWidth="1"/>
    <col min="8171" max="8171" width="12.42578125" style="13" customWidth="1"/>
    <col min="8172" max="8172" width="11.28515625" style="13" customWidth="1"/>
    <col min="8173" max="8173" width="14.140625" style="13" customWidth="1"/>
    <col min="8174" max="8174" width="10.28515625" style="13" customWidth="1"/>
    <col min="8175" max="8175" width="17.140625" style="13" customWidth="1"/>
    <col min="8176" max="8176" width="12" style="13" customWidth="1"/>
    <col min="8177" max="8177" width="14.140625" style="13" customWidth="1"/>
    <col min="8178" max="8178" width="10.28515625" style="13" customWidth="1"/>
    <col min="8179" max="8179" width="17.140625" style="13" customWidth="1"/>
    <col min="8180" max="8180" width="12" style="13" customWidth="1"/>
    <col min="8181" max="8181" width="10.7109375" style="13" customWidth="1"/>
    <col min="8182" max="8184" width="0" style="13" hidden="1" customWidth="1"/>
    <col min="8185" max="8412" width="9.140625" style="13"/>
    <col min="8413" max="8413" width="5.140625" style="13" customWidth="1"/>
    <col min="8414" max="8414" width="32.42578125" style="13" customWidth="1"/>
    <col min="8415" max="8417" width="10.28515625" style="13" customWidth="1"/>
    <col min="8418" max="8419" width="12.42578125" style="13" customWidth="1"/>
    <col min="8420" max="8420" width="11.28515625" style="13" customWidth="1"/>
    <col min="8421" max="8421" width="12.42578125" style="13" customWidth="1"/>
    <col min="8422" max="8422" width="11.28515625" style="13" customWidth="1"/>
    <col min="8423" max="8423" width="12.42578125" style="13" customWidth="1"/>
    <col min="8424" max="8424" width="11.28515625" style="13" customWidth="1"/>
    <col min="8425" max="8425" width="12.42578125" style="13" customWidth="1"/>
    <col min="8426" max="8426" width="11.28515625" style="13" customWidth="1"/>
    <col min="8427" max="8427" width="12.42578125" style="13" customWidth="1"/>
    <col min="8428" max="8428" width="11.28515625" style="13" customWidth="1"/>
    <col min="8429" max="8429" width="14.140625" style="13" customWidth="1"/>
    <col min="8430" max="8430" width="10.28515625" style="13" customWidth="1"/>
    <col min="8431" max="8431" width="17.140625" style="13" customWidth="1"/>
    <col min="8432" max="8432" width="12" style="13" customWidth="1"/>
    <col min="8433" max="8433" width="14.140625" style="13" customWidth="1"/>
    <col min="8434" max="8434" width="10.28515625" style="13" customWidth="1"/>
    <col min="8435" max="8435" width="17.140625" style="13" customWidth="1"/>
    <col min="8436" max="8436" width="12" style="13" customWidth="1"/>
    <col min="8437" max="8437" width="10.7109375" style="13" customWidth="1"/>
    <col min="8438" max="8440" width="0" style="13" hidden="1" customWidth="1"/>
    <col min="8441" max="8668" width="9.140625" style="13"/>
    <col min="8669" max="8669" width="5.140625" style="13" customWidth="1"/>
    <col min="8670" max="8670" width="32.42578125" style="13" customWidth="1"/>
    <col min="8671" max="8673" width="10.28515625" style="13" customWidth="1"/>
    <col min="8674" max="8675" width="12.42578125" style="13" customWidth="1"/>
    <col min="8676" max="8676" width="11.28515625" style="13" customWidth="1"/>
    <col min="8677" max="8677" width="12.42578125" style="13" customWidth="1"/>
    <col min="8678" max="8678" width="11.28515625" style="13" customWidth="1"/>
    <col min="8679" max="8679" width="12.42578125" style="13" customWidth="1"/>
    <col min="8680" max="8680" width="11.28515625" style="13" customWidth="1"/>
    <col min="8681" max="8681" width="12.42578125" style="13" customWidth="1"/>
    <col min="8682" max="8682" width="11.28515625" style="13" customWidth="1"/>
    <col min="8683" max="8683" width="12.42578125" style="13" customWidth="1"/>
    <col min="8684" max="8684" width="11.28515625" style="13" customWidth="1"/>
    <col min="8685" max="8685" width="14.140625" style="13" customWidth="1"/>
    <col min="8686" max="8686" width="10.28515625" style="13" customWidth="1"/>
    <col min="8687" max="8687" width="17.140625" style="13" customWidth="1"/>
    <col min="8688" max="8688" width="12" style="13" customWidth="1"/>
    <col min="8689" max="8689" width="14.140625" style="13" customWidth="1"/>
    <col min="8690" max="8690" width="10.28515625" style="13" customWidth="1"/>
    <col min="8691" max="8691" width="17.140625" style="13" customWidth="1"/>
    <col min="8692" max="8692" width="12" style="13" customWidth="1"/>
    <col min="8693" max="8693" width="10.7109375" style="13" customWidth="1"/>
    <col min="8694" max="8696" width="0" style="13" hidden="1" customWidth="1"/>
    <col min="8697" max="8924" width="9.140625" style="13"/>
    <col min="8925" max="8925" width="5.140625" style="13" customWidth="1"/>
    <col min="8926" max="8926" width="32.42578125" style="13" customWidth="1"/>
    <col min="8927" max="8929" width="10.28515625" style="13" customWidth="1"/>
    <col min="8930" max="8931" width="12.42578125" style="13" customWidth="1"/>
    <col min="8932" max="8932" width="11.28515625" style="13" customWidth="1"/>
    <col min="8933" max="8933" width="12.42578125" style="13" customWidth="1"/>
    <col min="8934" max="8934" width="11.28515625" style="13" customWidth="1"/>
    <col min="8935" max="8935" width="12.42578125" style="13" customWidth="1"/>
    <col min="8936" max="8936" width="11.28515625" style="13" customWidth="1"/>
    <col min="8937" max="8937" width="12.42578125" style="13" customWidth="1"/>
    <col min="8938" max="8938" width="11.28515625" style="13" customWidth="1"/>
    <col min="8939" max="8939" width="12.42578125" style="13" customWidth="1"/>
    <col min="8940" max="8940" width="11.28515625" style="13" customWidth="1"/>
    <col min="8941" max="8941" width="14.140625" style="13" customWidth="1"/>
    <col min="8942" max="8942" width="10.28515625" style="13" customWidth="1"/>
    <col min="8943" max="8943" width="17.140625" style="13" customWidth="1"/>
    <col min="8944" max="8944" width="12" style="13" customWidth="1"/>
    <col min="8945" max="8945" width="14.140625" style="13" customWidth="1"/>
    <col min="8946" max="8946" width="10.28515625" style="13" customWidth="1"/>
    <col min="8947" max="8947" width="17.140625" style="13" customWidth="1"/>
    <col min="8948" max="8948" width="12" style="13" customWidth="1"/>
    <col min="8949" max="8949" width="10.7109375" style="13" customWidth="1"/>
    <col min="8950" max="8952" width="0" style="13" hidden="1" customWidth="1"/>
    <col min="8953" max="9180" width="9.140625" style="13"/>
    <col min="9181" max="9181" width="5.140625" style="13" customWidth="1"/>
    <col min="9182" max="9182" width="32.42578125" style="13" customWidth="1"/>
    <col min="9183" max="9185" width="10.28515625" style="13" customWidth="1"/>
    <col min="9186" max="9187" width="12.42578125" style="13" customWidth="1"/>
    <col min="9188" max="9188" width="11.28515625" style="13" customWidth="1"/>
    <col min="9189" max="9189" width="12.42578125" style="13" customWidth="1"/>
    <col min="9190" max="9190" width="11.28515625" style="13" customWidth="1"/>
    <col min="9191" max="9191" width="12.42578125" style="13" customWidth="1"/>
    <col min="9192" max="9192" width="11.28515625" style="13" customWidth="1"/>
    <col min="9193" max="9193" width="12.42578125" style="13" customWidth="1"/>
    <col min="9194" max="9194" width="11.28515625" style="13" customWidth="1"/>
    <col min="9195" max="9195" width="12.42578125" style="13" customWidth="1"/>
    <col min="9196" max="9196" width="11.28515625" style="13" customWidth="1"/>
    <col min="9197" max="9197" width="14.140625" style="13" customWidth="1"/>
    <col min="9198" max="9198" width="10.28515625" style="13" customWidth="1"/>
    <col min="9199" max="9199" width="17.140625" style="13" customWidth="1"/>
    <col min="9200" max="9200" width="12" style="13" customWidth="1"/>
    <col min="9201" max="9201" width="14.140625" style="13" customWidth="1"/>
    <col min="9202" max="9202" width="10.28515625" style="13" customWidth="1"/>
    <col min="9203" max="9203" width="17.140625" style="13" customWidth="1"/>
    <col min="9204" max="9204" width="12" style="13" customWidth="1"/>
    <col min="9205" max="9205" width="10.7109375" style="13" customWidth="1"/>
    <col min="9206" max="9208" width="0" style="13" hidden="1" customWidth="1"/>
    <col min="9209" max="9436" width="9.140625" style="13"/>
    <col min="9437" max="9437" width="5.140625" style="13" customWidth="1"/>
    <col min="9438" max="9438" width="32.42578125" style="13" customWidth="1"/>
    <col min="9439" max="9441" width="10.28515625" style="13" customWidth="1"/>
    <col min="9442" max="9443" width="12.42578125" style="13" customWidth="1"/>
    <col min="9444" max="9444" width="11.28515625" style="13" customWidth="1"/>
    <col min="9445" max="9445" width="12.42578125" style="13" customWidth="1"/>
    <col min="9446" max="9446" width="11.28515625" style="13" customWidth="1"/>
    <col min="9447" max="9447" width="12.42578125" style="13" customWidth="1"/>
    <col min="9448" max="9448" width="11.28515625" style="13" customWidth="1"/>
    <col min="9449" max="9449" width="12.42578125" style="13" customWidth="1"/>
    <col min="9450" max="9450" width="11.28515625" style="13" customWidth="1"/>
    <col min="9451" max="9451" width="12.42578125" style="13" customWidth="1"/>
    <col min="9452" max="9452" width="11.28515625" style="13" customWidth="1"/>
    <col min="9453" max="9453" width="14.140625" style="13" customWidth="1"/>
    <col min="9454" max="9454" width="10.28515625" style="13" customWidth="1"/>
    <col min="9455" max="9455" width="17.140625" style="13" customWidth="1"/>
    <col min="9456" max="9456" width="12" style="13" customWidth="1"/>
    <col min="9457" max="9457" width="14.140625" style="13" customWidth="1"/>
    <col min="9458" max="9458" width="10.28515625" style="13" customWidth="1"/>
    <col min="9459" max="9459" width="17.140625" style="13" customWidth="1"/>
    <col min="9460" max="9460" width="12" style="13" customWidth="1"/>
    <col min="9461" max="9461" width="10.7109375" style="13" customWidth="1"/>
    <col min="9462" max="9464" width="0" style="13" hidden="1" customWidth="1"/>
    <col min="9465" max="9692" width="9.140625" style="13"/>
    <col min="9693" max="9693" width="5.140625" style="13" customWidth="1"/>
    <col min="9694" max="9694" width="32.42578125" style="13" customWidth="1"/>
    <col min="9695" max="9697" width="10.28515625" style="13" customWidth="1"/>
    <col min="9698" max="9699" width="12.42578125" style="13" customWidth="1"/>
    <col min="9700" max="9700" width="11.28515625" style="13" customWidth="1"/>
    <col min="9701" max="9701" width="12.42578125" style="13" customWidth="1"/>
    <col min="9702" max="9702" width="11.28515625" style="13" customWidth="1"/>
    <col min="9703" max="9703" width="12.42578125" style="13" customWidth="1"/>
    <col min="9704" max="9704" width="11.28515625" style="13" customWidth="1"/>
    <col min="9705" max="9705" width="12.42578125" style="13" customWidth="1"/>
    <col min="9706" max="9706" width="11.28515625" style="13" customWidth="1"/>
    <col min="9707" max="9707" width="12.42578125" style="13" customWidth="1"/>
    <col min="9708" max="9708" width="11.28515625" style="13" customWidth="1"/>
    <col min="9709" max="9709" width="14.140625" style="13" customWidth="1"/>
    <col min="9710" max="9710" width="10.28515625" style="13" customWidth="1"/>
    <col min="9711" max="9711" width="17.140625" style="13" customWidth="1"/>
    <col min="9712" max="9712" width="12" style="13" customWidth="1"/>
    <col min="9713" max="9713" width="14.140625" style="13" customWidth="1"/>
    <col min="9714" max="9714" width="10.28515625" style="13" customWidth="1"/>
    <col min="9715" max="9715" width="17.140625" style="13" customWidth="1"/>
    <col min="9716" max="9716" width="12" style="13" customWidth="1"/>
    <col min="9717" max="9717" width="10.7109375" style="13" customWidth="1"/>
    <col min="9718" max="9720" width="0" style="13" hidden="1" customWidth="1"/>
    <col min="9721" max="9948" width="9.140625" style="13"/>
    <col min="9949" max="9949" width="5.140625" style="13" customWidth="1"/>
    <col min="9950" max="9950" width="32.42578125" style="13" customWidth="1"/>
    <col min="9951" max="9953" width="10.28515625" style="13" customWidth="1"/>
    <col min="9954" max="9955" width="12.42578125" style="13" customWidth="1"/>
    <col min="9956" max="9956" width="11.28515625" style="13" customWidth="1"/>
    <col min="9957" max="9957" width="12.42578125" style="13" customWidth="1"/>
    <col min="9958" max="9958" width="11.28515625" style="13" customWidth="1"/>
    <col min="9959" max="9959" width="12.42578125" style="13" customWidth="1"/>
    <col min="9960" max="9960" width="11.28515625" style="13" customWidth="1"/>
    <col min="9961" max="9961" width="12.42578125" style="13" customWidth="1"/>
    <col min="9962" max="9962" width="11.28515625" style="13" customWidth="1"/>
    <col min="9963" max="9963" width="12.42578125" style="13" customWidth="1"/>
    <col min="9964" max="9964" width="11.28515625" style="13" customWidth="1"/>
    <col min="9965" max="9965" width="14.140625" style="13" customWidth="1"/>
    <col min="9966" max="9966" width="10.28515625" style="13" customWidth="1"/>
    <col min="9967" max="9967" width="17.140625" style="13" customWidth="1"/>
    <col min="9968" max="9968" width="12" style="13" customWidth="1"/>
    <col min="9969" max="9969" width="14.140625" style="13" customWidth="1"/>
    <col min="9970" max="9970" width="10.28515625" style="13" customWidth="1"/>
    <col min="9971" max="9971" width="17.140625" style="13" customWidth="1"/>
    <col min="9972" max="9972" width="12" style="13" customWidth="1"/>
    <col min="9973" max="9973" width="10.7109375" style="13" customWidth="1"/>
    <col min="9974" max="9976" width="0" style="13" hidden="1" customWidth="1"/>
    <col min="9977" max="10204" width="9.140625" style="13"/>
    <col min="10205" max="10205" width="5.140625" style="13" customWidth="1"/>
    <col min="10206" max="10206" width="32.42578125" style="13" customWidth="1"/>
    <col min="10207" max="10209" width="10.28515625" style="13" customWidth="1"/>
    <col min="10210" max="10211" width="12.42578125" style="13" customWidth="1"/>
    <col min="10212" max="10212" width="11.28515625" style="13" customWidth="1"/>
    <col min="10213" max="10213" width="12.42578125" style="13" customWidth="1"/>
    <col min="10214" max="10214" width="11.28515625" style="13" customWidth="1"/>
    <col min="10215" max="10215" width="12.42578125" style="13" customWidth="1"/>
    <col min="10216" max="10216" width="11.28515625" style="13" customWidth="1"/>
    <col min="10217" max="10217" width="12.42578125" style="13" customWidth="1"/>
    <col min="10218" max="10218" width="11.28515625" style="13" customWidth="1"/>
    <col min="10219" max="10219" width="12.42578125" style="13" customWidth="1"/>
    <col min="10220" max="10220" width="11.28515625" style="13" customWidth="1"/>
    <col min="10221" max="10221" width="14.140625" style="13" customWidth="1"/>
    <col min="10222" max="10222" width="10.28515625" style="13" customWidth="1"/>
    <col min="10223" max="10223" width="17.140625" style="13" customWidth="1"/>
    <col min="10224" max="10224" width="12" style="13" customWidth="1"/>
    <col min="10225" max="10225" width="14.140625" style="13" customWidth="1"/>
    <col min="10226" max="10226" width="10.28515625" style="13" customWidth="1"/>
    <col min="10227" max="10227" width="17.140625" style="13" customWidth="1"/>
    <col min="10228" max="10228" width="12" style="13" customWidth="1"/>
    <col min="10229" max="10229" width="10.7109375" style="13" customWidth="1"/>
    <col min="10230" max="10232" width="0" style="13" hidden="1" customWidth="1"/>
    <col min="10233" max="10460" width="9.140625" style="13"/>
    <col min="10461" max="10461" width="5.140625" style="13" customWidth="1"/>
    <col min="10462" max="10462" width="32.42578125" style="13" customWidth="1"/>
    <col min="10463" max="10465" width="10.28515625" style="13" customWidth="1"/>
    <col min="10466" max="10467" width="12.42578125" style="13" customWidth="1"/>
    <col min="10468" max="10468" width="11.28515625" style="13" customWidth="1"/>
    <col min="10469" max="10469" width="12.42578125" style="13" customWidth="1"/>
    <col min="10470" max="10470" width="11.28515625" style="13" customWidth="1"/>
    <col min="10471" max="10471" width="12.42578125" style="13" customWidth="1"/>
    <col min="10472" max="10472" width="11.28515625" style="13" customWidth="1"/>
    <col min="10473" max="10473" width="12.42578125" style="13" customWidth="1"/>
    <col min="10474" max="10474" width="11.28515625" style="13" customWidth="1"/>
    <col min="10475" max="10475" width="12.42578125" style="13" customWidth="1"/>
    <col min="10476" max="10476" width="11.28515625" style="13" customWidth="1"/>
    <col min="10477" max="10477" width="14.140625" style="13" customWidth="1"/>
    <col min="10478" max="10478" width="10.28515625" style="13" customWidth="1"/>
    <col min="10479" max="10479" width="17.140625" style="13" customWidth="1"/>
    <col min="10480" max="10480" width="12" style="13" customWidth="1"/>
    <col min="10481" max="10481" width="14.140625" style="13" customWidth="1"/>
    <col min="10482" max="10482" width="10.28515625" style="13" customWidth="1"/>
    <col min="10483" max="10483" width="17.140625" style="13" customWidth="1"/>
    <col min="10484" max="10484" width="12" style="13" customWidth="1"/>
    <col min="10485" max="10485" width="10.7109375" style="13" customWidth="1"/>
    <col min="10486" max="10488" width="0" style="13" hidden="1" customWidth="1"/>
    <col min="10489" max="10716" width="9.140625" style="13"/>
    <col min="10717" max="10717" width="5.140625" style="13" customWidth="1"/>
    <col min="10718" max="10718" width="32.42578125" style="13" customWidth="1"/>
    <col min="10719" max="10721" width="10.28515625" style="13" customWidth="1"/>
    <col min="10722" max="10723" width="12.42578125" style="13" customWidth="1"/>
    <col min="10724" max="10724" width="11.28515625" style="13" customWidth="1"/>
    <col min="10725" max="10725" width="12.42578125" style="13" customWidth="1"/>
    <col min="10726" max="10726" width="11.28515625" style="13" customWidth="1"/>
    <col min="10727" max="10727" width="12.42578125" style="13" customWidth="1"/>
    <col min="10728" max="10728" width="11.28515625" style="13" customWidth="1"/>
    <col min="10729" max="10729" width="12.42578125" style="13" customWidth="1"/>
    <col min="10730" max="10730" width="11.28515625" style="13" customWidth="1"/>
    <col min="10731" max="10731" width="12.42578125" style="13" customWidth="1"/>
    <col min="10732" max="10732" width="11.28515625" style="13" customWidth="1"/>
    <col min="10733" max="10733" width="14.140625" style="13" customWidth="1"/>
    <col min="10734" max="10734" width="10.28515625" style="13" customWidth="1"/>
    <col min="10735" max="10735" width="17.140625" style="13" customWidth="1"/>
    <col min="10736" max="10736" width="12" style="13" customWidth="1"/>
    <col min="10737" max="10737" width="14.140625" style="13" customWidth="1"/>
    <col min="10738" max="10738" width="10.28515625" style="13" customWidth="1"/>
    <col min="10739" max="10739" width="17.140625" style="13" customWidth="1"/>
    <col min="10740" max="10740" width="12" style="13" customWidth="1"/>
    <col min="10741" max="10741" width="10.7109375" style="13" customWidth="1"/>
    <col min="10742" max="10744" width="0" style="13" hidden="1" customWidth="1"/>
    <col min="10745" max="10972" width="9.140625" style="13"/>
    <col min="10973" max="10973" width="5.140625" style="13" customWidth="1"/>
    <col min="10974" max="10974" width="32.42578125" style="13" customWidth="1"/>
    <col min="10975" max="10977" width="10.28515625" style="13" customWidth="1"/>
    <col min="10978" max="10979" width="12.42578125" style="13" customWidth="1"/>
    <col min="10980" max="10980" width="11.28515625" style="13" customWidth="1"/>
    <col min="10981" max="10981" width="12.42578125" style="13" customWidth="1"/>
    <col min="10982" max="10982" width="11.28515625" style="13" customWidth="1"/>
    <col min="10983" max="10983" width="12.42578125" style="13" customWidth="1"/>
    <col min="10984" max="10984" width="11.28515625" style="13" customWidth="1"/>
    <col min="10985" max="10985" width="12.42578125" style="13" customWidth="1"/>
    <col min="10986" max="10986" width="11.28515625" style="13" customWidth="1"/>
    <col min="10987" max="10987" width="12.42578125" style="13" customWidth="1"/>
    <col min="10988" max="10988" width="11.28515625" style="13" customWidth="1"/>
    <col min="10989" max="10989" width="14.140625" style="13" customWidth="1"/>
    <col min="10990" max="10990" width="10.28515625" style="13" customWidth="1"/>
    <col min="10991" max="10991" width="17.140625" style="13" customWidth="1"/>
    <col min="10992" max="10992" width="12" style="13" customWidth="1"/>
    <col min="10993" max="10993" width="14.140625" style="13" customWidth="1"/>
    <col min="10994" max="10994" width="10.28515625" style="13" customWidth="1"/>
    <col min="10995" max="10995" width="17.140625" style="13" customWidth="1"/>
    <col min="10996" max="10996" width="12" style="13" customWidth="1"/>
    <col min="10997" max="10997" width="10.7109375" style="13" customWidth="1"/>
    <col min="10998" max="11000" width="0" style="13" hidden="1" customWidth="1"/>
    <col min="11001" max="11228" width="9.140625" style="13"/>
    <col min="11229" max="11229" width="5.140625" style="13" customWidth="1"/>
    <col min="11230" max="11230" width="32.42578125" style="13" customWidth="1"/>
    <col min="11231" max="11233" width="10.28515625" style="13" customWidth="1"/>
    <col min="11234" max="11235" width="12.42578125" style="13" customWidth="1"/>
    <col min="11236" max="11236" width="11.28515625" style="13" customWidth="1"/>
    <col min="11237" max="11237" width="12.42578125" style="13" customWidth="1"/>
    <col min="11238" max="11238" width="11.28515625" style="13" customWidth="1"/>
    <col min="11239" max="11239" width="12.42578125" style="13" customWidth="1"/>
    <col min="11240" max="11240" width="11.28515625" style="13" customWidth="1"/>
    <col min="11241" max="11241" width="12.42578125" style="13" customWidth="1"/>
    <col min="11242" max="11242" width="11.28515625" style="13" customWidth="1"/>
    <col min="11243" max="11243" width="12.42578125" style="13" customWidth="1"/>
    <col min="11244" max="11244" width="11.28515625" style="13" customWidth="1"/>
    <col min="11245" max="11245" width="14.140625" style="13" customWidth="1"/>
    <col min="11246" max="11246" width="10.28515625" style="13" customWidth="1"/>
    <col min="11247" max="11247" width="17.140625" style="13" customWidth="1"/>
    <col min="11248" max="11248" width="12" style="13" customWidth="1"/>
    <col min="11249" max="11249" width="14.140625" style="13" customWidth="1"/>
    <col min="11250" max="11250" width="10.28515625" style="13" customWidth="1"/>
    <col min="11251" max="11251" width="17.140625" style="13" customWidth="1"/>
    <col min="11252" max="11252" width="12" style="13" customWidth="1"/>
    <col min="11253" max="11253" width="10.7109375" style="13" customWidth="1"/>
    <col min="11254" max="11256" width="0" style="13" hidden="1" customWidth="1"/>
    <col min="11257" max="11484" width="9.140625" style="13"/>
    <col min="11485" max="11485" width="5.140625" style="13" customWidth="1"/>
    <col min="11486" max="11486" width="32.42578125" style="13" customWidth="1"/>
    <col min="11487" max="11489" width="10.28515625" style="13" customWidth="1"/>
    <col min="11490" max="11491" width="12.42578125" style="13" customWidth="1"/>
    <col min="11492" max="11492" width="11.28515625" style="13" customWidth="1"/>
    <col min="11493" max="11493" width="12.42578125" style="13" customWidth="1"/>
    <col min="11494" max="11494" width="11.28515625" style="13" customWidth="1"/>
    <col min="11495" max="11495" width="12.42578125" style="13" customWidth="1"/>
    <col min="11496" max="11496" width="11.28515625" style="13" customWidth="1"/>
    <col min="11497" max="11497" width="12.42578125" style="13" customWidth="1"/>
    <col min="11498" max="11498" width="11.28515625" style="13" customWidth="1"/>
    <col min="11499" max="11499" width="12.42578125" style="13" customWidth="1"/>
    <col min="11500" max="11500" width="11.28515625" style="13" customWidth="1"/>
    <col min="11501" max="11501" width="14.140625" style="13" customWidth="1"/>
    <col min="11502" max="11502" width="10.28515625" style="13" customWidth="1"/>
    <col min="11503" max="11503" width="17.140625" style="13" customWidth="1"/>
    <col min="11504" max="11504" width="12" style="13" customWidth="1"/>
    <col min="11505" max="11505" width="14.140625" style="13" customWidth="1"/>
    <col min="11506" max="11506" width="10.28515625" style="13" customWidth="1"/>
    <col min="11507" max="11507" width="17.140625" style="13" customWidth="1"/>
    <col min="11508" max="11508" width="12" style="13" customWidth="1"/>
    <col min="11509" max="11509" width="10.7109375" style="13" customWidth="1"/>
    <col min="11510" max="11512" width="0" style="13" hidden="1" customWidth="1"/>
    <col min="11513" max="11740" width="9.140625" style="13"/>
    <col min="11741" max="11741" width="5.140625" style="13" customWidth="1"/>
    <col min="11742" max="11742" width="32.42578125" style="13" customWidth="1"/>
    <col min="11743" max="11745" width="10.28515625" style="13" customWidth="1"/>
    <col min="11746" max="11747" width="12.42578125" style="13" customWidth="1"/>
    <col min="11748" max="11748" width="11.28515625" style="13" customWidth="1"/>
    <col min="11749" max="11749" width="12.42578125" style="13" customWidth="1"/>
    <col min="11750" max="11750" width="11.28515625" style="13" customWidth="1"/>
    <col min="11751" max="11751" width="12.42578125" style="13" customWidth="1"/>
    <col min="11752" max="11752" width="11.28515625" style="13" customWidth="1"/>
    <col min="11753" max="11753" width="12.42578125" style="13" customWidth="1"/>
    <col min="11754" max="11754" width="11.28515625" style="13" customWidth="1"/>
    <col min="11755" max="11755" width="12.42578125" style="13" customWidth="1"/>
    <col min="11756" max="11756" width="11.28515625" style="13" customWidth="1"/>
    <col min="11757" max="11757" width="14.140625" style="13" customWidth="1"/>
    <col min="11758" max="11758" width="10.28515625" style="13" customWidth="1"/>
    <col min="11759" max="11759" width="17.140625" style="13" customWidth="1"/>
    <col min="11760" max="11760" width="12" style="13" customWidth="1"/>
    <col min="11761" max="11761" width="14.140625" style="13" customWidth="1"/>
    <col min="11762" max="11762" width="10.28515625" style="13" customWidth="1"/>
    <col min="11763" max="11763" width="17.140625" style="13" customWidth="1"/>
    <col min="11764" max="11764" width="12" style="13" customWidth="1"/>
    <col min="11765" max="11765" width="10.7109375" style="13" customWidth="1"/>
    <col min="11766" max="11768" width="0" style="13" hidden="1" customWidth="1"/>
    <col min="11769" max="11996" width="9.140625" style="13"/>
    <col min="11997" max="11997" width="5.140625" style="13" customWidth="1"/>
    <col min="11998" max="11998" width="32.42578125" style="13" customWidth="1"/>
    <col min="11999" max="12001" width="10.28515625" style="13" customWidth="1"/>
    <col min="12002" max="12003" width="12.42578125" style="13" customWidth="1"/>
    <col min="12004" max="12004" width="11.28515625" style="13" customWidth="1"/>
    <col min="12005" max="12005" width="12.42578125" style="13" customWidth="1"/>
    <col min="12006" max="12006" width="11.28515625" style="13" customWidth="1"/>
    <col min="12007" max="12007" width="12.42578125" style="13" customWidth="1"/>
    <col min="12008" max="12008" width="11.28515625" style="13" customWidth="1"/>
    <col min="12009" max="12009" width="12.42578125" style="13" customWidth="1"/>
    <col min="12010" max="12010" width="11.28515625" style="13" customWidth="1"/>
    <col min="12011" max="12011" width="12.42578125" style="13" customWidth="1"/>
    <col min="12012" max="12012" width="11.28515625" style="13" customWidth="1"/>
    <col min="12013" max="12013" width="14.140625" style="13" customWidth="1"/>
    <col min="12014" max="12014" width="10.28515625" style="13" customWidth="1"/>
    <col min="12015" max="12015" width="17.140625" style="13" customWidth="1"/>
    <col min="12016" max="12016" width="12" style="13" customWidth="1"/>
    <col min="12017" max="12017" width="14.140625" style="13" customWidth="1"/>
    <col min="12018" max="12018" width="10.28515625" style="13" customWidth="1"/>
    <col min="12019" max="12019" width="17.140625" style="13" customWidth="1"/>
    <col min="12020" max="12020" width="12" style="13" customWidth="1"/>
    <col min="12021" max="12021" width="10.7109375" style="13" customWidth="1"/>
    <col min="12022" max="12024" width="0" style="13" hidden="1" customWidth="1"/>
    <col min="12025" max="12252" width="9.140625" style="13"/>
    <col min="12253" max="12253" width="5.140625" style="13" customWidth="1"/>
    <col min="12254" max="12254" width="32.42578125" style="13" customWidth="1"/>
    <col min="12255" max="12257" width="10.28515625" style="13" customWidth="1"/>
    <col min="12258" max="12259" width="12.42578125" style="13" customWidth="1"/>
    <col min="12260" max="12260" width="11.28515625" style="13" customWidth="1"/>
    <col min="12261" max="12261" width="12.42578125" style="13" customWidth="1"/>
    <col min="12262" max="12262" width="11.28515625" style="13" customWidth="1"/>
    <col min="12263" max="12263" width="12.42578125" style="13" customWidth="1"/>
    <col min="12264" max="12264" width="11.28515625" style="13" customWidth="1"/>
    <col min="12265" max="12265" width="12.42578125" style="13" customWidth="1"/>
    <col min="12266" max="12266" width="11.28515625" style="13" customWidth="1"/>
    <col min="12267" max="12267" width="12.42578125" style="13" customWidth="1"/>
    <col min="12268" max="12268" width="11.28515625" style="13" customWidth="1"/>
    <col min="12269" max="12269" width="14.140625" style="13" customWidth="1"/>
    <col min="12270" max="12270" width="10.28515625" style="13" customWidth="1"/>
    <col min="12271" max="12271" width="17.140625" style="13" customWidth="1"/>
    <col min="12272" max="12272" width="12" style="13" customWidth="1"/>
    <col min="12273" max="12273" width="14.140625" style="13" customWidth="1"/>
    <col min="12274" max="12274" width="10.28515625" style="13" customWidth="1"/>
    <col min="12275" max="12275" width="17.140625" style="13" customWidth="1"/>
    <col min="12276" max="12276" width="12" style="13" customWidth="1"/>
    <col min="12277" max="12277" width="10.7109375" style="13" customWidth="1"/>
    <col min="12278" max="12280" width="0" style="13" hidden="1" customWidth="1"/>
    <col min="12281" max="12508" width="9.140625" style="13"/>
    <col min="12509" max="12509" width="5.140625" style="13" customWidth="1"/>
    <col min="12510" max="12510" width="32.42578125" style="13" customWidth="1"/>
    <col min="12511" max="12513" width="10.28515625" style="13" customWidth="1"/>
    <col min="12514" max="12515" width="12.42578125" style="13" customWidth="1"/>
    <col min="12516" max="12516" width="11.28515625" style="13" customWidth="1"/>
    <col min="12517" max="12517" width="12.42578125" style="13" customWidth="1"/>
    <col min="12518" max="12518" width="11.28515625" style="13" customWidth="1"/>
    <col min="12519" max="12519" width="12.42578125" style="13" customWidth="1"/>
    <col min="12520" max="12520" width="11.28515625" style="13" customWidth="1"/>
    <col min="12521" max="12521" width="12.42578125" style="13" customWidth="1"/>
    <col min="12522" max="12522" width="11.28515625" style="13" customWidth="1"/>
    <col min="12523" max="12523" width="12.42578125" style="13" customWidth="1"/>
    <col min="12524" max="12524" width="11.28515625" style="13" customWidth="1"/>
    <col min="12525" max="12525" width="14.140625" style="13" customWidth="1"/>
    <col min="12526" max="12526" width="10.28515625" style="13" customWidth="1"/>
    <col min="12527" max="12527" width="17.140625" style="13" customWidth="1"/>
    <col min="12528" max="12528" width="12" style="13" customWidth="1"/>
    <col min="12529" max="12529" width="14.140625" style="13" customWidth="1"/>
    <col min="12530" max="12530" width="10.28515625" style="13" customWidth="1"/>
    <col min="12531" max="12531" width="17.140625" style="13" customWidth="1"/>
    <col min="12532" max="12532" width="12" style="13" customWidth="1"/>
    <col min="12533" max="12533" width="10.7109375" style="13" customWidth="1"/>
    <col min="12534" max="12536" width="0" style="13" hidden="1" customWidth="1"/>
    <col min="12537" max="12764" width="9.140625" style="13"/>
    <col min="12765" max="12765" width="5.140625" style="13" customWidth="1"/>
    <col min="12766" max="12766" width="32.42578125" style="13" customWidth="1"/>
    <col min="12767" max="12769" width="10.28515625" style="13" customWidth="1"/>
    <col min="12770" max="12771" width="12.42578125" style="13" customWidth="1"/>
    <col min="12772" max="12772" width="11.28515625" style="13" customWidth="1"/>
    <col min="12773" max="12773" width="12.42578125" style="13" customWidth="1"/>
    <col min="12774" max="12774" width="11.28515625" style="13" customWidth="1"/>
    <col min="12775" max="12775" width="12.42578125" style="13" customWidth="1"/>
    <col min="12776" max="12776" width="11.28515625" style="13" customWidth="1"/>
    <col min="12777" max="12777" width="12.42578125" style="13" customWidth="1"/>
    <col min="12778" max="12778" width="11.28515625" style="13" customWidth="1"/>
    <col min="12779" max="12779" width="12.42578125" style="13" customWidth="1"/>
    <col min="12780" max="12780" width="11.28515625" style="13" customWidth="1"/>
    <col min="12781" max="12781" width="14.140625" style="13" customWidth="1"/>
    <col min="12782" max="12782" width="10.28515625" style="13" customWidth="1"/>
    <col min="12783" max="12783" width="17.140625" style="13" customWidth="1"/>
    <col min="12784" max="12784" width="12" style="13" customWidth="1"/>
    <col min="12785" max="12785" width="14.140625" style="13" customWidth="1"/>
    <col min="12786" max="12786" width="10.28515625" style="13" customWidth="1"/>
    <col min="12787" max="12787" width="17.140625" style="13" customWidth="1"/>
    <col min="12788" max="12788" width="12" style="13" customWidth="1"/>
    <col min="12789" max="12789" width="10.7109375" style="13" customWidth="1"/>
    <col min="12790" max="12792" width="0" style="13" hidden="1" customWidth="1"/>
    <col min="12793" max="13020" width="9.140625" style="13"/>
    <col min="13021" max="13021" width="5.140625" style="13" customWidth="1"/>
    <col min="13022" max="13022" width="32.42578125" style="13" customWidth="1"/>
    <col min="13023" max="13025" width="10.28515625" style="13" customWidth="1"/>
    <col min="13026" max="13027" width="12.42578125" style="13" customWidth="1"/>
    <col min="13028" max="13028" width="11.28515625" style="13" customWidth="1"/>
    <col min="13029" max="13029" width="12.42578125" style="13" customWidth="1"/>
    <col min="13030" max="13030" width="11.28515625" style="13" customWidth="1"/>
    <col min="13031" max="13031" width="12.42578125" style="13" customWidth="1"/>
    <col min="13032" max="13032" width="11.28515625" style="13" customWidth="1"/>
    <col min="13033" max="13033" width="12.42578125" style="13" customWidth="1"/>
    <col min="13034" max="13034" width="11.28515625" style="13" customWidth="1"/>
    <col min="13035" max="13035" width="12.42578125" style="13" customWidth="1"/>
    <col min="13036" max="13036" width="11.28515625" style="13" customWidth="1"/>
    <col min="13037" max="13037" width="14.140625" style="13" customWidth="1"/>
    <col min="13038" max="13038" width="10.28515625" style="13" customWidth="1"/>
    <col min="13039" max="13039" width="17.140625" style="13" customWidth="1"/>
    <col min="13040" max="13040" width="12" style="13" customWidth="1"/>
    <col min="13041" max="13041" width="14.140625" style="13" customWidth="1"/>
    <col min="13042" max="13042" width="10.28515625" style="13" customWidth="1"/>
    <col min="13043" max="13043" width="17.140625" style="13" customWidth="1"/>
    <col min="13044" max="13044" width="12" style="13" customWidth="1"/>
    <col min="13045" max="13045" width="10.7109375" style="13" customWidth="1"/>
    <col min="13046" max="13048" width="0" style="13" hidden="1" customWidth="1"/>
    <col min="13049" max="13276" width="9.140625" style="13"/>
    <col min="13277" max="13277" width="5.140625" style="13" customWidth="1"/>
    <col min="13278" max="13278" width="32.42578125" style="13" customWidth="1"/>
    <col min="13279" max="13281" width="10.28515625" style="13" customWidth="1"/>
    <col min="13282" max="13283" width="12.42578125" style="13" customWidth="1"/>
    <col min="13284" max="13284" width="11.28515625" style="13" customWidth="1"/>
    <col min="13285" max="13285" width="12.42578125" style="13" customWidth="1"/>
    <col min="13286" max="13286" width="11.28515625" style="13" customWidth="1"/>
    <col min="13287" max="13287" width="12.42578125" style="13" customWidth="1"/>
    <col min="13288" max="13288" width="11.28515625" style="13" customWidth="1"/>
    <col min="13289" max="13289" width="12.42578125" style="13" customWidth="1"/>
    <col min="13290" max="13290" width="11.28515625" style="13" customWidth="1"/>
    <col min="13291" max="13291" width="12.42578125" style="13" customWidth="1"/>
    <col min="13292" max="13292" width="11.28515625" style="13" customWidth="1"/>
    <col min="13293" max="13293" width="14.140625" style="13" customWidth="1"/>
    <col min="13294" max="13294" width="10.28515625" style="13" customWidth="1"/>
    <col min="13295" max="13295" width="17.140625" style="13" customWidth="1"/>
    <col min="13296" max="13296" width="12" style="13" customWidth="1"/>
    <col min="13297" max="13297" width="14.140625" style="13" customWidth="1"/>
    <col min="13298" max="13298" width="10.28515625" style="13" customWidth="1"/>
    <col min="13299" max="13299" width="17.140625" style="13" customWidth="1"/>
    <col min="13300" max="13300" width="12" style="13" customWidth="1"/>
    <col min="13301" max="13301" width="10.7109375" style="13" customWidth="1"/>
    <col min="13302" max="13304" width="0" style="13" hidden="1" customWidth="1"/>
    <col min="13305" max="13532" width="9.140625" style="13"/>
    <col min="13533" max="13533" width="5.140625" style="13" customWidth="1"/>
    <col min="13534" max="13534" width="32.42578125" style="13" customWidth="1"/>
    <col min="13535" max="13537" width="10.28515625" style="13" customWidth="1"/>
    <col min="13538" max="13539" width="12.42578125" style="13" customWidth="1"/>
    <col min="13540" max="13540" width="11.28515625" style="13" customWidth="1"/>
    <col min="13541" max="13541" width="12.42578125" style="13" customWidth="1"/>
    <col min="13542" max="13542" width="11.28515625" style="13" customWidth="1"/>
    <col min="13543" max="13543" width="12.42578125" style="13" customWidth="1"/>
    <col min="13544" max="13544" width="11.28515625" style="13" customWidth="1"/>
    <col min="13545" max="13545" width="12.42578125" style="13" customWidth="1"/>
    <col min="13546" max="13546" width="11.28515625" style="13" customWidth="1"/>
    <col min="13547" max="13547" width="12.42578125" style="13" customWidth="1"/>
    <col min="13548" max="13548" width="11.28515625" style="13" customWidth="1"/>
    <col min="13549" max="13549" width="14.140625" style="13" customWidth="1"/>
    <col min="13550" max="13550" width="10.28515625" style="13" customWidth="1"/>
    <col min="13551" max="13551" width="17.140625" style="13" customWidth="1"/>
    <col min="13552" max="13552" width="12" style="13" customWidth="1"/>
    <col min="13553" max="13553" width="14.140625" style="13" customWidth="1"/>
    <col min="13554" max="13554" width="10.28515625" style="13" customWidth="1"/>
    <col min="13555" max="13555" width="17.140625" style="13" customWidth="1"/>
    <col min="13556" max="13556" width="12" style="13" customWidth="1"/>
    <col min="13557" max="13557" width="10.7109375" style="13" customWidth="1"/>
    <col min="13558" max="13560" width="0" style="13" hidden="1" customWidth="1"/>
    <col min="13561" max="13788" width="9.140625" style="13"/>
    <col min="13789" max="13789" width="5.140625" style="13" customWidth="1"/>
    <col min="13790" max="13790" width="32.42578125" style="13" customWidth="1"/>
    <col min="13791" max="13793" width="10.28515625" style="13" customWidth="1"/>
    <col min="13794" max="13795" width="12.42578125" style="13" customWidth="1"/>
    <col min="13796" max="13796" width="11.28515625" style="13" customWidth="1"/>
    <col min="13797" max="13797" width="12.42578125" style="13" customWidth="1"/>
    <col min="13798" max="13798" width="11.28515625" style="13" customWidth="1"/>
    <col min="13799" max="13799" width="12.42578125" style="13" customWidth="1"/>
    <col min="13800" max="13800" width="11.28515625" style="13" customWidth="1"/>
    <col min="13801" max="13801" width="12.42578125" style="13" customWidth="1"/>
    <col min="13802" max="13802" width="11.28515625" style="13" customWidth="1"/>
    <col min="13803" max="13803" width="12.42578125" style="13" customWidth="1"/>
    <col min="13804" max="13804" width="11.28515625" style="13" customWidth="1"/>
    <col min="13805" max="13805" width="14.140625" style="13" customWidth="1"/>
    <col min="13806" max="13806" width="10.28515625" style="13" customWidth="1"/>
    <col min="13807" max="13807" width="17.140625" style="13" customWidth="1"/>
    <col min="13808" max="13808" width="12" style="13" customWidth="1"/>
    <col min="13809" max="13809" width="14.140625" style="13" customWidth="1"/>
    <col min="13810" max="13810" width="10.28515625" style="13" customWidth="1"/>
    <col min="13811" max="13811" width="17.140625" style="13" customWidth="1"/>
    <col min="13812" max="13812" width="12" style="13" customWidth="1"/>
    <col min="13813" max="13813" width="10.7109375" style="13" customWidth="1"/>
    <col min="13814" max="13816" width="0" style="13" hidden="1" customWidth="1"/>
    <col min="13817" max="14044" width="9.140625" style="13"/>
    <col min="14045" max="14045" width="5.140625" style="13" customWidth="1"/>
    <col min="14046" max="14046" width="32.42578125" style="13" customWidth="1"/>
    <col min="14047" max="14049" width="10.28515625" style="13" customWidth="1"/>
    <col min="14050" max="14051" width="12.42578125" style="13" customWidth="1"/>
    <col min="14052" max="14052" width="11.28515625" style="13" customWidth="1"/>
    <col min="14053" max="14053" width="12.42578125" style="13" customWidth="1"/>
    <col min="14054" max="14054" width="11.28515625" style="13" customWidth="1"/>
    <col min="14055" max="14055" width="12.42578125" style="13" customWidth="1"/>
    <col min="14056" max="14056" width="11.28515625" style="13" customWidth="1"/>
    <col min="14057" max="14057" width="12.42578125" style="13" customWidth="1"/>
    <col min="14058" max="14058" width="11.28515625" style="13" customWidth="1"/>
    <col min="14059" max="14059" width="12.42578125" style="13" customWidth="1"/>
    <col min="14060" max="14060" width="11.28515625" style="13" customWidth="1"/>
    <col min="14061" max="14061" width="14.140625" style="13" customWidth="1"/>
    <col min="14062" max="14062" width="10.28515625" style="13" customWidth="1"/>
    <col min="14063" max="14063" width="17.140625" style="13" customWidth="1"/>
    <col min="14064" max="14064" width="12" style="13" customWidth="1"/>
    <col min="14065" max="14065" width="14.140625" style="13" customWidth="1"/>
    <col min="14066" max="14066" width="10.28515625" style="13" customWidth="1"/>
    <col min="14067" max="14067" width="17.140625" style="13" customWidth="1"/>
    <col min="14068" max="14068" width="12" style="13" customWidth="1"/>
    <col min="14069" max="14069" width="10.7109375" style="13" customWidth="1"/>
    <col min="14070" max="14072" width="0" style="13" hidden="1" customWidth="1"/>
    <col min="14073" max="14300" width="9.140625" style="13"/>
    <col min="14301" max="14301" width="5.140625" style="13" customWidth="1"/>
    <col min="14302" max="14302" width="32.42578125" style="13" customWidth="1"/>
    <col min="14303" max="14305" width="10.28515625" style="13" customWidth="1"/>
    <col min="14306" max="14307" width="12.42578125" style="13" customWidth="1"/>
    <col min="14308" max="14308" width="11.28515625" style="13" customWidth="1"/>
    <col min="14309" max="14309" width="12.42578125" style="13" customWidth="1"/>
    <col min="14310" max="14310" width="11.28515625" style="13" customWidth="1"/>
    <col min="14311" max="14311" width="12.42578125" style="13" customWidth="1"/>
    <col min="14312" max="14312" width="11.28515625" style="13" customWidth="1"/>
    <col min="14313" max="14313" width="12.42578125" style="13" customWidth="1"/>
    <col min="14314" max="14314" width="11.28515625" style="13" customWidth="1"/>
    <col min="14315" max="14315" width="12.42578125" style="13" customWidth="1"/>
    <col min="14316" max="14316" width="11.28515625" style="13" customWidth="1"/>
    <col min="14317" max="14317" width="14.140625" style="13" customWidth="1"/>
    <col min="14318" max="14318" width="10.28515625" style="13" customWidth="1"/>
    <col min="14319" max="14319" width="17.140625" style="13" customWidth="1"/>
    <col min="14320" max="14320" width="12" style="13" customWidth="1"/>
    <col min="14321" max="14321" width="14.140625" style="13" customWidth="1"/>
    <col min="14322" max="14322" width="10.28515625" style="13" customWidth="1"/>
    <col min="14323" max="14323" width="17.140625" style="13" customWidth="1"/>
    <col min="14324" max="14324" width="12" style="13" customWidth="1"/>
    <col min="14325" max="14325" width="10.7109375" style="13" customWidth="1"/>
    <col min="14326" max="14328" width="0" style="13" hidden="1" customWidth="1"/>
    <col min="14329" max="14556" width="9.140625" style="13"/>
    <col min="14557" max="14557" width="5.140625" style="13" customWidth="1"/>
    <col min="14558" max="14558" width="32.42578125" style="13" customWidth="1"/>
    <col min="14559" max="14561" width="10.28515625" style="13" customWidth="1"/>
    <col min="14562" max="14563" width="12.42578125" style="13" customWidth="1"/>
    <col min="14564" max="14564" width="11.28515625" style="13" customWidth="1"/>
    <col min="14565" max="14565" width="12.42578125" style="13" customWidth="1"/>
    <col min="14566" max="14566" width="11.28515625" style="13" customWidth="1"/>
    <col min="14567" max="14567" width="12.42578125" style="13" customWidth="1"/>
    <col min="14568" max="14568" width="11.28515625" style="13" customWidth="1"/>
    <col min="14569" max="14569" width="12.42578125" style="13" customWidth="1"/>
    <col min="14570" max="14570" width="11.28515625" style="13" customWidth="1"/>
    <col min="14571" max="14571" width="12.42578125" style="13" customWidth="1"/>
    <col min="14572" max="14572" width="11.28515625" style="13" customWidth="1"/>
    <col min="14573" max="14573" width="14.140625" style="13" customWidth="1"/>
    <col min="14574" max="14574" width="10.28515625" style="13" customWidth="1"/>
    <col min="14575" max="14575" width="17.140625" style="13" customWidth="1"/>
    <col min="14576" max="14576" width="12" style="13" customWidth="1"/>
    <col min="14577" max="14577" width="14.140625" style="13" customWidth="1"/>
    <col min="14578" max="14578" width="10.28515625" style="13" customWidth="1"/>
    <col min="14579" max="14579" width="17.140625" style="13" customWidth="1"/>
    <col min="14580" max="14580" width="12" style="13" customWidth="1"/>
    <col min="14581" max="14581" width="10.7109375" style="13" customWidth="1"/>
    <col min="14582" max="14584" width="0" style="13" hidden="1" customWidth="1"/>
    <col min="14585" max="14812" width="9.140625" style="13"/>
    <col min="14813" max="14813" width="5.140625" style="13" customWidth="1"/>
    <col min="14814" max="14814" width="32.42578125" style="13" customWidth="1"/>
    <col min="14815" max="14817" width="10.28515625" style="13" customWidth="1"/>
    <col min="14818" max="14819" width="12.42578125" style="13" customWidth="1"/>
    <col min="14820" max="14820" width="11.28515625" style="13" customWidth="1"/>
    <col min="14821" max="14821" width="12.42578125" style="13" customWidth="1"/>
    <col min="14822" max="14822" width="11.28515625" style="13" customWidth="1"/>
    <col min="14823" max="14823" width="12.42578125" style="13" customWidth="1"/>
    <col min="14824" max="14824" width="11.28515625" style="13" customWidth="1"/>
    <col min="14825" max="14825" width="12.42578125" style="13" customWidth="1"/>
    <col min="14826" max="14826" width="11.28515625" style="13" customWidth="1"/>
    <col min="14827" max="14827" width="12.42578125" style="13" customWidth="1"/>
    <col min="14828" max="14828" width="11.28515625" style="13" customWidth="1"/>
    <col min="14829" max="14829" width="14.140625" style="13" customWidth="1"/>
    <col min="14830" max="14830" width="10.28515625" style="13" customWidth="1"/>
    <col min="14831" max="14831" width="17.140625" style="13" customWidth="1"/>
    <col min="14832" max="14832" width="12" style="13" customWidth="1"/>
    <col min="14833" max="14833" width="14.140625" style="13" customWidth="1"/>
    <col min="14834" max="14834" width="10.28515625" style="13" customWidth="1"/>
    <col min="14835" max="14835" width="17.140625" style="13" customWidth="1"/>
    <col min="14836" max="14836" width="12" style="13" customWidth="1"/>
    <col min="14837" max="14837" width="10.7109375" style="13" customWidth="1"/>
    <col min="14838" max="14840" width="0" style="13" hidden="1" customWidth="1"/>
    <col min="14841" max="15068" width="9.140625" style="13"/>
    <col min="15069" max="15069" width="5.140625" style="13" customWidth="1"/>
    <col min="15070" max="15070" width="32.42578125" style="13" customWidth="1"/>
    <col min="15071" max="15073" width="10.28515625" style="13" customWidth="1"/>
    <col min="15074" max="15075" width="12.42578125" style="13" customWidth="1"/>
    <col min="15076" max="15076" width="11.28515625" style="13" customWidth="1"/>
    <col min="15077" max="15077" width="12.42578125" style="13" customWidth="1"/>
    <col min="15078" max="15078" width="11.28515625" style="13" customWidth="1"/>
    <col min="15079" max="15079" width="12.42578125" style="13" customWidth="1"/>
    <col min="15080" max="15080" width="11.28515625" style="13" customWidth="1"/>
    <col min="15081" max="15081" width="12.42578125" style="13" customWidth="1"/>
    <col min="15082" max="15082" width="11.28515625" style="13" customWidth="1"/>
    <col min="15083" max="15083" width="12.42578125" style="13" customWidth="1"/>
    <col min="15084" max="15084" width="11.28515625" style="13" customWidth="1"/>
    <col min="15085" max="15085" width="14.140625" style="13" customWidth="1"/>
    <col min="15086" max="15086" width="10.28515625" style="13" customWidth="1"/>
    <col min="15087" max="15087" width="17.140625" style="13" customWidth="1"/>
    <col min="15088" max="15088" width="12" style="13" customWidth="1"/>
    <col min="15089" max="15089" width="14.140625" style="13" customWidth="1"/>
    <col min="15090" max="15090" width="10.28515625" style="13" customWidth="1"/>
    <col min="15091" max="15091" width="17.140625" style="13" customWidth="1"/>
    <col min="15092" max="15092" width="12" style="13" customWidth="1"/>
    <col min="15093" max="15093" width="10.7109375" style="13" customWidth="1"/>
    <col min="15094" max="15096" width="0" style="13" hidden="1" customWidth="1"/>
    <col min="15097" max="15324" width="9.140625" style="13"/>
    <col min="15325" max="15325" width="5.140625" style="13" customWidth="1"/>
    <col min="15326" max="15326" width="32.42578125" style="13" customWidth="1"/>
    <col min="15327" max="15329" width="10.28515625" style="13" customWidth="1"/>
    <col min="15330" max="15331" width="12.42578125" style="13" customWidth="1"/>
    <col min="15332" max="15332" width="11.28515625" style="13" customWidth="1"/>
    <col min="15333" max="15333" width="12.42578125" style="13" customWidth="1"/>
    <col min="15334" max="15334" width="11.28515625" style="13" customWidth="1"/>
    <col min="15335" max="15335" width="12.42578125" style="13" customWidth="1"/>
    <col min="15336" max="15336" width="11.28515625" style="13" customWidth="1"/>
    <col min="15337" max="15337" width="12.42578125" style="13" customWidth="1"/>
    <col min="15338" max="15338" width="11.28515625" style="13" customWidth="1"/>
    <col min="15339" max="15339" width="12.42578125" style="13" customWidth="1"/>
    <col min="15340" max="15340" width="11.28515625" style="13" customWidth="1"/>
    <col min="15341" max="15341" width="14.140625" style="13" customWidth="1"/>
    <col min="15342" max="15342" width="10.28515625" style="13" customWidth="1"/>
    <col min="15343" max="15343" width="17.140625" style="13" customWidth="1"/>
    <col min="15344" max="15344" width="12" style="13" customWidth="1"/>
    <col min="15345" max="15345" width="14.140625" style="13" customWidth="1"/>
    <col min="15346" max="15346" width="10.28515625" style="13" customWidth="1"/>
    <col min="15347" max="15347" width="17.140625" style="13" customWidth="1"/>
    <col min="15348" max="15348" width="12" style="13" customWidth="1"/>
    <col min="15349" max="15349" width="10.7109375" style="13" customWidth="1"/>
    <col min="15350" max="15352" width="0" style="13" hidden="1" customWidth="1"/>
    <col min="15353" max="15580" width="9.140625" style="13"/>
    <col min="15581" max="15581" width="5.140625" style="13" customWidth="1"/>
    <col min="15582" max="15582" width="32.42578125" style="13" customWidth="1"/>
    <col min="15583" max="15585" width="10.28515625" style="13" customWidth="1"/>
    <col min="15586" max="15587" width="12.42578125" style="13" customWidth="1"/>
    <col min="15588" max="15588" width="11.28515625" style="13" customWidth="1"/>
    <col min="15589" max="15589" width="12.42578125" style="13" customWidth="1"/>
    <col min="15590" max="15590" width="11.28515625" style="13" customWidth="1"/>
    <col min="15591" max="15591" width="12.42578125" style="13" customWidth="1"/>
    <col min="15592" max="15592" width="11.28515625" style="13" customWidth="1"/>
    <col min="15593" max="15593" width="12.42578125" style="13" customWidth="1"/>
    <col min="15594" max="15594" width="11.28515625" style="13" customWidth="1"/>
    <col min="15595" max="15595" width="12.42578125" style="13" customWidth="1"/>
    <col min="15596" max="15596" width="11.28515625" style="13" customWidth="1"/>
    <col min="15597" max="15597" width="14.140625" style="13" customWidth="1"/>
    <col min="15598" max="15598" width="10.28515625" style="13" customWidth="1"/>
    <col min="15599" max="15599" width="17.140625" style="13" customWidth="1"/>
    <col min="15600" max="15600" width="12" style="13" customWidth="1"/>
    <col min="15601" max="15601" width="14.140625" style="13" customWidth="1"/>
    <col min="15602" max="15602" width="10.28515625" style="13" customWidth="1"/>
    <col min="15603" max="15603" width="17.140625" style="13" customWidth="1"/>
    <col min="15604" max="15604" width="12" style="13" customWidth="1"/>
    <col min="15605" max="15605" width="10.7109375" style="13" customWidth="1"/>
    <col min="15606" max="15608" width="0" style="13" hidden="1" customWidth="1"/>
    <col min="15609" max="15836" width="9.140625" style="13"/>
    <col min="15837" max="15837" width="5.140625" style="13" customWidth="1"/>
    <col min="15838" max="15838" width="32.42578125" style="13" customWidth="1"/>
    <col min="15839" max="15841" width="10.28515625" style="13" customWidth="1"/>
    <col min="15842" max="15843" width="12.42578125" style="13" customWidth="1"/>
    <col min="15844" max="15844" width="11.28515625" style="13" customWidth="1"/>
    <col min="15845" max="15845" width="12.42578125" style="13" customWidth="1"/>
    <col min="15846" max="15846" width="11.28515625" style="13" customWidth="1"/>
    <col min="15847" max="15847" width="12.42578125" style="13" customWidth="1"/>
    <col min="15848" max="15848" width="11.28515625" style="13" customWidth="1"/>
    <col min="15849" max="15849" width="12.42578125" style="13" customWidth="1"/>
    <col min="15850" max="15850" width="11.28515625" style="13" customWidth="1"/>
    <col min="15851" max="15851" width="12.42578125" style="13" customWidth="1"/>
    <col min="15852" max="15852" width="11.28515625" style="13" customWidth="1"/>
    <col min="15853" max="15853" width="14.140625" style="13" customWidth="1"/>
    <col min="15854" max="15854" width="10.28515625" style="13" customWidth="1"/>
    <col min="15855" max="15855" width="17.140625" style="13" customWidth="1"/>
    <col min="15856" max="15856" width="12" style="13" customWidth="1"/>
    <col min="15857" max="15857" width="14.140625" style="13" customWidth="1"/>
    <col min="15858" max="15858" width="10.28515625" style="13" customWidth="1"/>
    <col min="15859" max="15859" width="17.140625" style="13" customWidth="1"/>
    <col min="15860" max="15860" width="12" style="13" customWidth="1"/>
    <col min="15861" max="15861" width="10.7109375" style="13" customWidth="1"/>
    <col min="15862" max="15864" width="0" style="13" hidden="1" customWidth="1"/>
    <col min="15865" max="16092" width="9.140625" style="13"/>
    <col min="16093" max="16093" width="5.140625" style="13" customWidth="1"/>
    <col min="16094" max="16094" width="32.42578125" style="13" customWidth="1"/>
    <col min="16095" max="16097" width="10.28515625" style="13" customWidth="1"/>
    <col min="16098" max="16099" width="12.42578125" style="13" customWidth="1"/>
    <col min="16100" max="16100" width="11.28515625" style="13" customWidth="1"/>
    <col min="16101" max="16101" width="12.42578125" style="13" customWidth="1"/>
    <col min="16102" max="16102" width="11.28515625" style="13" customWidth="1"/>
    <col min="16103" max="16103" width="12.42578125" style="13" customWidth="1"/>
    <col min="16104" max="16104" width="11.28515625" style="13" customWidth="1"/>
    <col min="16105" max="16105" width="12.42578125" style="13" customWidth="1"/>
    <col min="16106" max="16106" width="11.28515625" style="13" customWidth="1"/>
    <col min="16107" max="16107" width="12.42578125" style="13" customWidth="1"/>
    <col min="16108" max="16108" width="11.28515625" style="13" customWidth="1"/>
    <col min="16109" max="16109" width="14.140625" style="13" customWidth="1"/>
    <col min="16110" max="16110" width="10.28515625" style="13" customWidth="1"/>
    <col min="16111" max="16111" width="17.140625" style="13" customWidth="1"/>
    <col min="16112" max="16112" width="12" style="13" customWidth="1"/>
    <col min="16113" max="16113" width="14.140625" style="13" customWidth="1"/>
    <col min="16114" max="16114" width="10.28515625" style="13" customWidth="1"/>
    <col min="16115" max="16115" width="17.140625" style="13" customWidth="1"/>
    <col min="16116" max="16116" width="12" style="13" customWidth="1"/>
    <col min="16117" max="16117" width="10.7109375" style="13" customWidth="1"/>
    <col min="16118" max="16120" width="0" style="13" hidden="1" customWidth="1"/>
    <col min="16121" max="16384" width="9.140625" style="13"/>
  </cols>
  <sheetData>
    <row r="1" spans="1:25" ht="29.25" customHeight="1">
      <c r="A1" s="1711" t="s">
        <v>2395</v>
      </c>
      <c r="B1" s="1711"/>
      <c r="C1" s="1711"/>
      <c r="D1" s="1711"/>
      <c r="E1" s="1711"/>
      <c r="F1" s="1711"/>
      <c r="G1" s="1711"/>
      <c r="H1" s="1711"/>
      <c r="I1" s="1711"/>
      <c r="J1" s="1711"/>
      <c r="K1" s="1711"/>
      <c r="L1" s="1711"/>
      <c r="M1" s="1711"/>
      <c r="N1" s="1711"/>
      <c r="O1" s="1711"/>
      <c r="P1" s="1711"/>
      <c r="Q1" s="1711"/>
      <c r="R1" s="1711"/>
      <c r="S1" s="1711"/>
      <c r="T1" s="1657"/>
      <c r="U1" s="1657"/>
      <c r="V1" s="1657"/>
    </row>
    <row r="2" spans="1:25" ht="27.75" customHeight="1">
      <c r="A2" s="1243" t="s">
        <v>2609</v>
      </c>
      <c r="B2" s="1658"/>
      <c r="C2" s="1658"/>
      <c r="D2" s="1658"/>
      <c r="E2" s="1658"/>
      <c r="F2" s="1658"/>
      <c r="G2" s="1658"/>
      <c r="H2" s="1658"/>
      <c r="I2" s="1658"/>
      <c r="J2" s="1658"/>
      <c r="K2" s="1658"/>
      <c r="L2" s="1658"/>
      <c r="M2" s="1658"/>
    </row>
    <row r="3" spans="1:25" ht="20.25" customHeight="1">
      <c r="A3" s="1718" t="s">
        <v>3</v>
      </c>
      <c r="B3" s="1718"/>
      <c r="C3" s="1718"/>
      <c r="D3" s="1718"/>
      <c r="E3" s="1718"/>
      <c r="F3" s="1718"/>
      <c r="G3" s="1718"/>
      <c r="H3" s="1718"/>
      <c r="I3" s="1718"/>
      <c r="J3" s="1718"/>
      <c r="K3" s="1718"/>
      <c r="L3" s="1718"/>
      <c r="M3" s="1718"/>
      <c r="N3" s="1718"/>
      <c r="O3" s="1718"/>
      <c r="P3" s="1718"/>
      <c r="Q3" s="1718"/>
      <c r="R3" s="1718"/>
      <c r="S3" s="1718"/>
      <c r="T3" s="1718"/>
      <c r="U3" s="1718"/>
      <c r="V3" s="1718"/>
    </row>
    <row r="4" spans="1:25" s="1585" customFormat="1" ht="27" customHeight="1">
      <c r="A4" s="1712" t="s">
        <v>22</v>
      </c>
      <c r="B4" s="1712" t="s">
        <v>23</v>
      </c>
      <c r="C4" s="1712" t="s">
        <v>24</v>
      </c>
      <c r="D4" s="1712" t="s">
        <v>290</v>
      </c>
      <c r="E4" s="1712" t="s">
        <v>1986</v>
      </c>
      <c r="F4" s="1715" t="s">
        <v>1987</v>
      </c>
      <c r="G4" s="1716"/>
      <c r="H4" s="1717"/>
      <c r="I4" s="1719" t="s">
        <v>279</v>
      </c>
      <c r="J4" s="1723"/>
      <c r="K4" s="1719" t="s">
        <v>280</v>
      </c>
      <c r="L4" s="1720"/>
      <c r="M4" s="1712" t="s">
        <v>281</v>
      </c>
      <c r="N4" s="1292"/>
      <c r="O4" s="1719" t="s">
        <v>279</v>
      </c>
      <c r="P4" s="1723"/>
      <c r="Q4" s="1719" t="s">
        <v>280</v>
      </c>
      <c r="R4" s="1720"/>
      <c r="S4" s="1712" t="s">
        <v>2417</v>
      </c>
      <c r="T4" s="1719" t="s">
        <v>2594</v>
      </c>
      <c r="U4" s="1720"/>
      <c r="V4" s="1712" t="s">
        <v>2554</v>
      </c>
      <c r="W4" s="1710" t="s">
        <v>7</v>
      </c>
    </row>
    <row r="5" spans="1:25" s="1585" customFormat="1" ht="44.25" customHeight="1">
      <c r="A5" s="1713"/>
      <c r="B5" s="1713"/>
      <c r="C5" s="1713"/>
      <c r="D5" s="1713"/>
      <c r="E5" s="1713"/>
      <c r="F5" s="1712" t="s">
        <v>30</v>
      </c>
      <c r="G5" s="1715" t="s">
        <v>31</v>
      </c>
      <c r="H5" s="1717"/>
      <c r="I5" s="1721"/>
      <c r="J5" s="1724"/>
      <c r="K5" s="1721"/>
      <c r="L5" s="1722"/>
      <c r="M5" s="1713"/>
      <c r="N5" s="1292"/>
      <c r="O5" s="1721"/>
      <c r="P5" s="1724"/>
      <c r="Q5" s="1721"/>
      <c r="R5" s="1722"/>
      <c r="S5" s="1713"/>
      <c r="T5" s="1721"/>
      <c r="U5" s="1722"/>
      <c r="V5" s="1713"/>
      <c r="W5" s="1710"/>
      <c r="X5" s="1292"/>
      <c r="Y5" s="1292"/>
    </row>
    <row r="6" spans="1:25" s="1585" customFormat="1" ht="48.75" customHeight="1">
      <c r="A6" s="1713"/>
      <c r="B6" s="1713"/>
      <c r="C6" s="1713"/>
      <c r="D6" s="1713"/>
      <c r="E6" s="1713"/>
      <c r="F6" s="1713"/>
      <c r="G6" s="1712" t="s">
        <v>32</v>
      </c>
      <c r="H6" s="1712" t="s">
        <v>278</v>
      </c>
      <c r="I6" s="1712" t="s">
        <v>283</v>
      </c>
      <c r="J6" s="1712" t="s">
        <v>278</v>
      </c>
      <c r="K6" s="1712" t="s">
        <v>9</v>
      </c>
      <c r="L6" s="1712" t="s">
        <v>278</v>
      </c>
      <c r="M6" s="1713"/>
      <c r="N6" s="1292"/>
      <c r="O6" s="1712" t="s">
        <v>283</v>
      </c>
      <c r="P6" s="1712" t="s">
        <v>278</v>
      </c>
      <c r="Q6" s="1712" t="s">
        <v>9</v>
      </c>
      <c r="R6" s="1712" t="s">
        <v>278</v>
      </c>
      <c r="S6" s="1713"/>
      <c r="T6" s="1712" t="s">
        <v>9</v>
      </c>
      <c r="U6" s="1712" t="s">
        <v>278</v>
      </c>
      <c r="V6" s="1713"/>
      <c r="W6" s="1710"/>
    </row>
    <row r="7" spans="1:25" s="1585" customFormat="1" ht="21.75" customHeight="1">
      <c r="A7" s="1713"/>
      <c r="B7" s="1713"/>
      <c r="C7" s="1713"/>
      <c r="D7" s="1713"/>
      <c r="E7" s="1713"/>
      <c r="F7" s="1713"/>
      <c r="G7" s="1713"/>
      <c r="H7" s="1713"/>
      <c r="I7" s="1713"/>
      <c r="J7" s="1713"/>
      <c r="K7" s="1713"/>
      <c r="L7" s="1713"/>
      <c r="M7" s="1713"/>
      <c r="N7" s="1292"/>
      <c r="O7" s="1713"/>
      <c r="P7" s="1713"/>
      <c r="Q7" s="1713"/>
      <c r="R7" s="1713"/>
      <c r="S7" s="1713"/>
      <c r="T7" s="1713"/>
      <c r="U7" s="1713"/>
      <c r="V7" s="1713"/>
      <c r="W7" s="1710"/>
    </row>
    <row r="8" spans="1:25" s="1585" customFormat="1">
      <c r="A8" s="1714"/>
      <c r="B8" s="1714"/>
      <c r="C8" s="1714"/>
      <c r="D8" s="1714"/>
      <c r="E8" s="1714"/>
      <c r="F8" s="1714"/>
      <c r="G8" s="1714"/>
      <c r="H8" s="1714"/>
      <c r="I8" s="1714"/>
      <c r="J8" s="1714"/>
      <c r="K8" s="1714"/>
      <c r="L8" s="1714"/>
      <c r="M8" s="1714"/>
      <c r="N8" s="1292"/>
      <c r="O8" s="1714"/>
      <c r="P8" s="1714"/>
      <c r="Q8" s="1714"/>
      <c r="R8" s="1714"/>
      <c r="S8" s="1714"/>
      <c r="T8" s="1714"/>
      <c r="U8" s="1714"/>
      <c r="V8" s="1714"/>
      <c r="W8" s="1710"/>
    </row>
    <row r="9" spans="1:25" s="20" customFormat="1" ht="24" customHeight="1">
      <c r="A9" s="95">
        <v>1</v>
      </c>
      <c r="B9" s="95">
        <f>A9+1</f>
        <v>2</v>
      </c>
      <c r="C9" s="95">
        <f>B9+1</f>
        <v>3</v>
      </c>
      <c r="D9" s="95">
        <f t="shared" ref="D9:L9" si="0">C9+1</f>
        <v>4</v>
      </c>
      <c r="E9" s="95">
        <f t="shared" si="0"/>
        <v>5</v>
      </c>
      <c r="F9" s="95">
        <f t="shared" si="0"/>
        <v>6</v>
      </c>
      <c r="G9" s="95">
        <f t="shared" si="0"/>
        <v>7</v>
      </c>
      <c r="H9" s="95">
        <f t="shared" si="0"/>
        <v>8</v>
      </c>
      <c r="I9" s="95">
        <f t="shared" si="0"/>
        <v>9</v>
      </c>
      <c r="J9" s="95">
        <f t="shared" si="0"/>
        <v>10</v>
      </c>
      <c r="K9" s="95">
        <f t="shared" si="0"/>
        <v>11</v>
      </c>
      <c r="L9" s="95">
        <f t="shared" si="0"/>
        <v>12</v>
      </c>
      <c r="M9" s="95">
        <f t="shared" ref="M9" si="1">L9+1</f>
        <v>13</v>
      </c>
      <c r="N9" s="1585"/>
      <c r="O9" s="1536">
        <v>9</v>
      </c>
      <c r="P9" s="1536">
        <v>10</v>
      </c>
      <c r="Q9" s="1536">
        <v>11</v>
      </c>
      <c r="R9" s="1536">
        <v>12</v>
      </c>
      <c r="S9" s="1536">
        <v>13</v>
      </c>
      <c r="T9" s="1536">
        <v>9</v>
      </c>
      <c r="U9" s="1536">
        <v>10</v>
      </c>
      <c r="V9" s="1536">
        <v>11</v>
      </c>
      <c r="W9" s="1536">
        <v>12</v>
      </c>
    </row>
    <row r="10" spans="1:25" s="20" customFormat="1" ht="35.25" customHeight="1">
      <c r="A10" s="1227"/>
      <c r="B10" s="1228" t="s">
        <v>13</v>
      </c>
      <c r="C10" s="1227"/>
      <c r="D10" s="1227"/>
      <c r="E10" s="1227"/>
      <c r="F10" s="1227"/>
      <c r="G10" s="204">
        <f t="shared" ref="G10:M10" si="2">SUBTOTAL(109,G11:G221)</f>
        <v>441774.7</v>
      </c>
      <c r="H10" s="204">
        <f t="shared" si="2"/>
        <v>342357.7</v>
      </c>
      <c r="I10" s="204">
        <f t="shared" si="2"/>
        <v>149043.71</v>
      </c>
      <c r="J10" s="204">
        <f t="shared" si="2"/>
        <v>149043.71</v>
      </c>
      <c r="K10" s="204">
        <f t="shared" si="2"/>
        <v>55360</v>
      </c>
      <c r="L10" s="204">
        <f t="shared" si="2"/>
        <v>28764</v>
      </c>
      <c r="M10" s="204">
        <f t="shared" si="2"/>
        <v>146518.69500000001</v>
      </c>
      <c r="O10" s="1565">
        <f t="shared" ref="O10:V10" si="3">SUBTOTAL(109,O11:O221)</f>
        <v>203098</v>
      </c>
      <c r="P10" s="1565">
        <f t="shared" si="3"/>
        <v>176502</v>
      </c>
      <c r="Q10" s="1565">
        <f t="shared" si="3"/>
        <v>55360</v>
      </c>
      <c r="R10" s="1565">
        <f t="shared" si="3"/>
        <v>28764</v>
      </c>
      <c r="S10" s="1565">
        <f t="shared" si="3"/>
        <v>147738</v>
      </c>
      <c r="T10" s="1565">
        <f t="shared" si="3"/>
        <v>203098</v>
      </c>
      <c r="U10" s="1565">
        <f t="shared" si="3"/>
        <v>176502</v>
      </c>
      <c r="V10" s="1565">
        <f t="shared" si="3"/>
        <v>181540.83000000002</v>
      </c>
      <c r="W10" s="1231"/>
    </row>
    <row r="11" spans="1:25" ht="46.5" customHeight="1">
      <c r="A11" s="1537" t="s">
        <v>33</v>
      </c>
      <c r="B11" s="1538" t="s">
        <v>2585</v>
      </c>
      <c r="C11" s="1229"/>
      <c r="D11" s="1229"/>
      <c r="E11" s="1229"/>
      <c r="F11" s="1229"/>
      <c r="G11" s="204">
        <f t="shared" ref="G11:M11" si="4">SUBTOTAL(109,G12:G36)</f>
        <v>108591</v>
      </c>
      <c r="H11" s="204">
        <f t="shared" si="4"/>
        <v>97592</v>
      </c>
      <c r="I11" s="204">
        <f t="shared" si="4"/>
        <v>57528</v>
      </c>
      <c r="J11" s="204">
        <f t="shared" si="4"/>
        <v>57528</v>
      </c>
      <c r="K11" s="204">
        <f t="shared" si="4"/>
        <v>28764</v>
      </c>
      <c r="L11" s="204">
        <f t="shared" si="4"/>
        <v>28764</v>
      </c>
      <c r="M11" s="204">
        <f t="shared" si="4"/>
        <v>41296.800000000003</v>
      </c>
      <c r="N11" s="59"/>
      <c r="O11" s="1565">
        <f t="shared" ref="O11:U11" si="5">SUBTOTAL(109,O12:O36)</f>
        <v>70230</v>
      </c>
      <c r="P11" s="1565">
        <f t="shared" si="5"/>
        <v>70230</v>
      </c>
      <c r="Q11" s="1565">
        <f t="shared" si="5"/>
        <v>28764</v>
      </c>
      <c r="R11" s="1565">
        <f t="shared" si="5"/>
        <v>28764</v>
      </c>
      <c r="S11" s="1565">
        <f t="shared" si="5"/>
        <v>41466</v>
      </c>
      <c r="T11" s="1565">
        <f t="shared" si="5"/>
        <v>70230</v>
      </c>
      <c r="U11" s="1565">
        <f t="shared" si="5"/>
        <v>70230</v>
      </c>
      <c r="V11" s="1565">
        <f>SUBTOTAL(109,V12:V103)</f>
        <v>146444.83000000002</v>
      </c>
      <c r="W11" s="1218"/>
    </row>
    <row r="12" spans="1:25" ht="45.75" customHeight="1">
      <c r="A12" s="500">
        <v>1</v>
      </c>
      <c r="B12" s="554" t="s">
        <v>852</v>
      </c>
      <c r="C12" s="1216" t="str">
        <f>VLOOKUP($B12,DATA!$B$7:$AV$679,6,0)</f>
        <v>Quảng Trạch</v>
      </c>
      <c r="D12" s="1230">
        <f>VLOOKUP($B12,DATA!$B$7:$AV$679,7,0)</f>
        <v>2019</v>
      </c>
      <c r="E12" s="1230">
        <f>VLOOKUP($B12,DATA!$B$7:$AV$679,9,0)</f>
        <v>2021</v>
      </c>
      <c r="F12" s="1216" t="str">
        <f>VLOOKUP($B12,DATA!$B$7:$AV$679,12,0)</f>
        <v>3775/QĐ-UBND ngày 31/10/2018</v>
      </c>
      <c r="G12" s="1217">
        <f>VLOOKUP($B12,DATA!$B$7:$AV$679,13,0)</f>
        <v>3000</v>
      </c>
      <c r="H12" s="1217">
        <f>VLOOKUP($B12,DATA!$B$7:$AV$679,15,0)</f>
        <v>3000</v>
      </c>
      <c r="I12" s="1217">
        <f>VLOOKUP($B12,DATA!$B$7:$AV$679,29,0)</f>
        <v>1620</v>
      </c>
      <c r="J12" s="1217">
        <f>VLOOKUP($B12,DATA!$B$7:$AV$679,29,0)</f>
        <v>1620</v>
      </c>
      <c r="K12" s="1217">
        <f>VLOOKUP($B12,DATA!$B$7:$AV$679,35,0)</f>
        <v>810</v>
      </c>
      <c r="L12" s="1217">
        <f>VLOOKUP($B12,DATA!$B$7:$AV$679,36,0)</f>
        <v>810</v>
      </c>
      <c r="M12" s="1217">
        <f t="shared" ref="M12:M36" si="6">(H12-L12)*0.6</f>
        <v>1314</v>
      </c>
      <c r="N12" s="59"/>
      <c r="O12" s="1566">
        <v>2124</v>
      </c>
      <c r="P12" s="1566">
        <v>2124</v>
      </c>
      <c r="Q12" s="1566">
        <v>810</v>
      </c>
      <c r="R12" s="1566">
        <v>810</v>
      </c>
      <c r="S12" s="1566">
        <v>1314</v>
      </c>
      <c r="T12" s="1566">
        <f t="shared" ref="T12:T36" si="7">Q12+S12</f>
        <v>2124</v>
      </c>
      <c r="U12" s="1566">
        <f t="shared" ref="U12:U36" si="8">R12+S12</f>
        <v>2124</v>
      </c>
      <c r="V12" s="1566">
        <f>H12*0.9-T12</f>
        <v>576</v>
      </c>
      <c r="W12" s="1218"/>
    </row>
    <row r="13" spans="1:25" ht="52.5" customHeight="1">
      <c r="A13" s="500">
        <v>2</v>
      </c>
      <c r="B13" s="554" t="s">
        <v>826</v>
      </c>
      <c r="C13" s="1216" t="str">
        <f>VLOOKUP($B13,DATA!$B$7:$AV$679,6,0)</f>
        <v>Đồng Hới</v>
      </c>
      <c r="D13" s="1230">
        <f>VLOOKUP($B13,DATA!$B$7:$AV$679,7,0)</f>
        <v>2019</v>
      </c>
      <c r="E13" s="1230">
        <f>VLOOKUP($B13,DATA!$B$7:$AV$679,9,0)</f>
        <v>2021</v>
      </c>
      <c r="F13" s="1216" t="str">
        <f>VLOOKUP($B13,DATA!$B$7:$AV$679,12,0)</f>
        <v>3681/QĐ-UBND ngày 29/10/2018</v>
      </c>
      <c r="G13" s="1217">
        <f>VLOOKUP($B13,DATA!$B$7:$AV$679,13,0)</f>
        <v>3994</v>
      </c>
      <c r="H13" s="1217">
        <f>VLOOKUP($B13,DATA!$B$7:$AV$679,15,0)</f>
        <v>3000</v>
      </c>
      <c r="I13" s="1217">
        <f>VLOOKUP($B13,DATA!$B$7:$AV$679,29,0)</f>
        <v>1620</v>
      </c>
      <c r="J13" s="1217">
        <f>VLOOKUP($B13,DATA!$B$7:$AV$679,29,0)</f>
        <v>1620</v>
      </c>
      <c r="K13" s="1217">
        <f>VLOOKUP($B13,DATA!$B$7:$AV$679,35,0)</f>
        <v>810</v>
      </c>
      <c r="L13" s="1217">
        <f>VLOOKUP($B13,DATA!$B$7:$AV$679,36,0)</f>
        <v>810</v>
      </c>
      <c r="M13" s="1217">
        <f t="shared" si="6"/>
        <v>1314</v>
      </c>
      <c r="N13" s="59"/>
      <c r="O13" s="1566">
        <v>2124</v>
      </c>
      <c r="P13" s="1566">
        <v>2124</v>
      </c>
      <c r="Q13" s="1566">
        <v>810</v>
      </c>
      <c r="R13" s="1566">
        <v>810</v>
      </c>
      <c r="S13" s="1566">
        <v>1314</v>
      </c>
      <c r="T13" s="1566">
        <f t="shared" si="7"/>
        <v>2124</v>
      </c>
      <c r="U13" s="1566">
        <f t="shared" si="8"/>
        <v>2124</v>
      </c>
      <c r="V13" s="1566">
        <f>H13-T13</f>
        <v>876</v>
      </c>
      <c r="W13" s="1218"/>
    </row>
    <row r="14" spans="1:25" ht="52.5" customHeight="1">
      <c r="A14" s="500">
        <v>3</v>
      </c>
      <c r="B14" s="554" t="s">
        <v>842</v>
      </c>
      <c r="C14" s="1216" t="str">
        <f>VLOOKUP($B14,DATA!$B$7:$AV$679,6,0)</f>
        <v>Tuyên Hóa</v>
      </c>
      <c r="D14" s="1230">
        <f>VLOOKUP($B14,DATA!$B$7:$AV$679,7,0)</f>
        <v>2019</v>
      </c>
      <c r="E14" s="1230">
        <f>VLOOKUP($B14,DATA!$B$7:$AV$679,9,0)</f>
        <v>2021</v>
      </c>
      <c r="F14" s="1216" t="str">
        <f>VLOOKUP($B14,DATA!$B$7:$AV$679,12,0)</f>
        <v>3625/QĐ-UBND ngày 26/10/2018</v>
      </c>
      <c r="G14" s="1217">
        <f>VLOOKUP($B14,DATA!$B$7:$AV$679,13,0)</f>
        <v>2874</v>
      </c>
      <c r="H14" s="1217">
        <f>VLOOKUP($B14,DATA!$B$7:$AV$679,15,0)</f>
        <v>2874</v>
      </c>
      <c r="I14" s="1217">
        <f>VLOOKUP($B14,DATA!$B$7:$AV$679,29,0)</f>
        <v>1620</v>
      </c>
      <c r="J14" s="1217">
        <f>VLOOKUP($B14,DATA!$B$7:$AV$679,29,0)</f>
        <v>1620</v>
      </c>
      <c r="K14" s="1217">
        <f>VLOOKUP($B14,DATA!$B$7:$AV$679,35,0)</f>
        <v>810</v>
      </c>
      <c r="L14" s="1217">
        <f>VLOOKUP($B14,DATA!$B$7:$AV$679,36,0)</f>
        <v>810</v>
      </c>
      <c r="M14" s="1217">
        <f t="shared" si="6"/>
        <v>1238.3999999999999</v>
      </c>
      <c r="N14" s="59"/>
      <c r="O14" s="1566">
        <v>2048</v>
      </c>
      <c r="P14" s="1566">
        <v>2048</v>
      </c>
      <c r="Q14" s="1566">
        <v>810</v>
      </c>
      <c r="R14" s="1566">
        <v>810</v>
      </c>
      <c r="S14" s="1566">
        <v>1238</v>
      </c>
      <c r="T14" s="1566">
        <f t="shared" si="7"/>
        <v>2048</v>
      </c>
      <c r="U14" s="1566">
        <f t="shared" si="8"/>
        <v>2048</v>
      </c>
      <c r="V14" s="1566">
        <f t="shared" ref="V14:V36" si="9">H14*0.9-T14</f>
        <v>538.59999999999991</v>
      </c>
      <c r="W14" s="1218"/>
    </row>
    <row r="15" spans="1:25" ht="52.5" customHeight="1">
      <c r="A15" s="500">
        <v>4</v>
      </c>
      <c r="B15" s="1232" t="s">
        <v>867</v>
      </c>
      <c r="C15" s="1216" t="str">
        <f>VLOOKUP($B15,DATA!$B$7:$AV$679,6,0)</f>
        <v>Bố Trạch</v>
      </c>
      <c r="D15" s="1230">
        <f>VLOOKUP($B15,DATA!$B$7:$AV$679,7,0)</f>
        <v>2019</v>
      </c>
      <c r="E15" s="1230">
        <f>VLOOKUP($B15,DATA!$B$7:$AV$679,9,0)</f>
        <v>2021</v>
      </c>
      <c r="F15" s="1216" t="str">
        <f>VLOOKUP($B15,DATA!$B$7:$AV$679,12,0)</f>
        <v>3167/QĐ-UBND ngày 24/9/2018</v>
      </c>
      <c r="G15" s="1217">
        <f>VLOOKUP($B15,DATA!$B$7:$AV$679,13,0)</f>
        <v>2823</v>
      </c>
      <c r="H15" s="1217">
        <f>VLOOKUP($B15,DATA!$B$7:$AV$679,15,0)</f>
        <v>2823</v>
      </c>
      <c r="I15" s="1217">
        <f>VLOOKUP($B15,DATA!$B$7:$AV$679,29,0)</f>
        <v>1620</v>
      </c>
      <c r="J15" s="1217">
        <f>VLOOKUP($B15,DATA!$B$7:$AV$679,29,0)</f>
        <v>1620</v>
      </c>
      <c r="K15" s="1217">
        <f>VLOOKUP($B15,DATA!$B$7:$AV$679,35,0)</f>
        <v>810</v>
      </c>
      <c r="L15" s="1217">
        <f>VLOOKUP($B15,DATA!$B$7:$AV$679,36,0)</f>
        <v>810</v>
      </c>
      <c r="M15" s="1217">
        <f t="shared" si="6"/>
        <v>1207.8</v>
      </c>
      <c r="N15" s="59"/>
      <c r="O15" s="1566">
        <v>2124</v>
      </c>
      <c r="P15" s="1566">
        <v>2124</v>
      </c>
      <c r="Q15" s="1566">
        <v>810</v>
      </c>
      <c r="R15" s="1566">
        <v>810</v>
      </c>
      <c r="S15" s="1566">
        <v>1314</v>
      </c>
      <c r="T15" s="1566">
        <f t="shared" si="7"/>
        <v>2124</v>
      </c>
      <c r="U15" s="1566">
        <f t="shared" si="8"/>
        <v>2124</v>
      </c>
      <c r="V15" s="1566">
        <f t="shared" si="9"/>
        <v>416.70000000000027</v>
      </c>
      <c r="W15" s="1218"/>
    </row>
    <row r="16" spans="1:25" ht="52.5" customHeight="1">
      <c r="A16" s="500">
        <v>5</v>
      </c>
      <c r="B16" s="1232" t="s">
        <v>859</v>
      </c>
      <c r="C16" s="1216" t="str">
        <f>VLOOKUP($B16,DATA!$B$7:$AV$679,6,0)</f>
        <v>Quảng Trạch</v>
      </c>
      <c r="D16" s="1230">
        <f>VLOOKUP($B16,DATA!$B$7:$AV$679,7,0)</f>
        <v>2019</v>
      </c>
      <c r="E16" s="1230">
        <f>VLOOKUP($B16,DATA!$B$7:$AV$679,9,0)</f>
        <v>2021</v>
      </c>
      <c r="F16" s="1216" t="str">
        <f>VLOOKUP($B16,DATA!$B$7:$AV$679,12,0)</f>
        <v>3117/QĐ-UBND ngày 05/9/2017</v>
      </c>
      <c r="G16" s="1217">
        <f>VLOOKUP($B16,DATA!$B$7:$AV$679,13,0)</f>
        <v>3000</v>
      </c>
      <c r="H16" s="1217">
        <f>VLOOKUP($B16,DATA!$B$7:$AV$679,15,0)</f>
        <v>3000</v>
      </c>
      <c r="I16" s="1217">
        <f>VLOOKUP($B16,DATA!$B$7:$AV$679,29,0)</f>
        <v>1620</v>
      </c>
      <c r="J16" s="1217">
        <f>VLOOKUP($B16,DATA!$B$7:$AV$679,29,0)</f>
        <v>1620</v>
      </c>
      <c r="K16" s="1217">
        <f>VLOOKUP($B16,DATA!$B$7:$AV$679,35,0)</f>
        <v>810</v>
      </c>
      <c r="L16" s="1217">
        <f>VLOOKUP($B16,DATA!$B$7:$AV$679,36,0)</f>
        <v>810</v>
      </c>
      <c r="M16" s="1217">
        <f t="shared" si="6"/>
        <v>1314</v>
      </c>
      <c r="N16" s="59"/>
      <c r="O16" s="1566">
        <v>2124</v>
      </c>
      <c r="P16" s="1566">
        <v>2124</v>
      </c>
      <c r="Q16" s="1566">
        <v>810</v>
      </c>
      <c r="R16" s="1566">
        <v>810</v>
      </c>
      <c r="S16" s="1566">
        <v>1314</v>
      </c>
      <c r="T16" s="1566">
        <f t="shared" si="7"/>
        <v>2124</v>
      </c>
      <c r="U16" s="1566">
        <f t="shared" si="8"/>
        <v>2124</v>
      </c>
      <c r="V16" s="1566">
        <f t="shared" si="9"/>
        <v>576</v>
      </c>
      <c r="W16" s="1218"/>
    </row>
    <row r="17" spans="1:23" ht="52.5" customHeight="1">
      <c r="A17" s="500">
        <v>6</v>
      </c>
      <c r="B17" s="1232" t="s">
        <v>813</v>
      </c>
      <c r="C17" s="1216" t="str">
        <f>VLOOKUP($B17,DATA!$B$7:$AV$679,6,0)</f>
        <v>Đồng Hới</v>
      </c>
      <c r="D17" s="1230">
        <f>VLOOKUP($B17,DATA!$B$7:$AV$679,7,0)</f>
        <v>2019</v>
      </c>
      <c r="E17" s="1230">
        <f>VLOOKUP($B17,DATA!$B$7:$AV$679,9,0)</f>
        <v>2021</v>
      </c>
      <c r="F17" s="1216" t="str">
        <f>VLOOKUP($B17,DATA!$B$7:$AV$679,12,0)</f>
        <v>3346/QĐ-UBND ngày 09/10/2018</v>
      </c>
      <c r="G17" s="1217">
        <f>VLOOKUP($B17,DATA!$B$7:$AV$679,13,0)</f>
        <v>4000</v>
      </c>
      <c r="H17" s="1217">
        <f>VLOOKUP($B17,DATA!$B$7:$AV$679,15,0)</f>
        <v>4000</v>
      </c>
      <c r="I17" s="1217">
        <f>VLOOKUP($B17,DATA!$B$7:$AV$679,29,0)</f>
        <v>2160</v>
      </c>
      <c r="J17" s="1217">
        <f>VLOOKUP($B17,DATA!$B$7:$AV$679,29,0)</f>
        <v>2160</v>
      </c>
      <c r="K17" s="1217">
        <f>VLOOKUP($B17,DATA!$B$7:$AV$679,35,0)</f>
        <v>1080</v>
      </c>
      <c r="L17" s="1217">
        <f>VLOOKUP($B17,DATA!$B$7:$AV$679,36,0)</f>
        <v>1080</v>
      </c>
      <c r="M17" s="1217">
        <f t="shared" si="6"/>
        <v>1752</v>
      </c>
      <c r="N17" s="59"/>
      <c r="O17" s="1566">
        <v>2832</v>
      </c>
      <c r="P17" s="1566">
        <v>2832</v>
      </c>
      <c r="Q17" s="1566">
        <v>1080</v>
      </c>
      <c r="R17" s="1566">
        <v>1080</v>
      </c>
      <c r="S17" s="1566">
        <v>1752</v>
      </c>
      <c r="T17" s="1566">
        <f t="shared" si="7"/>
        <v>2832</v>
      </c>
      <c r="U17" s="1566">
        <f t="shared" si="8"/>
        <v>2832</v>
      </c>
      <c r="V17" s="1566">
        <f t="shared" si="9"/>
        <v>768</v>
      </c>
      <c r="W17" s="1218"/>
    </row>
    <row r="18" spans="1:23" ht="52.5" customHeight="1">
      <c r="A18" s="500">
        <v>7</v>
      </c>
      <c r="B18" s="1232" t="s">
        <v>872</v>
      </c>
      <c r="C18" s="1216" t="str">
        <f>VLOOKUP($B18,DATA!$B$7:$AV$679,6,0)</f>
        <v>Quảng Trạch</v>
      </c>
      <c r="D18" s="1230">
        <f>VLOOKUP($B18,DATA!$B$7:$AV$679,7,0)</f>
        <v>2019</v>
      </c>
      <c r="E18" s="1230">
        <f>VLOOKUP($B18,DATA!$B$7:$AV$679,9,0)</f>
        <v>2021</v>
      </c>
      <c r="F18" s="1216" t="str">
        <f>VLOOKUP($B18,DATA!$B$7:$AV$679,12,0)</f>
        <v>3624/QĐ-UBND ngày 26/10/2018</v>
      </c>
      <c r="G18" s="1217">
        <f>VLOOKUP($B18,DATA!$B$7:$AV$679,13,0)</f>
        <v>4000</v>
      </c>
      <c r="H18" s="1217">
        <f>VLOOKUP($B18,DATA!$B$7:$AV$679,15,0)</f>
        <v>4000</v>
      </c>
      <c r="I18" s="1217">
        <f>VLOOKUP($B18,DATA!$B$7:$AV$679,29,0)</f>
        <v>2160</v>
      </c>
      <c r="J18" s="1217">
        <f>VLOOKUP($B18,DATA!$B$7:$AV$679,29,0)</f>
        <v>2160</v>
      </c>
      <c r="K18" s="1217">
        <f>VLOOKUP($B18,DATA!$B$7:$AV$679,35,0)</f>
        <v>1080</v>
      </c>
      <c r="L18" s="1217">
        <f>VLOOKUP($B18,DATA!$B$7:$AV$679,36,0)</f>
        <v>1080</v>
      </c>
      <c r="M18" s="1217">
        <f t="shared" si="6"/>
        <v>1752</v>
      </c>
      <c r="N18" s="59"/>
      <c r="O18" s="1566">
        <v>2832</v>
      </c>
      <c r="P18" s="1566">
        <v>2832</v>
      </c>
      <c r="Q18" s="1566">
        <v>1080</v>
      </c>
      <c r="R18" s="1566">
        <v>1080</v>
      </c>
      <c r="S18" s="1566">
        <v>1752</v>
      </c>
      <c r="T18" s="1566">
        <f t="shared" si="7"/>
        <v>2832</v>
      </c>
      <c r="U18" s="1566">
        <f t="shared" si="8"/>
        <v>2832</v>
      </c>
      <c r="V18" s="1566">
        <f t="shared" si="9"/>
        <v>768</v>
      </c>
      <c r="W18" s="1218"/>
    </row>
    <row r="19" spans="1:23" ht="52.5" customHeight="1">
      <c r="A19" s="500">
        <v>8</v>
      </c>
      <c r="B19" s="554" t="s">
        <v>820</v>
      </c>
      <c r="C19" s="1216" t="str">
        <f>VLOOKUP($B19,DATA!$B$7:$AV$679,6,0)</f>
        <v>Bố Trạch</v>
      </c>
      <c r="D19" s="1230">
        <f>VLOOKUP($B19,DATA!$B$7:$AV$679,7,0)</f>
        <v>2019</v>
      </c>
      <c r="E19" s="1230">
        <f>VLOOKUP($B19,DATA!$B$7:$AV$679,9,0)</f>
        <v>2021</v>
      </c>
      <c r="F19" s="1216" t="str">
        <f>VLOOKUP($B19,DATA!$B$7:$AV$679,12,0)</f>
        <v>3679/QĐ-UBND ngày 29/10/2018</v>
      </c>
      <c r="G19" s="1217">
        <f>VLOOKUP($B19,DATA!$B$7:$AV$679,13,0)</f>
        <v>5375</v>
      </c>
      <c r="H19" s="1217">
        <f>VLOOKUP($B19,DATA!$B$7:$AV$679,15,0)</f>
        <v>2700</v>
      </c>
      <c r="I19" s="1217">
        <f>VLOOKUP($B19,DATA!$B$7:$AV$679,29,0)</f>
        <v>2700</v>
      </c>
      <c r="J19" s="1217">
        <f>VLOOKUP($B19,DATA!$B$7:$AV$679,29,0)</f>
        <v>2700</v>
      </c>
      <c r="K19" s="1217">
        <f>VLOOKUP($B19,DATA!$B$7:$AV$679,35,0)</f>
        <v>1350</v>
      </c>
      <c r="L19" s="1217">
        <f>VLOOKUP($B19,DATA!$B$7:$AV$679,36,0)</f>
        <v>1350</v>
      </c>
      <c r="M19" s="1217">
        <f t="shared" si="6"/>
        <v>810</v>
      </c>
      <c r="N19" s="59"/>
      <c r="O19" s="1566">
        <v>2160</v>
      </c>
      <c r="P19" s="1566">
        <v>2160</v>
      </c>
      <c r="Q19" s="1566">
        <v>1350</v>
      </c>
      <c r="R19" s="1566">
        <v>1350</v>
      </c>
      <c r="S19" s="1566">
        <v>810</v>
      </c>
      <c r="T19" s="1566">
        <f t="shared" si="7"/>
        <v>2160</v>
      </c>
      <c r="U19" s="1566">
        <f t="shared" si="8"/>
        <v>2160</v>
      </c>
      <c r="V19" s="1566">
        <f>H19-T19</f>
        <v>540</v>
      </c>
      <c r="W19" s="1218"/>
    </row>
    <row r="20" spans="1:23" ht="52.5" customHeight="1">
      <c r="A20" s="500">
        <v>9</v>
      </c>
      <c r="B20" s="554" t="s">
        <v>838</v>
      </c>
      <c r="C20" s="1216" t="str">
        <f>VLOOKUP($B20,DATA!$B$7:$AV$679,6,0)</f>
        <v>Lệ Thủy</v>
      </c>
      <c r="D20" s="1230">
        <f>VLOOKUP($B20,DATA!$B$7:$AV$679,7,0)</f>
        <v>2019</v>
      </c>
      <c r="E20" s="1230">
        <f>VLOOKUP($B20,DATA!$B$7:$AV$679,9,0)</f>
        <v>2021</v>
      </c>
      <c r="F20" s="1216" t="str">
        <f>VLOOKUP($B20,DATA!$B$7:$AV$679,12,0)</f>
        <v>3445/QĐ-UBND ngày 17/10/2018</v>
      </c>
      <c r="G20" s="1217">
        <f>VLOOKUP($B20,DATA!$B$7:$AV$679,13,0)</f>
        <v>5500</v>
      </c>
      <c r="H20" s="1217">
        <f>VLOOKUP($B20,DATA!$B$7:$AV$679,15,0)</f>
        <v>5500</v>
      </c>
      <c r="I20" s="1217">
        <f>VLOOKUP($B20,DATA!$B$7:$AV$679,29,0)</f>
        <v>2970</v>
      </c>
      <c r="J20" s="1217">
        <f>VLOOKUP($B20,DATA!$B$7:$AV$679,29,0)</f>
        <v>2970</v>
      </c>
      <c r="K20" s="1217">
        <f>VLOOKUP($B20,DATA!$B$7:$AV$679,35,0)</f>
        <v>1485</v>
      </c>
      <c r="L20" s="1217">
        <f>VLOOKUP($B20,DATA!$B$7:$AV$679,36,0)</f>
        <v>1485</v>
      </c>
      <c r="M20" s="1217">
        <f t="shared" si="6"/>
        <v>2409</v>
      </c>
      <c r="N20" s="59"/>
      <c r="O20" s="1566">
        <v>3894</v>
      </c>
      <c r="P20" s="1566">
        <v>3894</v>
      </c>
      <c r="Q20" s="1566">
        <v>1485</v>
      </c>
      <c r="R20" s="1566">
        <v>1485</v>
      </c>
      <c r="S20" s="1566">
        <v>2409</v>
      </c>
      <c r="T20" s="1566">
        <f t="shared" si="7"/>
        <v>3894</v>
      </c>
      <c r="U20" s="1566">
        <f t="shared" si="8"/>
        <v>3894</v>
      </c>
      <c r="V20" s="1566">
        <f t="shared" si="9"/>
        <v>1056</v>
      </c>
      <c r="W20" s="1218"/>
    </row>
    <row r="21" spans="1:23" ht="52.5" customHeight="1">
      <c r="A21" s="500">
        <v>10</v>
      </c>
      <c r="B21" s="554" t="s">
        <v>832</v>
      </c>
      <c r="C21" s="1216" t="str">
        <f>VLOOKUP($B21,DATA!$B$7:$AV$679,6,0)</f>
        <v>Bố Trạch</v>
      </c>
      <c r="D21" s="1230">
        <f>VLOOKUP($B21,DATA!$B$7:$AV$679,7,0)</f>
        <v>2019</v>
      </c>
      <c r="E21" s="1230">
        <f>VLOOKUP($B21,DATA!$B$7:$AV$679,9,0)</f>
        <v>2021</v>
      </c>
      <c r="F21" s="1216" t="str">
        <f>VLOOKUP($B21,DATA!$B$7:$AV$679,12,0)</f>
        <v>3818/QD-UBND ngày 31/10/2018</v>
      </c>
      <c r="G21" s="1217">
        <f>VLOOKUP($B21,DATA!$B$7:$AV$679,13,0)</f>
        <v>4825</v>
      </c>
      <c r="H21" s="1217">
        <f>VLOOKUP($B21,DATA!$B$7:$AV$679,15,0)</f>
        <v>2895</v>
      </c>
      <c r="I21" s="1217">
        <f>VLOOKUP($B21,DATA!$B$7:$AV$679,29,0)</f>
        <v>1620</v>
      </c>
      <c r="J21" s="1217">
        <f>VLOOKUP($B21,DATA!$B$7:$AV$679,29,0)</f>
        <v>1620</v>
      </c>
      <c r="K21" s="1217">
        <f>VLOOKUP($B21,DATA!$B$7:$AV$679,35,0)</f>
        <v>810</v>
      </c>
      <c r="L21" s="1217">
        <f>VLOOKUP($B21,DATA!$B$7:$AV$679,36,0)</f>
        <v>810</v>
      </c>
      <c r="M21" s="1217">
        <f t="shared" si="6"/>
        <v>1251</v>
      </c>
      <c r="N21" s="59"/>
      <c r="O21" s="1566">
        <v>2124</v>
      </c>
      <c r="P21" s="1566">
        <v>2124</v>
      </c>
      <c r="Q21" s="1566">
        <v>810</v>
      </c>
      <c r="R21" s="1566">
        <v>810</v>
      </c>
      <c r="S21" s="1566">
        <v>1314</v>
      </c>
      <c r="T21" s="1566">
        <f t="shared" si="7"/>
        <v>2124</v>
      </c>
      <c r="U21" s="1566">
        <f t="shared" si="8"/>
        <v>2124</v>
      </c>
      <c r="V21" s="1566">
        <f>H21-T21</f>
        <v>771</v>
      </c>
      <c r="W21" s="1218"/>
    </row>
    <row r="22" spans="1:23" ht="52.5" customHeight="1">
      <c r="A22" s="500">
        <v>11</v>
      </c>
      <c r="B22" s="1232" t="s">
        <v>862</v>
      </c>
      <c r="C22" s="1216" t="str">
        <f>VLOOKUP($B22,DATA!$B$7:$AV$679,6,0)</f>
        <v>Tuyên Hóa</v>
      </c>
      <c r="D22" s="1230">
        <f>VLOOKUP($B22,DATA!$B$7:$AV$679,7,0)</f>
        <v>2019</v>
      </c>
      <c r="E22" s="1230">
        <f>VLOOKUP($B22,DATA!$B$7:$AV$679,9,0)</f>
        <v>2021</v>
      </c>
      <c r="F22" s="1216" t="str">
        <f>VLOOKUP($B22,DATA!$B$7:$AV$679,12,0)</f>
        <v>3825/QĐ-UBND ngày 31/10/2018</v>
      </c>
      <c r="G22" s="1217">
        <f>VLOOKUP($B22,DATA!$B$7:$AV$679,13,0)</f>
        <v>3000</v>
      </c>
      <c r="H22" s="1217">
        <f>VLOOKUP($B22,DATA!$B$7:$AV$679,15,0)</f>
        <v>3000</v>
      </c>
      <c r="I22" s="1217">
        <f>VLOOKUP($B22,DATA!$B$7:$AV$679,29,0)</f>
        <v>1620</v>
      </c>
      <c r="J22" s="1217">
        <f>VLOOKUP($B22,DATA!$B$7:$AV$679,29,0)</f>
        <v>1620</v>
      </c>
      <c r="K22" s="1217">
        <f>VLOOKUP($B22,DATA!$B$7:$AV$679,35,0)</f>
        <v>810</v>
      </c>
      <c r="L22" s="1217">
        <f>VLOOKUP($B22,DATA!$B$7:$AV$679,36,0)</f>
        <v>810</v>
      </c>
      <c r="M22" s="1217">
        <f t="shared" si="6"/>
        <v>1314</v>
      </c>
      <c r="N22" s="59"/>
      <c r="O22" s="1566">
        <v>2124</v>
      </c>
      <c r="P22" s="1566">
        <v>2124</v>
      </c>
      <c r="Q22" s="1566">
        <v>810</v>
      </c>
      <c r="R22" s="1566">
        <v>810</v>
      </c>
      <c r="S22" s="1566">
        <v>1314</v>
      </c>
      <c r="T22" s="1566">
        <f t="shared" si="7"/>
        <v>2124</v>
      </c>
      <c r="U22" s="1566">
        <f t="shared" si="8"/>
        <v>2124</v>
      </c>
      <c r="V22" s="1566">
        <f t="shared" si="9"/>
        <v>576</v>
      </c>
      <c r="W22" s="1218"/>
    </row>
    <row r="23" spans="1:23" ht="52.5" customHeight="1">
      <c r="A23" s="500">
        <v>12</v>
      </c>
      <c r="B23" s="1232" t="s">
        <v>877</v>
      </c>
      <c r="C23" s="1216" t="str">
        <f>VLOOKUP($B23,DATA!$B$7:$AV$679,6,0)</f>
        <v>Quảng Trạch</v>
      </c>
      <c r="D23" s="1230">
        <f>VLOOKUP($B23,DATA!$B$7:$AV$679,7,0)</f>
        <v>2019</v>
      </c>
      <c r="E23" s="1230">
        <f>VLOOKUP($B23,DATA!$B$7:$AV$679,9,0)</f>
        <v>2021</v>
      </c>
      <c r="F23" s="1216" t="str">
        <f>VLOOKUP($B23,DATA!$B$7:$AV$679,12,0)</f>
        <v>3716/QĐ-UBND ngày 30/10/2018</v>
      </c>
      <c r="G23" s="1217">
        <f>VLOOKUP($B23,DATA!$B$7:$AV$679,13,0)</f>
        <v>3000</v>
      </c>
      <c r="H23" s="1217">
        <f>VLOOKUP($B23,DATA!$B$7:$AV$679,15,0)</f>
        <v>3000</v>
      </c>
      <c r="I23" s="1217">
        <f>VLOOKUP($B23,DATA!$B$7:$AV$679,29,0)</f>
        <v>1620</v>
      </c>
      <c r="J23" s="1217">
        <f>VLOOKUP($B23,DATA!$B$7:$AV$679,29,0)</f>
        <v>1620</v>
      </c>
      <c r="K23" s="1217">
        <f>VLOOKUP($B23,DATA!$B$7:$AV$679,35,0)</f>
        <v>810</v>
      </c>
      <c r="L23" s="1217">
        <f>VLOOKUP($B23,DATA!$B$7:$AV$679,36,0)</f>
        <v>810</v>
      </c>
      <c r="M23" s="1217">
        <f t="shared" si="6"/>
        <v>1314</v>
      </c>
      <c r="N23" s="59"/>
      <c r="O23" s="1566">
        <v>2124</v>
      </c>
      <c r="P23" s="1566">
        <v>2124</v>
      </c>
      <c r="Q23" s="1566">
        <v>810</v>
      </c>
      <c r="R23" s="1566">
        <v>810</v>
      </c>
      <c r="S23" s="1566">
        <v>1314</v>
      </c>
      <c r="T23" s="1566">
        <f t="shared" si="7"/>
        <v>2124</v>
      </c>
      <c r="U23" s="1566">
        <f t="shared" si="8"/>
        <v>2124</v>
      </c>
      <c r="V23" s="1566">
        <f t="shared" si="9"/>
        <v>576</v>
      </c>
      <c r="W23" s="1218"/>
    </row>
    <row r="24" spans="1:23" ht="52.5" customHeight="1">
      <c r="A24" s="500">
        <v>13</v>
      </c>
      <c r="B24" s="1232" t="s">
        <v>880</v>
      </c>
      <c r="C24" s="1216" t="str">
        <f>VLOOKUP($B24,DATA!$B$7:$AV$679,6,0)</f>
        <v>Lệ Thủy</v>
      </c>
      <c r="D24" s="1230">
        <f>VLOOKUP($B24,DATA!$B$7:$AV$679,7,0)</f>
        <v>2019</v>
      </c>
      <c r="E24" s="1230">
        <f>VLOOKUP($B24,DATA!$B$7:$AV$679,9,0)</f>
        <v>2021</v>
      </c>
      <c r="F24" s="1216" t="str">
        <f>VLOOKUP($B24,DATA!$B$7:$AV$679,12,0)</f>
        <v>3857a/QĐ-UBND ngày 31/10/2018</v>
      </c>
      <c r="G24" s="1217">
        <f>VLOOKUP($B24,DATA!$B$7:$AV$679,13,0)</f>
        <v>3200</v>
      </c>
      <c r="H24" s="1217">
        <f>VLOOKUP($B24,DATA!$B$7:$AV$679,15,0)</f>
        <v>3200</v>
      </c>
      <c r="I24" s="1217">
        <f>VLOOKUP($B24,DATA!$B$7:$AV$679,29,0)</f>
        <v>1728</v>
      </c>
      <c r="J24" s="1217">
        <f>VLOOKUP($B24,DATA!$B$7:$AV$679,29,0)</f>
        <v>1728</v>
      </c>
      <c r="K24" s="1217">
        <f>VLOOKUP($B24,DATA!$B$7:$AV$679,35,0)</f>
        <v>864</v>
      </c>
      <c r="L24" s="1217">
        <f>VLOOKUP($B24,DATA!$B$7:$AV$679,36,0)</f>
        <v>864</v>
      </c>
      <c r="M24" s="1217">
        <f t="shared" si="6"/>
        <v>1401.6</v>
      </c>
      <c r="N24" s="59"/>
      <c r="O24" s="1566">
        <v>2266</v>
      </c>
      <c r="P24" s="1566">
        <v>2266</v>
      </c>
      <c r="Q24" s="1566">
        <v>864</v>
      </c>
      <c r="R24" s="1566">
        <v>864</v>
      </c>
      <c r="S24" s="1566">
        <v>1402</v>
      </c>
      <c r="T24" s="1566">
        <f t="shared" si="7"/>
        <v>2266</v>
      </c>
      <c r="U24" s="1566">
        <f t="shared" si="8"/>
        <v>2266</v>
      </c>
      <c r="V24" s="1566">
        <f t="shared" si="9"/>
        <v>614</v>
      </c>
      <c r="W24" s="1218"/>
    </row>
    <row r="25" spans="1:23" ht="52.5" customHeight="1">
      <c r="A25" s="500">
        <v>14</v>
      </c>
      <c r="B25" s="554" t="s">
        <v>848</v>
      </c>
      <c r="C25" s="1216" t="str">
        <f>VLOOKUP($B25,DATA!$B$7:$AV$679,6,0)</f>
        <v>Lệ Thủy</v>
      </c>
      <c r="D25" s="1230">
        <f>VLOOKUP($B25,DATA!$B$7:$AV$679,7,0)</f>
        <v>2019</v>
      </c>
      <c r="E25" s="1230">
        <f>VLOOKUP($B25,DATA!$B$7:$AV$679,9,0)</f>
        <v>2021</v>
      </c>
      <c r="F25" s="1216" t="str">
        <f>VLOOKUP($B25,DATA!$B$7:$AV$679,12,0)</f>
        <v>3827/QĐ-UBND ngày 31/10/2018</v>
      </c>
      <c r="G25" s="1217">
        <f>VLOOKUP($B25,DATA!$B$7:$AV$679,13,0)</f>
        <v>4000</v>
      </c>
      <c r="H25" s="1217">
        <f>VLOOKUP($B25,DATA!$B$7:$AV$679,15,0)</f>
        <v>2400</v>
      </c>
      <c r="I25" s="1217">
        <f>VLOOKUP($B25,DATA!$B$7:$AV$679,29,0)</f>
        <v>2160</v>
      </c>
      <c r="J25" s="1217">
        <f>VLOOKUP($B25,DATA!$B$7:$AV$679,29,0)</f>
        <v>2160</v>
      </c>
      <c r="K25" s="1217">
        <f>VLOOKUP($B25,DATA!$B$7:$AV$679,35,0)</f>
        <v>1080</v>
      </c>
      <c r="L25" s="1217">
        <f>VLOOKUP($B25,DATA!$B$7:$AV$679,36,0)</f>
        <v>1080</v>
      </c>
      <c r="M25" s="1217">
        <f t="shared" si="6"/>
        <v>792</v>
      </c>
      <c r="N25" s="59"/>
      <c r="O25" s="1566">
        <v>1872</v>
      </c>
      <c r="P25" s="1566">
        <v>1872</v>
      </c>
      <c r="Q25" s="1566">
        <v>1080</v>
      </c>
      <c r="R25" s="1566">
        <v>1080</v>
      </c>
      <c r="S25" s="1566">
        <v>792</v>
      </c>
      <c r="T25" s="1566">
        <f t="shared" si="7"/>
        <v>1872</v>
      </c>
      <c r="U25" s="1566">
        <f t="shared" si="8"/>
        <v>1872</v>
      </c>
      <c r="V25" s="1566">
        <f>H25-T25</f>
        <v>528</v>
      </c>
      <c r="W25" s="1218"/>
    </row>
    <row r="26" spans="1:23" ht="52.5" customHeight="1">
      <c r="A26" s="500">
        <v>15</v>
      </c>
      <c r="B26" s="554" t="s">
        <v>844</v>
      </c>
      <c r="C26" s="1216" t="str">
        <f>VLOOKUP($B26,DATA!$B$7:$AV$679,6,0)</f>
        <v>Minh Hóa</v>
      </c>
      <c r="D26" s="1230">
        <f>VLOOKUP($B26,DATA!$B$7:$AV$679,7,0)</f>
        <v>2019</v>
      </c>
      <c r="E26" s="1230">
        <f>VLOOKUP($B26,DATA!$B$7:$AV$679,9,0)</f>
        <v>2021</v>
      </c>
      <c r="F26" s="1216" t="str">
        <f>VLOOKUP($B26,DATA!$B$7:$AV$679,12,0)</f>
        <v>3766/QĐ-UBND ngày 31/10/2018</v>
      </c>
      <c r="G26" s="1217">
        <f>VLOOKUP($B26,DATA!$B$7:$AV$679,13,0)</f>
        <v>5000</v>
      </c>
      <c r="H26" s="1217">
        <f>VLOOKUP($B26,DATA!$B$7:$AV$679,15,0)</f>
        <v>5000</v>
      </c>
      <c r="I26" s="1217">
        <f>VLOOKUP($B26,DATA!$B$7:$AV$679,29,0)</f>
        <v>2700</v>
      </c>
      <c r="J26" s="1217">
        <f>VLOOKUP($B26,DATA!$B$7:$AV$679,29,0)</f>
        <v>2700</v>
      </c>
      <c r="K26" s="1217">
        <f>VLOOKUP($B26,DATA!$B$7:$AV$679,35,0)</f>
        <v>1350</v>
      </c>
      <c r="L26" s="1217">
        <f>VLOOKUP($B26,DATA!$B$7:$AV$679,36,0)</f>
        <v>1350</v>
      </c>
      <c r="M26" s="1217">
        <f t="shared" si="6"/>
        <v>2190</v>
      </c>
      <c r="N26" s="59"/>
      <c r="O26" s="1566">
        <v>3540</v>
      </c>
      <c r="P26" s="1566">
        <v>3540</v>
      </c>
      <c r="Q26" s="1566">
        <v>1350</v>
      </c>
      <c r="R26" s="1566">
        <v>1350</v>
      </c>
      <c r="S26" s="1566">
        <v>2190</v>
      </c>
      <c r="T26" s="1566">
        <f t="shared" si="7"/>
        <v>3540</v>
      </c>
      <c r="U26" s="1566">
        <f t="shared" si="8"/>
        <v>3540</v>
      </c>
      <c r="V26" s="1566">
        <f t="shared" si="9"/>
        <v>960</v>
      </c>
      <c r="W26" s="1218"/>
    </row>
    <row r="27" spans="1:23" ht="52.5" customHeight="1">
      <c r="A27" s="500">
        <v>16</v>
      </c>
      <c r="B27" s="554" t="s">
        <v>855</v>
      </c>
      <c r="C27" s="1216" t="str">
        <f>VLOOKUP($B27,DATA!$B$7:$AV$679,6,0)</f>
        <v>Bố Trạch</v>
      </c>
      <c r="D27" s="1230">
        <f>VLOOKUP($B27,DATA!$B$7:$AV$679,7,0)</f>
        <v>2019</v>
      </c>
      <c r="E27" s="1230">
        <f>VLOOKUP($B27,DATA!$B$7:$AV$679,9,0)</f>
        <v>2021</v>
      </c>
      <c r="F27" s="1216" t="str">
        <f>VLOOKUP($B27,DATA!$B$7:$AV$679,12,0)</f>
        <v>3765/QĐ-UBND ngày 31/10/2018</v>
      </c>
      <c r="G27" s="1217">
        <f>VLOOKUP($B27,DATA!$B$7:$AV$679,13,0)</f>
        <v>5500</v>
      </c>
      <c r="H27" s="1217">
        <f>VLOOKUP($B27,DATA!$B$7:$AV$679,15,0)</f>
        <v>5500</v>
      </c>
      <c r="I27" s="1217">
        <f>VLOOKUP($B27,DATA!$B$7:$AV$679,29,0)</f>
        <v>2970</v>
      </c>
      <c r="J27" s="1217">
        <f>VLOOKUP($B27,DATA!$B$7:$AV$679,29,0)</f>
        <v>2970</v>
      </c>
      <c r="K27" s="1217">
        <f>VLOOKUP($B27,DATA!$B$7:$AV$679,35,0)</f>
        <v>1485</v>
      </c>
      <c r="L27" s="1217">
        <f>VLOOKUP($B27,DATA!$B$7:$AV$679,36,0)</f>
        <v>1485</v>
      </c>
      <c r="M27" s="1217">
        <f t="shared" si="6"/>
        <v>2409</v>
      </c>
      <c r="N27" s="59"/>
      <c r="O27" s="1566">
        <v>3894</v>
      </c>
      <c r="P27" s="1566">
        <v>3894</v>
      </c>
      <c r="Q27" s="1566">
        <v>1485</v>
      </c>
      <c r="R27" s="1566">
        <v>1485</v>
      </c>
      <c r="S27" s="1566">
        <v>2409</v>
      </c>
      <c r="T27" s="1566">
        <f t="shared" si="7"/>
        <v>3894</v>
      </c>
      <c r="U27" s="1566">
        <f t="shared" si="8"/>
        <v>3894</v>
      </c>
      <c r="V27" s="1566">
        <f t="shared" si="9"/>
        <v>1056</v>
      </c>
      <c r="W27" s="1218"/>
    </row>
    <row r="28" spans="1:23" ht="52.5" customHeight="1">
      <c r="A28" s="500">
        <v>17</v>
      </c>
      <c r="B28" s="547" t="s">
        <v>882</v>
      </c>
      <c r="C28" s="1216" t="str">
        <f>VLOOKUP($B28,DATA!$B$7:$AV$679,6,0)</f>
        <v>Ba Đồn</v>
      </c>
      <c r="D28" s="1230">
        <f>VLOOKUP($B28,DATA!$B$7:$AV$679,7,0)</f>
        <v>2019</v>
      </c>
      <c r="E28" s="1230">
        <f>VLOOKUP($B28,DATA!$B$7:$AV$679,9,0)</f>
        <v>2021</v>
      </c>
      <c r="F28" s="1216" t="str">
        <f>VLOOKUP($B28,DATA!$B$7:$AV$679,12,0)</f>
        <v>3804/QĐ-UBND ngày 31/10/2018</v>
      </c>
      <c r="G28" s="1217">
        <f>VLOOKUP($B28,DATA!$B$7:$AV$679,13,0)</f>
        <v>4000</v>
      </c>
      <c r="H28" s="1217">
        <f>VLOOKUP($B28,DATA!$B$7:$AV$679,15,0)</f>
        <v>4000</v>
      </c>
      <c r="I28" s="1217">
        <f>VLOOKUP($B28,DATA!$B$7:$AV$679,29,0)</f>
        <v>2400</v>
      </c>
      <c r="J28" s="1217">
        <f>VLOOKUP($B28,DATA!$B$7:$AV$679,29,0)</f>
        <v>2400</v>
      </c>
      <c r="K28" s="1217">
        <f>VLOOKUP($B28,DATA!$B$7:$AV$679,35,0)</f>
        <v>1200</v>
      </c>
      <c r="L28" s="1217">
        <f>VLOOKUP($B28,DATA!$B$7:$AV$679,36,0)</f>
        <v>1200</v>
      </c>
      <c r="M28" s="1217">
        <f t="shared" si="6"/>
        <v>1680</v>
      </c>
      <c r="N28" s="59"/>
      <c r="O28" s="1566">
        <v>2880</v>
      </c>
      <c r="P28" s="1566">
        <v>2880</v>
      </c>
      <c r="Q28" s="1566">
        <v>1200</v>
      </c>
      <c r="R28" s="1566">
        <v>1200</v>
      </c>
      <c r="S28" s="1566">
        <v>1680</v>
      </c>
      <c r="T28" s="1566">
        <f t="shared" si="7"/>
        <v>2880</v>
      </c>
      <c r="U28" s="1566">
        <f t="shared" si="8"/>
        <v>2880</v>
      </c>
      <c r="V28" s="1566">
        <f t="shared" si="9"/>
        <v>720</v>
      </c>
      <c r="W28" s="1218"/>
    </row>
    <row r="29" spans="1:23" ht="52.5" customHeight="1">
      <c r="A29" s="500">
        <v>18</v>
      </c>
      <c r="B29" s="547" t="s">
        <v>889</v>
      </c>
      <c r="C29" s="1216" t="str">
        <f>VLOOKUP($B29,DATA!$B$7:$AV$679,6,0)</f>
        <v>Ba Đồn</v>
      </c>
      <c r="D29" s="1230">
        <f>VLOOKUP($B29,DATA!$B$7:$AV$679,7,0)</f>
        <v>2019</v>
      </c>
      <c r="E29" s="1230">
        <f>VLOOKUP($B29,DATA!$B$7:$AV$679,9,0)</f>
        <v>2021</v>
      </c>
      <c r="F29" s="1216" t="str">
        <f>VLOOKUP($B29,DATA!$B$7:$AV$679,12,0)</f>
        <v>3786/QĐ-UBND ngày 31/10/2018</v>
      </c>
      <c r="G29" s="1217">
        <f>VLOOKUP($B29,DATA!$B$7:$AV$679,13,0)</f>
        <v>4000</v>
      </c>
      <c r="H29" s="1217">
        <f>VLOOKUP($B29,DATA!$B$7:$AV$679,15,0)</f>
        <v>4000</v>
      </c>
      <c r="I29" s="1217">
        <f>VLOOKUP($B29,DATA!$B$7:$AV$679,29,0)</f>
        <v>2400</v>
      </c>
      <c r="J29" s="1217">
        <f>VLOOKUP($B29,DATA!$B$7:$AV$679,29,0)</f>
        <v>2400</v>
      </c>
      <c r="K29" s="1217">
        <f>VLOOKUP($B29,DATA!$B$7:$AV$679,35,0)</f>
        <v>1200</v>
      </c>
      <c r="L29" s="1217">
        <f>VLOOKUP($B29,DATA!$B$7:$AV$679,36,0)</f>
        <v>1200</v>
      </c>
      <c r="M29" s="1217">
        <f t="shared" si="6"/>
        <v>1680</v>
      </c>
      <c r="N29" s="59"/>
      <c r="O29" s="1566">
        <v>2880</v>
      </c>
      <c r="P29" s="1566">
        <v>2880</v>
      </c>
      <c r="Q29" s="1566">
        <v>1200</v>
      </c>
      <c r="R29" s="1566">
        <v>1200</v>
      </c>
      <c r="S29" s="1566">
        <v>1680</v>
      </c>
      <c r="T29" s="1566">
        <f t="shared" si="7"/>
        <v>2880</v>
      </c>
      <c r="U29" s="1566">
        <f t="shared" si="8"/>
        <v>2880</v>
      </c>
      <c r="V29" s="1566">
        <f t="shared" si="9"/>
        <v>720</v>
      </c>
      <c r="W29" s="1218"/>
    </row>
    <row r="30" spans="1:23" ht="52.5" customHeight="1">
      <c r="A30" s="500">
        <v>19</v>
      </c>
      <c r="B30" s="310" t="s">
        <v>926</v>
      </c>
      <c r="C30" s="1216" t="str">
        <f>VLOOKUP($B30,DATA!$B$7:$AV$679,6,0)</f>
        <v>Lệ Thủy</v>
      </c>
      <c r="D30" s="1230">
        <f>VLOOKUP($B30,DATA!$B$7:$AV$679,7,0)</f>
        <v>2019</v>
      </c>
      <c r="E30" s="1230">
        <f>VLOOKUP($B30,DATA!$B$7:$AV$679,9,0)</f>
        <v>2021</v>
      </c>
      <c r="F30" s="1216" t="str">
        <f>VLOOKUP($B30,DATA!$B$7:$AV$679,12,0)</f>
        <v>3891/QĐ-UBND ngày 31/10/2018</v>
      </c>
      <c r="G30" s="1217">
        <f>VLOOKUP($B30,DATA!$B$7:$AV$679,13,0)</f>
        <v>5500</v>
      </c>
      <c r="H30" s="1217">
        <f>VLOOKUP($B30,DATA!$B$7:$AV$679,15,0)</f>
        <v>5500</v>
      </c>
      <c r="I30" s="1217">
        <f>VLOOKUP($B30,DATA!$B$7:$AV$679,29,0)</f>
        <v>3300</v>
      </c>
      <c r="J30" s="1217">
        <f>VLOOKUP($B30,DATA!$B$7:$AV$679,29,0)</f>
        <v>3300</v>
      </c>
      <c r="K30" s="1217">
        <f>VLOOKUP($B30,DATA!$B$7:$AV$679,35,0)</f>
        <v>1650</v>
      </c>
      <c r="L30" s="1217">
        <f>VLOOKUP($B30,DATA!$B$7:$AV$679,36,0)</f>
        <v>1650</v>
      </c>
      <c r="M30" s="1217">
        <f t="shared" si="6"/>
        <v>2310</v>
      </c>
      <c r="N30" s="59"/>
      <c r="O30" s="1566">
        <v>3960</v>
      </c>
      <c r="P30" s="1566">
        <v>3960</v>
      </c>
      <c r="Q30" s="1566">
        <v>1650</v>
      </c>
      <c r="R30" s="1566">
        <v>1650</v>
      </c>
      <c r="S30" s="1566">
        <v>2310</v>
      </c>
      <c r="T30" s="1566">
        <f t="shared" si="7"/>
        <v>3960</v>
      </c>
      <c r="U30" s="1566">
        <f t="shared" si="8"/>
        <v>3960</v>
      </c>
      <c r="V30" s="1566">
        <f t="shared" si="9"/>
        <v>990</v>
      </c>
      <c r="W30" s="1218"/>
    </row>
    <row r="31" spans="1:23" ht="52.5" customHeight="1">
      <c r="A31" s="500">
        <v>20</v>
      </c>
      <c r="B31" s="554" t="s">
        <v>904</v>
      </c>
      <c r="C31" s="1216" t="str">
        <f>VLOOKUP($B31,DATA!$B$7:$AV$679,6,0)</f>
        <v>Đồng Hới</v>
      </c>
      <c r="D31" s="1230">
        <f>VLOOKUP($B31,DATA!$B$7:$AV$679,7,0)</f>
        <v>2019</v>
      </c>
      <c r="E31" s="1230">
        <f>VLOOKUP($B31,DATA!$B$7:$AV$679,9,0)</f>
        <v>2021</v>
      </c>
      <c r="F31" s="1216" t="str">
        <f>VLOOKUP($B31,DATA!$B$7:$AV$679,12,0)</f>
        <v>3876a/QĐ-UBND ngày 31/10/2018</v>
      </c>
      <c r="G31" s="1217">
        <f>VLOOKUP($B31,DATA!$B$7:$AV$679,13,0)</f>
        <v>4000</v>
      </c>
      <c r="H31" s="1217">
        <f>VLOOKUP($B31,DATA!$B$7:$AV$679,15,0)</f>
        <v>2400</v>
      </c>
      <c r="I31" s="1217">
        <f>VLOOKUP($B31,DATA!$B$7:$AV$679,29,0)</f>
        <v>1440</v>
      </c>
      <c r="J31" s="1217">
        <f>VLOOKUP($B31,DATA!$B$7:$AV$679,29,0)</f>
        <v>1440</v>
      </c>
      <c r="K31" s="1217">
        <f>VLOOKUP($B31,DATA!$B$7:$AV$679,35,0)</f>
        <v>720</v>
      </c>
      <c r="L31" s="1217">
        <f>VLOOKUP($B31,DATA!$B$7:$AV$679,36,0)</f>
        <v>720</v>
      </c>
      <c r="M31" s="1217">
        <f t="shared" si="6"/>
        <v>1008</v>
      </c>
      <c r="N31" s="59"/>
      <c r="O31" s="1566">
        <v>1728</v>
      </c>
      <c r="P31" s="1566">
        <v>1728</v>
      </c>
      <c r="Q31" s="1566">
        <v>720</v>
      </c>
      <c r="R31" s="1566">
        <v>720</v>
      </c>
      <c r="S31" s="1566">
        <v>1008</v>
      </c>
      <c r="T31" s="1566">
        <f t="shared" si="7"/>
        <v>1728</v>
      </c>
      <c r="U31" s="1566">
        <f t="shared" si="8"/>
        <v>1728</v>
      </c>
      <c r="V31" s="1566">
        <f>H31-T31</f>
        <v>672</v>
      </c>
      <c r="W31" s="1218"/>
    </row>
    <row r="32" spans="1:23" ht="52.5" customHeight="1">
      <c r="A32" s="500">
        <v>21</v>
      </c>
      <c r="B32" s="310" t="s">
        <v>899</v>
      </c>
      <c r="C32" s="1216" t="str">
        <f>VLOOKUP($B32,DATA!$B$7:$AV$679,6,0)</f>
        <v>Đồng Hới</v>
      </c>
      <c r="D32" s="1230">
        <f>VLOOKUP($B32,DATA!$B$7:$AV$679,7,0)</f>
        <v>2019</v>
      </c>
      <c r="E32" s="1230">
        <f>VLOOKUP($B32,DATA!$B$7:$AV$679,9,0)</f>
        <v>2021</v>
      </c>
      <c r="F32" s="1216" t="str">
        <f>VLOOKUP($B32,DATA!$B$7:$AV$679,12,0)</f>
        <v>3773/QĐ-UBND ngày 31/10/2018</v>
      </c>
      <c r="G32" s="1217">
        <f>VLOOKUP($B32,DATA!$B$7:$AV$679,13,0)</f>
        <v>3000</v>
      </c>
      <c r="H32" s="1217">
        <f>VLOOKUP($B32,DATA!$B$7:$AV$679,15,0)</f>
        <v>3000</v>
      </c>
      <c r="I32" s="1217">
        <f>VLOOKUP($B32,DATA!$B$7:$AV$679,29,0)</f>
        <v>1800</v>
      </c>
      <c r="J32" s="1217">
        <f>VLOOKUP($B32,DATA!$B$7:$AV$679,29,0)</f>
        <v>1800</v>
      </c>
      <c r="K32" s="1217">
        <f>VLOOKUP($B32,DATA!$B$7:$AV$679,35,0)</f>
        <v>900</v>
      </c>
      <c r="L32" s="1217">
        <f>VLOOKUP($B32,DATA!$B$7:$AV$679,36,0)</f>
        <v>900</v>
      </c>
      <c r="M32" s="1217">
        <f t="shared" si="6"/>
        <v>1260</v>
      </c>
      <c r="N32" s="59"/>
      <c r="O32" s="1566">
        <v>2160</v>
      </c>
      <c r="P32" s="1566">
        <v>2160</v>
      </c>
      <c r="Q32" s="1566">
        <v>900</v>
      </c>
      <c r="R32" s="1566">
        <v>900</v>
      </c>
      <c r="S32" s="1566">
        <v>1260</v>
      </c>
      <c r="T32" s="1566">
        <f t="shared" si="7"/>
        <v>2160</v>
      </c>
      <c r="U32" s="1566">
        <f t="shared" si="8"/>
        <v>2160</v>
      </c>
      <c r="V32" s="1566">
        <f t="shared" si="9"/>
        <v>540</v>
      </c>
      <c r="W32" s="1218"/>
    </row>
    <row r="33" spans="1:23" ht="52.5" customHeight="1">
      <c r="A33" s="500">
        <v>22</v>
      </c>
      <c r="B33" s="310" t="s">
        <v>965</v>
      </c>
      <c r="C33" s="1216" t="str">
        <f>VLOOKUP($B33,DATA!$B$7:$AV$679,6,0)</f>
        <v>Ba Đồn</v>
      </c>
      <c r="D33" s="1230">
        <f>VLOOKUP($B33,DATA!$B$7:$AV$679,7,0)</f>
        <v>2019</v>
      </c>
      <c r="E33" s="1230">
        <f>VLOOKUP($B33,DATA!$B$7:$AV$679,9,0)</f>
        <v>2021</v>
      </c>
      <c r="F33" s="1216" t="str">
        <f>VLOOKUP($B33,DATA!$B$7:$AV$679,12,0)</f>
        <v>3795/QĐ-UBND ngày 31/10/2018</v>
      </c>
      <c r="G33" s="1217">
        <f>VLOOKUP($B33,DATA!$B$7:$AV$679,13,0)</f>
        <v>5500</v>
      </c>
      <c r="H33" s="1217">
        <f>VLOOKUP($B33,DATA!$B$7:$AV$679,15,0)</f>
        <v>3300</v>
      </c>
      <c r="I33" s="1217">
        <f>VLOOKUP($B33,DATA!$B$7:$AV$679,29,0)</f>
        <v>1980</v>
      </c>
      <c r="J33" s="1217">
        <f>VLOOKUP($B33,DATA!$B$7:$AV$679,29,0)</f>
        <v>1980</v>
      </c>
      <c r="K33" s="1217">
        <f>VLOOKUP($B33,DATA!$B$7:$AV$679,35,0)</f>
        <v>990</v>
      </c>
      <c r="L33" s="1217">
        <f>VLOOKUP($B33,DATA!$B$7:$AV$679,36,0)</f>
        <v>990</v>
      </c>
      <c r="M33" s="1217">
        <f t="shared" si="6"/>
        <v>1386</v>
      </c>
      <c r="N33" s="59"/>
      <c r="O33" s="1566">
        <v>2376</v>
      </c>
      <c r="P33" s="1566">
        <v>2376</v>
      </c>
      <c r="Q33" s="1566">
        <v>990</v>
      </c>
      <c r="R33" s="1566">
        <v>990</v>
      </c>
      <c r="S33" s="1566">
        <v>1386</v>
      </c>
      <c r="T33" s="1566">
        <f t="shared" si="7"/>
        <v>2376</v>
      </c>
      <c r="U33" s="1566">
        <f t="shared" si="8"/>
        <v>2376</v>
      </c>
      <c r="V33" s="1566">
        <f>H33-T33</f>
        <v>924</v>
      </c>
      <c r="W33" s="1218"/>
    </row>
    <row r="34" spans="1:23" ht="52.5" customHeight="1">
      <c r="A34" s="500">
        <v>23</v>
      </c>
      <c r="B34" s="1214" t="s">
        <v>910</v>
      </c>
      <c r="C34" s="1216" t="str">
        <f>VLOOKUP($B34,DATA!$B$7:$AV$679,6,0)</f>
        <v>Đồng Hới</v>
      </c>
      <c r="D34" s="1230">
        <f>VLOOKUP($B34,DATA!$B$7:$AV$679,7,0)</f>
        <v>2019</v>
      </c>
      <c r="E34" s="1230">
        <f>VLOOKUP($B34,DATA!$B$7:$AV$679,9,0)</f>
        <v>2021</v>
      </c>
      <c r="F34" s="1216" t="str">
        <f>VLOOKUP($B34,DATA!$B$7:$AV$679,12,0)</f>
        <v>3884a/QĐ-UBND ngày 31/10/2018</v>
      </c>
      <c r="G34" s="1217">
        <f>VLOOKUP($B34,DATA!$B$7:$AV$679,13,0)</f>
        <v>4000</v>
      </c>
      <c r="H34" s="1217">
        <f>VLOOKUP($B34,DATA!$B$7:$AV$679,15,0)</f>
        <v>4000</v>
      </c>
      <c r="I34" s="1217">
        <f>VLOOKUP($B34,DATA!$B$7:$AV$679,29,0)</f>
        <v>2400</v>
      </c>
      <c r="J34" s="1217">
        <f>VLOOKUP($B34,DATA!$B$7:$AV$679,29,0)</f>
        <v>2400</v>
      </c>
      <c r="K34" s="1217">
        <f>VLOOKUP($B34,DATA!$B$7:$AV$679,35,0)</f>
        <v>1200</v>
      </c>
      <c r="L34" s="1217">
        <f>VLOOKUP($B34,DATA!$B$7:$AV$679,36,0)</f>
        <v>1200</v>
      </c>
      <c r="M34" s="1217">
        <f t="shared" si="6"/>
        <v>1680</v>
      </c>
      <c r="N34" s="59"/>
      <c r="O34" s="1566">
        <v>2880</v>
      </c>
      <c r="P34" s="1566">
        <v>2880</v>
      </c>
      <c r="Q34" s="1566">
        <v>1200</v>
      </c>
      <c r="R34" s="1566">
        <v>1200</v>
      </c>
      <c r="S34" s="1566">
        <v>1680</v>
      </c>
      <c r="T34" s="1566">
        <f t="shared" si="7"/>
        <v>2880</v>
      </c>
      <c r="U34" s="1566">
        <f t="shared" si="8"/>
        <v>2880</v>
      </c>
      <c r="V34" s="1566">
        <f t="shared" si="9"/>
        <v>720</v>
      </c>
      <c r="W34" s="1218"/>
    </row>
    <row r="35" spans="1:23" ht="52.5" customHeight="1">
      <c r="A35" s="500">
        <v>24</v>
      </c>
      <c r="B35" s="310" t="s">
        <v>922</v>
      </c>
      <c r="C35" s="1216" t="str">
        <f>VLOOKUP($B35,DATA!$B$7:$AV$679,6,0)</f>
        <v>Đồng Hới</v>
      </c>
      <c r="D35" s="1230">
        <f>VLOOKUP($B35,DATA!$B$7:$AV$679,7,0)</f>
        <v>2019</v>
      </c>
      <c r="E35" s="1230">
        <f>VLOOKUP($B35,DATA!$B$7:$AV$679,9,0)</f>
        <v>2021</v>
      </c>
      <c r="F35" s="1216" t="str">
        <f>VLOOKUP($B35,DATA!$B$7:$AV$679,12,0)</f>
        <v>3806/QĐ-UBND ngày 31/10/2018</v>
      </c>
      <c r="G35" s="1217">
        <f>VLOOKUP($B35,DATA!$B$7:$AV$679,13,0)</f>
        <v>6000</v>
      </c>
      <c r="H35" s="1217">
        <f>VLOOKUP($B35,DATA!$B$7:$AV$679,15,0)</f>
        <v>6000</v>
      </c>
      <c r="I35" s="1217">
        <f>VLOOKUP($B35,DATA!$B$7:$AV$679,29,0)</f>
        <v>3600</v>
      </c>
      <c r="J35" s="1217">
        <f>VLOOKUP($B35,DATA!$B$7:$AV$679,29,0)</f>
        <v>3600</v>
      </c>
      <c r="K35" s="1217">
        <f>VLOOKUP($B35,DATA!$B$7:$AV$679,35,0)</f>
        <v>1800</v>
      </c>
      <c r="L35" s="1217">
        <f>VLOOKUP($B35,DATA!$B$7:$AV$679,36,0)</f>
        <v>1800</v>
      </c>
      <c r="M35" s="1217">
        <f t="shared" si="6"/>
        <v>2520</v>
      </c>
      <c r="N35" s="59"/>
      <c r="O35" s="1566">
        <v>4320</v>
      </c>
      <c r="P35" s="1566">
        <v>4320</v>
      </c>
      <c r="Q35" s="1566">
        <v>1800</v>
      </c>
      <c r="R35" s="1566">
        <v>1800</v>
      </c>
      <c r="S35" s="1566">
        <v>2520</v>
      </c>
      <c r="T35" s="1566">
        <f t="shared" si="7"/>
        <v>4320</v>
      </c>
      <c r="U35" s="1566">
        <f t="shared" si="8"/>
        <v>4320</v>
      </c>
      <c r="V35" s="1566">
        <f t="shared" si="9"/>
        <v>1080</v>
      </c>
      <c r="W35" s="1218"/>
    </row>
    <row r="36" spans="1:23" ht="60.75" customHeight="1">
      <c r="A36" s="500">
        <v>25</v>
      </c>
      <c r="B36" s="547" t="s">
        <v>893</v>
      </c>
      <c r="C36" s="1216" t="str">
        <f>VLOOKUP($B36,DATA!$B$7:$AV$679,6,0)</f>
        <v>Đồng Hới</v>
      </c>
      <c r="D36" s="1230">
        <f>VLOOKUP($B36,DATA!$B$7:$AV$679,7,0)</f>
        <v>2019</v>
      </c>
      <c r="E36" s="1230">
        <f>VLOOKUP($B36,DATA!$B$7:$AV$679,9,0)</f>
        <v>2021</v>
      </c>
      <c r="F36" s="1216" t="str">
        <f>VLOOKUP($B36,DATA!$B$7:$AV$679,12,0)</f>
        <v>2753/QĐ-UBDN ngày  20/8/2018</v>
      </c>
      <c r="G36" s="1217">
        <f>VLOOKUP($B36,DATA!$B$7:$AV$679,13,0)</f>
        <v>9500</v>
      </c>
      <c r="H36" s="1217">
        <f>VLOOKUP($B36,DATA!$B$7:$AV$679,15,0)</f>
        <v>9500</v>
      </c>
      <c r="I36" s="1217">
        <f>VLOOKUP($B36,DATA!$B$7:$AV$679,29,0)</f>
        <v>5700</v>
      </c>
      <c r="J36" s="1217">
        <f>VLOOKUP($B36,DATA!$B$7:$AV$679,29,0)</f>
        <v>5700</v>
      </c>
      <c r="K36" s="1217">
        <f>VLOOKUP($B36,DATA!$B$7:$AV$679,35,0)</f>
        <v>2850</v>
      </c>
      <c r="L36" s="1217">
        <f>VLOOKUP($B36,DATA!$B$7:$AV$679,36,0)</f>
        <v>2850</v>
      </c>
      <c r="M36" s="1217">
        <f t="shared" si="6"/>
        <v>3990</v>
      </c>
      <c r="N36" s="59"/>
      <c r="O36" s="1566">
        <v>6840</v>
      </c>
      <c r="P36" s="1566">
        <v>6840</v>
      </c>
      <c r="Q36" s="1566">
        <v>2850</v>
      </c>
      <c r="R36" s="1566">
        <v>2850</v>
      </c>
      <c r="S36" s="1566">
        <v>3990</v>
      </c>
      <c r="T36" s="1566">
        <f t="shared" si="7"/>
        <v>6840</v>
      </c>
      <c r="U36" s="1566">
        <f t="shared" si="8"/>
        <v>6840</v>
      </c>
      <c r="V36" s="1566">
        <f t="shared" si="9"/>
        <v>1710</v>
      </c>
      <c r="W36" s="1218"/>
    </row>
    <row r="37" spans="1:23" ht="61.5" customHeight="1">
      <c r="A37" s="500">
        <v>26</v>
      </c>
      <c r="B37" s="310" t="s">
        <v>977</v>
      </c>
      <c r="C37" s="1216" t="str">
        <f>VLOOKUP($B37,DATA!$B$7:$AV$679,6,0)</f>
        <v>Ba Đồn</v>
      </c>
      <c r="D37" s="1230">
        <f>VLOOKUP($B37,DATA!$B$7:$AV$679,7,0)</f>
        <v>2019</v>
      </c>
      <c r="E37" s="1230">
        <f>VLOOKUP($B37,DATA!$B$7:$AV$679,9,0)</f>
        <v>2021</v>
      </c>
      <c r="F37" s="1216" t="str">
        <f>VLOOKUP($B37,DATA!$B$7:$AV$679,12,0)</f>
        <v>3780/QĐ-UBND ngày 31/10/2018</v>
      </c>
      <c r="G37" s="1217">
        <f>VLOOKUP($B37,DATA!$B$7:$AV$679,13,0)</f>
        <v>3000</v>
      </c>
      <c r="H37" s="1217">
        <f>VLOOKUP($B37,DATA!$B$7:$AV$679,15,0)</f>
        <v>1800</v>
      </c>
      <c r="I37" s="1217">
        <f>VLOOKUP($B37,DATA!$B$7:$AV$679,29,0)</f>
        <v>900</v>
      </c>
      <c r="J37" s="1217">
        <f>VLOOKUP($B37,DATA!$B$7:$AV$679,29,0)</f>
        <v>900</v>
      </c>
      <c r="K37" s="1217">
        <f>VLOOKUP($B37,DATA!$B$7:$BA$679,50,0)</f>
        <v>1200</v>
      </c>
      <c r="L37" s="1217">
        <f>VLOOKUP($B37,DATA!$B$7:$AV$679,36,0)</f>
        <v>0</v>
      </c>
      <c r="M37" s="1217">
        <f>H37*0.6</f>
        <v>1080</v>
      </c>
      <c r="N37" s="38"/>
      <c r="O37" s="1564">
        <v>2280</v>
      </c>
      <c r="P37" s="1564">
        <v>1080</v>
      </c>
      <c r="Q37" s="1564">
        <v>1200</v>
      </c>
      <c r="R37" s="1564"/>
      <c r="S37" s="1564">
        <v>1080</v>
      </c>
      <c r="T37" s="1566">
        <f t="shared" ref="T37:T47" si="10">Q37+S37</f>
        <v>2280</v>
      </c>
      <c r="U37" s="1566">
        <f t="shared" ref="U37:U47" si="11">R37+S37</f>
        <v>1080</v>
      </c>
      <c r="V37" s="1564">
        <f>H37-U37</f>
        <v>720</v>
      </c>
      <c r="W37" s="1218"/>
    </row>
    <row r="38" spans="1:23" ht="51.75" customHeight="1">
      <c r="A38" s="500">
        <v>27</v>
      </c>
      <c r="B38" s="1214" t="s">
        <v>941</v>
      </c>
      <c r="C38" s="1216" t="str">
        <f>VLOOKUP($B38,DATA!$B$7:$AV$679,6,0)</f>
        <v>Lệ Thủy</v>
      </c>
      <c r="D38" s="1230">
        <f>VLOOKUP($B38,DATA!$B$7:$AV$679,7,0)</f>
        <v>2019</v>
      </c>
      <c r="E38" s="1230">
        <f>VLOOKUP($B38,DATA!$B$7:$AV$679,9,0)</f>
        <v>2021</v>
      </c>
      <c r="F38" s="1216" t="str">
        <f>VLOOKUP($B38,DATA!$B$7:$AV$679,12,0)</f>
        <v>3796/QĐ-UBND ngày 31/10/2018</v>
      </c>
      <c r="G38" s="1217">
        <f>VLOOKUP($B38,DATA!$B$7:$AV$679,13,0)</f>
        <v>2955</v>
      </c>
      <c r="H38" s="1217">
        <f>VLOOKUP($B38,DATA!$B$7:$AV$679,15,0)</f>
        <v>1800</v>
      </c>
      <c r="I38" s="1217">
        <f>VLOOKUP($B38,DATA!$B$7:$AV$679,29,0)</f>
        <v>900</v>
      </c>
      <c r="J38" s="1217">
        <f>VLOOKUP($B38,DATA!$B$7:$AV$679,29,0)</f>
        <v>900</v>
      </c>
      <c r="K38" s="1217">
        <f>VLOOKUP($B38,DATA!$B$7:$BA$679,50,0)</f>
        <v>720</v>
      </c>
      <c r="L38" s="1217">
        <f>VLOOKUP($B38,DATA!$B$7:$AV$679,36,0)</f>
        <v>0</v>
      </c>
      <c r="M38" s="1217">
        <f>H38*0.6</f>
        <v>1080</v>
      </c>
      <c r="N38" s="38"/>
      <c r="O38" s="1564">
        <v>1800</v>
      </c>
      <c r="P38" s="1564">
        <v>1080</v>
      </c>
      <c r="Q38" s="1564">
        <v>720</v>
      </c>
      <c r="R38" s="1564"/>
      <c r="S38" s="1564">
        <v>1080</v>
      </c>
      <c r="T38" s="1566">
        <f t="shared" si="10"/>
        <v>1800</v>
      </c>
      <c r="U38" s="1566">
        <f t="shared" si="11"/>
        <v>1080</v>
      </c>
      <c r="V38" s="1564">
        <f t="shared" ref="V38:V45" si="12">H38-U38</f>
        <v>720</v>
      </c>
      <c r="W38" s="1218"/>
    </row>
    <row r="39" spans="1:23" ht="51.75" customHeight="1">
      <c r="A39" s="500">
        <v>28</v>
      </c>
      <c r="B39" s="310" t="s">
        <v>2002</v>
      </c>
      <c r="C39" s="1216" t="str">
        <f>VLOOKUP($B39,DATA!$B$7:$AV$679,6,0)</f>
        <v>Bố Trạch</v>
      </c>
      <c r="D39" s="1230">
        <f>VLOOKUP($B39,DATA!$B$7:$AV$679,7,0)</f>
        <v>2019</v>
      </c>
      <c r="E39" s="1230">
        <f>VLOOKUP($B39,DATA!$B$7:$AV$679,9,0)</f>
        <v>2021</v>
      </c>
      <c r="F39" s="1216" t="str">
        <f>VLOOKUP($B39,DATA!$B$7:$AV$679,12,0)</f>
        <v>3741a/QĐ-UBND ngày 30/10/2018</v>
      </c>
      <c r="G39" s="1217">
        <f>VLOOKUP($B39,DATA!$B$7:$AV$679,13,0)</f>
        <v>5000</v>
      </c>
      <c r="H39" s="1217">
        <f>VLOOKUP($B39,DATA!$B$7:$AV$679,15,0)</f>
        <v>3000</v>
      </c>
      <c r="I39" s="1217">
        <f>VLOOKUP($B39,DATA!$B$7:$AV$679,29,0)</f>
        <v>1500</v>
      </c>
      <c r="J39" s="1217">
        <f>VLOOKUP($B39,DATA!$B$7:$AV$679,29,0)</f>
        <v>1500</v>
      </c>
      <c r="K39" s="1217">
        <f>VLOOKUP($B39,DATA!$B$7:$BA$679,50,0)</f>
        <v>0</v>
      </c>
      <c r="L39" s="1217">
        <f>VLOOKUP($B39,DATA!$B$7:$AV$679,36,0)</f>
        <v>0</v>
      </c>
      <c r="M39" s="1217">
        <f>H39*0.6</f>
        <v>1800</v>
      </c>
      <c r="N39" s="38"/>
      <c r="O39" s="1564">
        <v>1800</v>
      </c>
      <c r="P39" s="1564">
        <v>1800</v>
      </c>
      <c r="Q39" s="1564"/>
      <c r="R39" s="1564"/>
      <c r="S39" s="1564">
        <v>1800</v>
      </c>
      <c r="T39" s="1566">
        <f t="shared" si="10"/>
        <v>1800</v>
      </c>
      <c r="U39" s="1566">
        <f t="shared" si="11"/>
        <v>1800</v>
      </c>
      <c r="V39" s="1564">
        <f t="shared" si="12"/>
        <v>1200</v>
      </c>
      <c r="W39" s="1218"/>
    </row>
    <row r="40" spans="1:23" ht="65.25" customHeight="1">
      <c r="A40" s="500">
        <v>29</v>
      </c>
      <c r="B40" s="310" t="s">
        <v>1078</v>
      </c>
      <c r="C40" s="1216" t="str">
        <f>VLOOKUP($B40,DATA!$B$7:$AV$679,6,0)</f>
        <v>Bố Trạch</v>
      </c>
      <c r="D40" s="1230">
        <f>VLOOKUP($B40,DATA!$B$7:$AV$679,7,0)</f>
        <v>2020</v>
      </c>
      <c r="E40" s="1230">
        <f>VLOOKUP($B40,DATA!$B$7:$AV$679,9,0)</f>
        <v>2022</v>
      </c>
      <c r="F40" s="1216" t="str">
        <f>VLOOKUP($B40,DATA!$B$7:$AV$679,12,0)</f>
        <v>4023a/QĐ-UBND ngày 24/10/2019</v>
      </c>
      <c r="G40" s="1217">
        <f>VLOOKUP($B40,DATA!$B$7:$AV$679,13,0)</f>
        <v>6000</v>
      </c>
      <c r="H40" s="1217">
        <f>VLOOKUP($B40,DATA!$B$7:$AV$679,15,0)</f>
        <v>6000</v>
      </c>
      <c r="I40" s="1217">
        <f>VLOOKUP($B40,DATA!$B$7:$AV$679,29,0)</f>
        <v>1800</v>
      </c>
      <c r="J40" s="1217">
        <f>VLOOKUP($B40,DATA!$B$7:$AV$679,29,0)</f>
        <v>1800</v>
      </c>
      <c r="K40" s="1217">
        <f>VLOOKUP($B40,DATA!$B$7:$AV$679,35,0)</f>
        <v>0</v>
      </c>
      <c r="L40" s="1217">
        <f>VLOOKUP($B40,DATA!$B$7:$AV$679,36,0)</f>
        <v>0</v>
      </c>
      <c r="M40" s="1217">
        <v>600</v>
      </c>
      <c r="N40" s="38"/>
      <c r="O40" s="1564">
        <v>600</v>
      </c>
      <c r="P40" s="1564">
        <v>600</v>
      </c>
      <c r="Q40" s="1564"/>
      <c r="R40" s="1564"/>
      <c r="S40" s="1564">
        <v>600</v>
      </c>
      <c r="T40" s="1566">
        <f t="shared" si="10"/>
        <v>600</v>
      </c>
      <c r="U40" s="1566">
        <f t="shared" si="11"/>
        <v>600</v>
      </c>
      <c r="V40" s="1564">
        <f>H40*0.9-U40</f>
        <v>4800</v>
      </c>
      <c r="W40" s="1218"/>
    </row>
    <row r="41" spans="1:23" ht="45" customHeight="1">
      <c r="A41" s="500">
        <v>30</v>
      </c>
      <c r="B41" s="1559" t="s">
        <v>2299</v>
      </c>
      <c r="C41" s="1216" t="str">
        <f>VLOOKUP($B41,DATA!$B$7:$AV$679,6,0)</f>
        <v>Tuyên Hóa</v>
      </c>
      <c r="D41" s="1230">
        <f>VLOOKUP($B41,DATA!$B$7:$AV$679,7,0)</f>
        <v>2020</v>
      </c>
      <c r="E41" s="1230">
        <f>VLOOKUP($B41,DATA!$B$7:$AV$679,9,0)</f>
        <v>2022</v>
      </c>
      <c r="F41" s="1216" t="str">
        <f>VLOOKUP($B41,DATA!$B$7:$AV$679,12,0)</f>
        <v>3447/QĐ-UBND ngày 10/9/2019</v>
      </c>
      <c r="G41" s="1217">
        <f>VLOOKUP($B41,DATA!$B$7:$AV$679,13,0)</f>
        <v>3800</v>
      </c>
      <c r="H41" s="1217">
        <f>VLOOKUP($B41,DATA!$B$7:$AV$679,15,0)</f>
        <v>2280</v>
      </c>
      <c r="I41" s="1217">
        <f>VLOOKUP($B41,DATA!$B$7:$AV$679,29,0)</f>
        <v>684</v>
      </c>
      <c r="J41" s="1217">
        <f>VLOOKUP($B41,DATA!$B$7:$AV$679,29,0)</f>
        <v>684</v>
      </c>
      <c r="K41" s="1217">
        <f>VLOOKUP($B41,DATA!$B$7:$AV$679,35,0)</f>
        <v>0</v>
      </c>
      <c r="L41" s="1217">
        <f>VLOOKUP($B41,DATA!$B$7:$AV$679,36,0)</f>
        <v>0</v>
      </c>
      <c r="M41" s="1217">
        <f>H41*0.35</f>
        <v>798</v>
      </c>
      <c r="N41" s="59"/>
      <c r="O41" s="1566">
        <v>798</v>
      </c>
      <c r="P41" s="1566">
        <v>798</v>
      </c>
      <c r="Q41" s="1566"/>
      <c r="R41" s="1566"/>
      <c r="S41" s="1566">
        <v>798</v>
      </c>
      <c r="T41" s="1566">
        <f t="shared" si="10"/>
        <v>798</v>
      </c>
      <c r="U41" s="1566">
        <f t="shared" si="11"/>
        <v>798</v>
      </c>
      <c r="V41" s="1564">
        <f t="shared" si="12"/>
        <v>1482</v>
      </c>
      <c r="W41" s="1218"/>
    </row>
    <row r="42" spans="1:23" ht="45" customHeight="1">
      <c r="A42" s="500">
        <v>31</v>
      </c>
      <c r="B42" s="1559" t="s">
        <v>2300</v>
      </c>
      <c r="C42" s="1216" t="str">
        <f>VLOOKUP($B42,DATA!$B$7:$AV$679,6,0)</f>
        <v>Ba Đồn</v>
      </c>
      <c r="D42" s="1230">
        <f>VLOOKUP($B42,DATA!$B$7:$AV$679,7,0)</f>
        <v>2020</v>
      </c>
      <c r="E42" s="1230">
        <f>VLOOKUP($B42,DATA!$B$7:$AV$679,9,0)</f>
        <v>2022</v>
      </c>
      <c r="F42" s="1216" t="str">
        <f>VLOOKUP($B42,DATA!$B$7:$AV$679,12,0)</f>
        <v>3301/QĐ-UBND ngày 30/8/2019</v>
      </c>
      <c r="G42" s="1217">
        <f>VLOOKUP($B42,DATA!$B$7:$AV$679,13,0)</f>
        <v>3823</v>
      </c>
      <c r="H42" s="1217">
        <f>VLOOKUP($B42,DATA!$B$7:$AV$679,15,0)</f>
        <v>2294</v>
      </c>
      <c r="I42" s="1217">
        <f>VLOOKUP($B42,DATA!$B$7:$AV$679,29,0)</f>
        <v>688.19999999999993</v>
      </c>
      <c r="J42" s="1217">
        <f>VLOOKUP($B42,DATA!$B$7:$AV$679,29,0)</f>
        <v>688.19999999999993</v>
      </c>
      <c r="K42" s="1217">
        <f>VLOOKUP($B42,DATA!$B$7:$AV$679,35,0)</f>
        <v>0</v>
      </c>
      <c r="L42" s="1217">
        <f>VLOOKUP($B42,DATA!$B$7:$AV$679,36,0)</f>
        <v>0</v>
      </c>
      <c r="M42" s="1217">
        <f>H42*0.2</f>
        <v>458.8</v>
      </c>
      <c r="N42" s="59"/>
      <c r="O42" s="1566">
        <v>459</v>
      </c>
      <c r="P42" s="1566">
        <v>459</v>
      </c>
      <c r="Q42" s="1566"/>
      <c r="R42" s="1566"/>
      <c r="S42" s="1566">
        <v>459</v>
      </c>
      <c r="T42" s="1566">
        <f t="shared" si="10"/>
        <v>459</v>
      </c>
      <c r="U42" s="1566">
        <f t="shared" si="11"/>
        <v>459</v>
      </c>
      <c r="V42" s="1564">
        <f t="shared" si="12"/>
        <v>1835</v>
      </c>
      <c r="W42" s="1218"/>
    </row>
    <row r="43" spans="1:23" ht="60" customHeight="1">
      <c r="A43" s="500">
        <v>32</v>
      </c>
      <c r="B43" s="1449" t="s">
        <v>2297</v>
      </c>
      <c r="C43" s="1216" t="str">
        <f>VLOOKUP($B43,DATA!$B$7:$AV$679,6,0)</f>
        <v>Quảng Trạch</v>
      </c>
      <c r="D43" s="1230">
        <f>VLOOKUP($B43,DATA!$B$7:$AV$679,7,0)</f>
        <v>2020</v>
      </c>
      <c r="E43" s="1230">
        <f>VLOOKUP($B43,DATA!$B$7:$AV$679,9,0)</f>
        <v>2022</v>
      </c>
      <c r="F43" s="1216" t="str">
        <f>VLOOKUP($B43,DATA!$B$7:$AV$679,12,0)</f>
        <v>4258/QĐ-UBND ngày 31/10/2019</v>
      </c>
      <c r="G43" s="1217">
        <f>VLOOKUP($B43,DATA!$B$7:$AV$679,13,0)</f>
        <v>4500</v>
      </c>
      <c r="H43" s="1217">
        <f>VLOOKUP($B43,DATA!$B$7:$AV$679,15,0)</f>
        <v>4500</v>
      </c>
      <c r="I43" s="1217">
        <f>VLOOKUP($B43,DATA!$B$7:$AV$679,29,0)</f>
        <v>1350</v>
      </c>
      <c r="J43" s="1217">
        <f>VLOOKUP($B43,DATA!$B$7:$AV$679,29,0)</f>
        <v>1350</v>
      </c>
      <c r="K43" s="1217">
        <f>VLOOKUP($B43,DATA!$B$7:$AV$679,35,0)</f>
        <v>0</v>
      </c>
      <c r="L43" s="1217">
        <f>VLOOKUP($B43,DATA!$B$7:$AV$679,36,0)</f>
        <v>0</v>
      </c>
      <c r="M43" s="1217">
        <f>H43*0.35</f>
        <v>1575</v>
      </c>
      <c r="N43" s="59"/>
      <c r="O43" s="1566">
        <v>1575</v>
      </c>
      <c r="P43" s="1566">
        <v>1575</v>
      </c>
      <c r="Q43" s="1566"/>
      <c r="R43" s="1566"/>
      <c r="S43" s="1566">
        <v>1575</v>
      </c>
      <c r="T43" s="1566">
        <f t="shared" si="10"/>
        <v>1575</v>
      </c>
      <c r="U43" s="1566">
        <f t="shared" si="11"/>
        <v>1575</v>
      </c>
      <c r="V43" s="1564">
        <f>H43*0.9-U43</f>
        <v>2475</v>
      </c>
      <c r="W43" s="1218"/>
    </row>
    <row r="44" spans="1:23" ht="42" customHeight="1">
      <c r="A44" s="500">
        <v>33</v>
      </c>
      <c r="B44" s="1449" t="s">
        <v>2298</v>
      </c>
      <c r="C44" s="1216" t="str">
        <f>VLOOKUP($B44,DATA!$B$7:$AV$679,6,0)</f>
        <v>Ba Đồn</v>
      </c>
      <c r="D44" s="1230">
        <f>VLOOKUP($B44,DATA!$B$7:$AV$679,7,0)</f>
        <v>2020</v>
      </c>
      <c r="E44" s="1230">
        <f>VLOOKUP($B44,DATA!$B$7:$AV$679,9,0)</f>
        <v>2022</v>
      </c>
      <c r="F44" s="1216" t="str">
        <f>VLOOKUP($B44,DATA!$B$7:$AV$679,12,0)</f>
        <v>3470/QĐ-UBND ngày 12/9/2019</v>
      </c>
      <c r="G44" s="1217">
        <f>VLOOKUP($B44,DATA!$B$7:$AV$679,13,0)</f>
        <v>4200</v>
      </c>
      <c r="H44" s="1217">
        <f>VLOOKUP($B44,DATA!$B$7:$AV$679,15,0)</f>
        <v>4200</v>
      </c>
      <c r="I44" s="1217">
        <f>VLOOKUP($B44,DATA!$B$7:$AV$679,29,0)</f>
        <v>1260</v>
      </c>
      <c r="J44" s="1217">
        <f>VLOOKUP($B44,DATA!$B$7:$AV$679,29,0)</f>
        <v>1260</v>
      </c>
      <c r="K44" s="1217">
        <f>VLOOKUP($B44,DATA!$B$7:$AV$679,35,0)</f>
        <v>0</v>
      </c>
      <c r="L44" s="1217">
        <f>VLOOKUP($B44,DATA!$B$7:$AV$679,36,0)</f>
        <v>0</v>
      </c>
      <c r="M44" s="1217">
        <f>H44*0.15+613</f>
        <v>1243</v>
      </c>
      <c r="N44" s="59"/>
      <c r="O44" s="1566">
        <v>1243</v>
      </c>
      <c r="P44" s="1566">
        <v>1243</v>
      </c>
      <c r="Q44" s="1566"/>
      <c r="R44" s="1566"/>
      <c r="S44" s="1566">
        <v>1243</v>
      </c>
      <c r="T44" s="1566">
        <f t="shared" si="10"/>
        <v>1243</v>
      </c>
      <c r="U44" s="1566">
        <f t="shared" si="11"/>
        <v>1243</v>
      </c>
      <c r="V44" s="1564">
        <f>H44*0.9-U44</f>
        <v>2537</v>
      </c>
      <c r="W44" s="1218"/>
    </row>
    <row r="45" spans="1:23" ht="46.5" customHeight="1">
      <c r="A45" s="500">
        <v>34</v>
      </c>
      <c r="B45" s="547" t="s">
        <v>2384</v>
      </c>
      <c r="C45" s="1216" t="str">
        <f>VLOOKUP($B45,DATA!$B$7:$AV$679,6,0)</f>
        <v>Ba Đồn</v>
      </c>
      <c r="D45" s="1230">
        <f>VLOOKUP($B45,DATA!$B$7:$AV$679,7,0)</f>
        <v>2020</v>
      </c>
      <c r="E45" s="1230">
        <f>VLOOKUP($B45,DATA!$B$7:$AV$679,9,0)</f>
        <v>2022</v>
      </c>
      <c r="F45" s="1216" t="str">
        <f>VLOOKUP($B45,DATA!$B$7:$AV$679,12,0)</f>
        <v>4142/QĐ-UBND ngày 30/10/2019</v>
      </c>
      <c r="G45" s="1217">
        <f>VLOOKUP($B45,DATA!$B$7:$AV$679,13,0)</f>
        <v>5000</v>
      </c>
      <c r="H45" s="1217">
        <f>VLOOKUP($B45,DATA!$B$7:$AV$679,15,0)</f>
        <v>3000</v>
      </c>
      <c r="I45" s="1217">
        <f>VLOOKUP($B45,DATA!$B$7:$AV$679,29,0)</f>
        <v>900</v>
      </c>
      <c r="J45" s="1217">
        <f>VLOOKUP($B45,DATA!$B$7:$AV$679,29,0)</f>
        <v>900</v>
      </c>
      <c r="K45" s="1217">
        <f>VLOOKUP($B45,DATA!$B$7:$AV$679,35,0)</f>
        <v>0</v>
      </c>
      <c r="L45" s="1217">
        <f>VLOOKUP($B45,DATA!$B$7:$AV$679,36,0)</f>
        <v>0</v>
      </c>
      <c r="M45" s="1217">
        <f t="shared" ref="M45:M47" si="13">H45*0.35</f>
        <v>1050</v>
      </c>
      <c r="N45" s="59"/>
      <c r="O45" s="1566">
        <v>1050</v>
      </c>
      <c r="P45" s="1566">
        <v>1050</v>
      </c>
      <c r="Q45" s="1566"/>
      <c r="R45" s="1566"/>
      <c r="S45" s="1566">
        <v>1050</v>
      </c>
      <c r="T45" s="1566">
        <f t="shared" si="10"/>
        <v>1050</v>
      </c>
      <c r="U45" s="1566">
        <f t="shared" si="11"/>
        <v>1050</v>
      </c>
      <c r="V45" s="1564">
        <f t="shared" si="12"/>
        <v>1950</v>
      </c>
      <c r="W45" s="1218"/>
    </row>
    <row r="46" spans="1:23" ht="51.75" customHeight="1">
      <c r="A46" s="500">
        <v>35</v>
      </c>
      <c r="B46" s="547" t="s">
        <v>2301</v>
      </c>
      <c r="C46" s="1216" t="str">
        <f>VLOOKUP($B46,DATA!$B$7:$AV$679,6,0)</f>
        <v>Minh Hóa</v>
      </c>
      <c r="D46" s="1230">
        <f>VLOOKUP($B46,DATA!$B$7:$AV$679,7,0)</f>
        <v>2020</v>
      </c>
      <c r="E46" s="1230">
        <f>VLOOKUP($B46,DATA!$B$7:$AV$679,9,0)</f>
        <v>2022</v>
      </c>
      <c r="F46" s="1216" t="str">
        <f>VLOOKUP($B46,DATA!$B$7:$AV$679,12,0)</f>
        <v>4221/QĐ-UBND ngày 30/10/2019</v>
      </c>
      <c r="G46" s="1217">
        <f>VLOOKUP($B46,DATA!$B$7:$AV$679,13,0)</f>
        <v>5200</v>
      </c>
      <c r="H46" s="1217">
        <f>VLOOKUP($B46,DATA!$B$7:$AV$679,15,0)</f>
        <v>5200</v>
      </c>
      <c r="I46" s="1217">
        <f>VLOOKUP($B46,DATA!$B$7:$AV$679,29,0)</f>
        <v>1560</v>
      </c>
      <c r="J46" s="1217">
        <f>VLOOKUP($B46,DATA!$B$7:$AV$679,29,0)</f>
        <v>1560</v>
      </c>
      <c r="K46" s="1217">
        <f>VLOOKUP($B46,DATA!$B$7:$AV$679,35,0)</f>
        <v>0</v>
      </c>
      <c r="L46" s="1217">
        <f>VLOOKUP($B46,DATA!$B$7:$AV$679,36,0)</f>
        <v>0</v>
      </c>
      <c r="M46" s="1217">
        <f t="shared" si="13"/>
        <v>1819.9999999999998</v>
      </c>
      <c r="N46" s="59"/>
      <c r="O46" s="1566">
        <v>1820</v>
      </c>
      <c r="P46" s="1566">
        <v>1820</v>
      </c>
      <c r="Q46" s="1566"/>
      <c r="R46" s="1566"/>
      <c r="S46" s="1566">
        <v>1820</v>
      </c>
      <c r="T46" s="1566">
        <f t="shared" si="10"/>
        <v>1820</v>
      </c>
      <c r="U46" s="1566">
        <f t="shared" si="11"/>
        <v>1820</v>
      </c>
      <c r="V46" s="1564">
        <f>H46*0.9-U46</f>
        <v>2860</v>
      </c>
      <c r="W46" s="1218"/>
    </row>
    <row r="47" spans="1:23" ht="64.5" customHeight="1">
      <c r="A47" s="500">
        <v>36</v>
      </c>
      <c r="B47" s="547" t="s">
        <v>2302</v>
      </c>
      <c r="C47" s="1216" t="str">
        <f>VLOOKUP($B47,DATA!$B$7:$AV$679,6,0)</f>
        <v>Minh Hóa</v>
      </c>
      <c r="D47" s="1230">
        <f>VLOOKUP($B47,DATA!$B$7:$AV$679,7,0)</f>
        <v>2020</v>
      </c>
      <c r="E47" s="1230">
        <f>VLOOKUP($B47,DATA!$B$7:$AV$679,9,0)</f>
        <v>2022</v>
      </c>
      <c r="F47" s="1216" t="str">
        <f>VLOOKUP($B47,DATA!$B$7:$AV$679,12,0)</f>
        <v>4140/QĐ-UBND ngày 30/10/2019</v>
      </c>
      <c r="G47" s="1217">
        <f>VLOOKUP($B47,DATA!$B$7:$AV$679,13,0)</f>
        <v>5200</v>
      </c>
      <c r="H47" s="1217">
        <f>VLOOKUP($B47,DATA!$B$7:$AV$679,15,0)</f>
        <v>5200</v>
      </c>
      <c r="I47" s="1217">
        <f>VLOOKUP($B47,DATA!$B$7:$AV$679,29,0)</f>
        <v>1560</v>
      </c>
      <c r="J47" s="1217">
        <f>VLOOKUP($B47,DATA!$B$7:$AV$679,29,0)</f>
        <v>1560</v>
      </c>
      <c r="K47" s="1217">
        <f>VLOOKUP($B47,DATA!$B$7:$AV$679,35,0)</f>
        <v>0</v>
      </c>
      <c r="L47" s="1217">
        <f>VLOOKUP($B47,DATA!$B$7:$AV$679,36,0)</f>
        <v>0</v>
      </c>
      <c r="M47" s="1217">
        <f t="shared" si="13"/>
        <v>1819.9999999999998</v>
      </c>
      <c r="N47" s="59"/>
      <c r="O47" s="1566">
        <v>1820</v>
      </c>
      <c r="P47" s="1566">
        <v>1820</v>
      </c>
      <c r="Q47" s="1566"/>
      <c r="R47" s="1566"/>
      <c r="S47" s="1566">
        <v>1820</v>
      </c>
      <c r="T47" s="1566">
        <f t="shared" si="10"/>
        <v>1820</v>
      </c>
      <c r="U47" s="1566">
        <f t="shared" si="11"/>
        <v>1820</v>
      </c>
      <c r="V47" s="1564">
        <f>H47*0.9-U47</f>
        <v>2860</v>
      </c>
      <c r="W47" s="1218"/>
    </row>
    <row r="48" spans="1:23" ht="56.25" customHeight="1">
      <c r="A48" s="500">
        <v>37</v>
      </c>
      <c r="B48" s="310" t="s">
        <v>958</v>
      </c>
      <c r="C48" s="1216" t="str">
        <f>VLOOKUP($B48,DATA!$B$7:$AV$679,6,0)</f>
        <v>Tuyên Hóa</v>
      </c>
      <c r="D48" s="1230">
        <f>VLOOKUP($B48,DATA!$B$7:$AV$679,7,0)</f>
        <v>2019</v>
      </c>
      <c r="E48" s="1230">
        <f>VLOOKUP($B48,DATA!$B$7:$AV$679,9,0)</f>
        <v>2021</v>
      </c>
      <c r="F48" s="1216" t="str">
        <f>VLOOKUP($B48,DATA!$B$7:$AV$679,12,0)</f>
        <v>3835/QĐ-UBND ngày 31/10/2018</v>
      </c>
      <c r="G48" s="1217">
        <f>VLOOKUP($B48,DATA!$B$7:$AV$679,13,0)</f>
        <v>3000</v>
      </c>
      <c r="H48" s="1217">
        <f>VLOOKUP($B48,DATA!$B$7:$AV$679,15,0)</f>
        <v>1800</v>
      </c>
      <c r="I48" s="1217">
        <f>VLOOKUP($B48,DATA!$B$7:$AV$679,29,0)</f>
        <v>900</v>
      </c>
      <c r="J48" s="1217">
        <f>VLOOKUP($B48,DATA!$B$7:$AV$679,29,0)</f>
        <v>900</v>
      </c>
      <c r="K48" s="1217">
        <f>VLOOKUP($B48,DATA!$B$7:$BA$679,50,0)</f>
        <v>900</v>
      </c>
      <c r="L48" s="1217">
        <f>VLOOKUP($B48,DATA!$B$7:$AV$679,36,0)</f>
        <v>0</v>
      </c>
      <c r="M48" s="1217">
        <f t="shared" ref="M48:M78" si="14">H48*0.6</f>
        <v>1080</v>
      </c>
      <c r="N48" s="38"/>
      <c r="O48" s="1564">
        <v>1980</v>
      </c>
      <c r="P48" s="1564">
        <v>1080</v>
      </c>
      <c r="Q48" s="1564">
        <v>900</v>
      </c>
      <c r="R48" s="1564"/>
      <c r="S48" s="1564">
        <v>1080</v>
      </c>
      <c r="T48" s="1566">
        <f t="shared" ref="T48:T102" si="15">Q48+S48</f>
        <v>1980</v>
      </c>
      <c r="U48" s="1566">
        <f t="shared" ref="U48:U102" si="16">R48+S48</f>
        <v>1080</v>
      </c>
      <c r="V48" s="1564">
        <f>H48-U48</f>
        <v>720</v>
      </c>
      <c r="W48" s="1218"/>
    </row>
    <row r="49" spans="1:23" ht="56.25" customHeight="1">
      <c r="A49" s="500">
        <v>38</v>
      </c>
      <c r="B49" s="310" t="s">
        <v>2003</v>
      </c>
      <c r="C49" s="1216" t="str">
        <f>VLOOKUP($B49,DATA!$B$7:$AV$679,6,0)</f>
        <v>Bố Trạch</v>
      </c>
      <c r="D49" s="1230">
        <f>VLOOKUP($B49,DATA!$B$7:$AV$679,7,0)</f>
        <v>2019</v>
      </c>
      <c r="E49" s="1230">
        <f>VLOOKUP($B49,DATA!$B$7:$AV$679,9,0)</f>
        <v>2021</v>
      </c>
      <c r="F49" s="1216" t="str">
        <f>VLOOKUP($B49,DATA!$B$7:$AV$679,12,0)</f>
        <v>3743/QĐ-UBND ngày 30/10/2018</v>
      </c>
      <c r="G49" s="1217">
        <f>VLOOKUP($B49,DATA!$B$7:$AV$679,13,0)</f>
        <v>3200</v>
      </c>
      <c r="H49" s="1217">
        <f>VLOOKUP($B49,DATA!$B$7:$AV$679,15,0)</f>
        <v>1800</v>
      </c>
      <c r="I49" s="1217">
        <f>VLOOKUP($B49,DATA!$B$7:$AV$679,29,0)</f>
        <v>900</v>
      </c>
      <c r="J49" s="1217">
        <f>VLOOKUP($B49,DATA!$B$7:$AV$679,29,0)</f>
        <v>900</v>
      </c>
      <c r="K49" s="1217">
        <f>VLOOKUP($B49,DATA!$B$7:$BA$679,50,0)</f>
        <v>0</v>
      </c>
      <c r="L49" s="1217">
        <f>VLOOKUP($B49,DATA!$B$7:$AV$679,36,0)</f>
        <v>0</v>
      </c>
      <c r="M49" s="1217">
        <f t="shared" si="14"/>
        <v>1080</v>
      </c>
      <c r="N49" s="38"/>
      <c r="O49" s="1564">
        <v>1080</v>
      </c>
      <c r="P49" s="1564">
        <v>1080</v>
      </c>
      <c r="Q49" s="1564"/>
      <c r="R49" s="1564"/>
      <c r="S49" s="1564">
        <v>1080</v>
      </c>
      <c r="T49" s="1566">
        <f t="shared" si="15"/>
        <v>1080</v>
      </c>
      <c r="U49" s="1566">
        <f t="shared" si="16"/>
        <v>1080</v>
      </c>
      <c r="V49" s="1564">
        <f t="shared" ref="V49:V78" si="17">H49-U49</f>
        <v>720</v>
      </c>
      <c r="W49" s="1218"/>
    </row>
    <row r="50" spans="1:23" ht="56.25" customHeight="1">
      <c r="A50" s="500">
        <v>39</v>
      </c>
      <c r="B50" s="310" t="s">
        <v>1016</v>
      </c>
      <c r="C50" s="1216" t="str">
        <f>VLOOKUP($B50,DATA!$B$7:$AV$679,6,0)</f>
        <v>Bố Trạch</v>
      </c>
      <c r="D50" s="1230">
        <f>VLOOKUP($B50,DATA!$B$7:$AV$679,7,0)</f>
        <v>2019</v>
      </c>
      <c r="E50" s="1230">
        <f>VLOOKUP($B50,DATA!$B$7:$AV$679,9,0)</f>
        <v>2021</v>
      </c>
      <c r="F50" s="1216" t="str">
        <f>VLOOKUP($B50,DATA!$B$7:$AV$679,12,0)</f>
        <v>3819/QĐ-UBND ngày 31/10/2018</v>
      </c>
      <c r="G50" s="1217">
        <f>VLOOKUP($B50,DATA!$B$7:$AV$679,13,0)</f>
        <v>3000</v>
      </c>
      <c r="H50" s="1217">
        <f>VLOOKUP($B50,DATA!$B$7:$AV$679,15,0)</f>
        <v>1800</v>
      </c>
      <c r="I50" s="1217">
        <f>VLOOKUP($B50,DATA!$B$7:$AV$679,29,0)</f>
        <v>900</v>
      </c>
      <c r="J50" s="1217">
        <f>VLOOKUP($B50,DATA!$B$7:$AV$679,29,0)</f>
        <v>900</v>
      </c>
      <c r="K50" s="1217">
        <f>VLOOKUP($B50,DATA!$B$7:$BA$679,50,0)</f>
        <v>500</v>
      </c>
      <c r="L50" s="1217">
        <f>VLOOKUP($B50,DATA!$B$7:$AV$679,36,0)</f>
        <v>0</v>
      </c>
      <c r="M50" s="1217">
        <f t="shared" si="14"/>
        <v>1080</v>
      </c>
      <c r="N50" s="38"/>
      <c r="O50" s="1564">
        <v>1580</v>
      </c>
      <c r="P50" s="1564">
        <v>1080</v>
      </c>
      <c r="Q50" s="1564">
        <v>500</v>
      </c>
      <c r="R50" s="1564"/>
      <c r="S50" s="1564">
        <v>1080</v>
      </c>
      <c r="T50" s="1566">
        <f t="shared" si="15"/>
        <v>1580</v>
      </c>
      <c r="U50" s="1566">
        <f t="shared" si="16"/>
        <v>1080</v>
      </c>
      <c r="V50" s="1564">
        <f t="shared" si="17"/>
        <v>720</v>
      </c>
      <c r="W50" s="1218"/>
    </row>
    <row r="51" spans="1:23" ht="56.25" customHeight="1">
      <c r="A51" s="500">
        <v>40</v>
      </c>
      <c r="B51" s="1214" t="s">
        <v>1032</v>
      </c>
      <c r="C51" s="1216" t="str">
        <f>VLOOKUP($B51,DATA!$B$7:$AV$679,6,0)</f>
        <v>Quảng Ninh</v>
      </c>
      <c r="D51" s="1230">
        <f>VLOOKUP($B51,DATA!$B$7:$AV$679,7,0)</f>
        <v>2019</v>
      </c>
      <c r="E51" s="1230">
        <f>VLOOKUP($B51,DATA!$B$7:$AV$679,9,0)</f>
        <v>2021</v>
      </c>
      <c r="F51" s="1216" t="str">
        <f>VLOOKUP($B51,DATA!$B$7:$AV$679,12,0)</f>
        <v>3811/QĐ-UBND ngày 31/10/2018</v>
      </c>
      <c r="G51" s="1217">
        <f>VLOOKUP($B51,DATA!$B$7:$AV$679,13,0)</f>
        <v>2738</v>
      </c>
      <c r="H51" s="1217">
        <f>VLOOKUP($B51,DATA!$B$7:$AV$679,15,0)</f>
        <v>1800</v>
      </c>
      <c r="I51" s="1217">
        <f>VLOOKUP($B51,DATA!$B$7:$AV$679,29,0)</f>
        <v>900</v>
      </c>
      <c r="J51" s="1217">
        <f>VLOOKUP($B51,DATA!$B$7:$AV$679,29,0)</f>
        <v>900</v>
      </c>
      <c r="K51" s="1217">
        <f>VLOOKUP($B51,DATA!$B$7:$BA$679,50,0)</f>
        <v>500</v>
      </c>
      <c r="L51" s="1217">
        <f>VLOOKUP($B51,DATA!$B$7:$AV$679,36,0)</f>
        <v>0</v>
      </c>
      <c r="M51" s="1217">
        <f t="shared" si="14"/>
        <v>1080</v>
      </c>
      <c r="N51" s="38"/>
      <c r="O51" s="1564">
        <v>1580</v>
      </c>
      <c r="P51" s="1564">
        <v>1080</v>
      </c>
      <c r="Q51" s="1564">
        <v>500</v>
      </c>
      <c r="R51" s="1564"/>
      <c r="S51" s="1564">
        <v>1080</v>
      </c>
      <c r="T51" s="1566">
        <f t="shared" si="15"/>
        <v>1580</v>
      </c>
      <c r="U51" s="1566">
        <f t="shared" si="16"/>
        <v>1080</v>
      </c>
      <c r="V51" s="1564">
        <f t="shared" si="17"/>
        <v>720</v>
      </c>
      <c r="W51" s="1218"/>
    </row>
    <row r="52" spans="1:23" ht="56.25" customHeight="1">
      <c r="A52" s="500">
        <v>41</v>
      </c>
      <c r="B52" s="310" t="s">
        <v>985</v>
      </c>
      <c r="C52" s="1216" t="str">
        <f>VLOOKUP($B52,DATA!$B$7:$AV$679,6,0)</f>
        <v>Quảng Trạch</v>
      </c>
      <c r="D52" s="1230">
        <f>VLOOKUP($B52,DATA!$B$7:$AV$679,7,0)</f>
        <v>2019</v>
      </c>
      <c r="E52" s="1230">
        <f>VLOOKUP($B52,DATA!$B$7:$AV$679,9,0)</f>
        <v>2021</v>
      </c>
      <c r="F52" s="1216" t="str">
        <f>VLOOKUP($B52,DATA!$B$7:$AV$679,12,0)</f>
        <v>3808/QĐ-UBND ngày 31/10/2018</v>
      </c>
      <c r="G52" s="1217">
        <f>VLOOKUP($B52,DATA!$B$7:$AV$679,13,0)</f>
        <v>3289</v>
      </c>
      <c r="H52" s="1217">
        <f>VLOOKUP($B52,DATA!$B$7:$AV$679,15,0)</f>
        <v>1980</v>
      </c>
      <c r="I52" s="1217">
        <f>VLOOKUP($B52,DATA!$B$7:$AV$679,29,0)</f>
        <v>990</v>
      </c>
      <c r="J52" s="1217">
        <f>VLOOKUP($B52,DATA!$B$7:$AV$679,29,0)</f>
        <v>990</v>
      </c>
      <c r="K52" s="1217">
        <f>VLOOKUP($B52,DATA!$B$7:$BA$679,50,0)</f>
        <v>1000</v>
      </c>
      <c r="L52" s="1217">
        <f>VLOOKUP($B52,DATA!$B$7:$AV$679,36,0)</f>
        <v>0</v>
      </c>
      <c r="M52" s="1217">
        <f t="shared" si="14"/>
        <v>1188</v>
      </c>
      <c r="N52" s="38"/>
      <c r="O52" s="1564">
        <v>2188</v>
      </c>
      <c r="P52" s="1564">
        <v>1188</v>
      </c>
      <c r="Q52" s="1564">
        <v>1000</v>
      </c>
      <c r="R52" s="1564"/>
      <c r="S52" s="1564">
        <v>1188</v>
      </c>
      <c r="T52" s="1566">
        <f t="shared" si="15"/>
        <v>2188</v>
      </c>
      <c r="U52" s="1566">
        <f t="shared" si="16"/>
        <v>1188</v>
      </c>
      <c r="V52" s="1564">
        <f t="shared" si="17"/>
        <v>792</v>
      </c>
      <c r="W52" s="1218"/>
    </row>
    <row r="53" spans="1:23" ht="56.25" customHeight="1">
      <c r="A53" s="500">
        <v>42</v>
      </c>
      <c r="B53" s="310" t="s">
        <v>969</v>
      </c>
      <c r="C53" s="1216" t="str">
        <f>VLOOKUP($B53,DATA!$B$7:$AV$679,6,0)</f>
        <v>Ba Đồn</v>
      </c>
      <c r="D53" s="1230">
        <f>VLOOKUP($B53,DATA!$B$7:$AV$679,7,0)</f>
        <v>2019</v>
      </c>
      <c r="E53" s="1230">
        <f>VLOOKUP($B53,DATA!$B$7:$AV$679,9,0)</f>
        <v>2021</v>
      </c>
      <c r="F53" s="1216" t="str">
        <f>VLOOKUP($B53,DATA!$B$7:$AV$679,12,0)</f>
        <v>3779/QĐ-UBND ngày 31/10/2018</v>
      </c>
      <c r="G53" s="1217">
        <f>VLOOKUP($B53,DATA!$B$7:$AV$679,13,0)</f>
        <v>3427</v>
      </c>
      <c r="H53" s="1217">
        <f>VLOOKUP($B53,DATA!$B$7:$AV$679,15,0)</f>
        <v>2100</v>
      </c>
      <c r="I53" s="1217">
        <f>VLOOKUP($B53,DATA!$B$7:$AV$679,29,0)</f>
        <v>1050</v>
      </c>
      <c r="J53" s="1217">
        <f>VLOOKUP($B53,DATA!$B$7:$AV$679,29,0)</f>
        <v>1050</v>
      </c>
      <c r="K53" s="1217">
        <f>VLOOKUP($B53,DATA!$B$7:$BA$679,50,0)</f>
        <v>1050</v>
      </c>
      <c r="L53" s="1217">
        <f>VLOOKUP($B53,DATA!$B$7:$AV$679,36,0)</f>
        <v>0</v>
      </c>
      <c r="M53" s="1217">
        <f t="shared" si="14"/>
        <v>1260</v>
      </c>
      <c r="N53" s="38"/>
      <c r="O53" s="1564">
        <v>2310</v>
      </c>
      <c r="P53" s="1564">
        <v>1260</v>
      </c>
      <c r="Q53" s="1564">
        <v>1050</v>
      </c>
      <c r="R53" s="1564"/>
      <c r="S53" s="1564">
        <v>1260</v>
      </c>
      <c r="T53" s="1566">
        <f t="shared" si="15"/>
        <v>2310</v>
      </c>
      <c r="U53" s="1566">
        <f t="shared" si="16"/>
        <v>1260</v>
      </c>
      <c r="V53" s="1564">
        <f t="shared" si="17"/>
        <v>840</v>
      </c>
      <c r="W53" s="1218"/>
    </row>
    <row r="54" spans="1:23" ht="56.25" customHeight="1">
      <c r="A54" s="500">
        <v>43</v>
      </c>
      <c r="B54" s="310" t="s">
        <v>1014</v>
      </c>
      <c r="C54" s="1216" t="str">
        <f>VLOOKUP($B54,DATA!$B$7:$AV$679,6,0)</f>
        <v>Bố Trạch</v>
      </c>
      <c r="D54" s="1230">
        <f>VLOOKUP($B54,DATA!$B$7:$AV$679,7,0)</f>
        <v>2019</v>
      </c>
      <c r="E54" s="1230">
        <f>VLOOKUP($B54,DATA!$B$7:$AV$679,9,0)</f>
        <v>2021</v>
      </c>
      <c r="F54" s="1216" t="str">
        <f>VLOOKUP($B54,DATA!$B$7:$AV$679,12,0)</f>
        <v>3820/QĐ-UBND ngày 31/10/2018</v>
      </c>
      <c r="G54" s="1217">
        <f>VLOOKUP($B54,DATA!$B$7:$AV$679,13,0)</f>
        <v>3424</v>
      </c>
      <c r="H54" s="1217">
        <f>VLOOKUP($B54,DATA!$B$7:$AV$679,15,0)</f>
        <v>2100</v>
      </c>
      <c r="I54" s="1217">
        <f>VLOOKUP($B54,DATA!$B$7:$AV$679,29,0)</f>
        <v>1050</v>
      </c>
      <c r="J54" s="1217">
        <f>VLOOKUP($B54,DATA!$B$7:$AV$679,29,0)</f>
        <v>1050</v>
      </c>
      <c r="K54" s="1217">
        <f>VLOOKUP($B54,DATA!$B$7:$BA$679,50,0)</f>
        <v>0</v>
      </c>
      <c r="L54" s="1217">
        <f>VLOOKUP($B54,DATA!$B$7:$AV$679,36,0)</f>
        <v>0</v>
      </c>
      <c r="M54" s="1217">
        <f t="shared" si="14"/>
        <v>1260</v>
      </c>
      <c r="N54" s="38"/>
      <c r="O54" s="1564">
        <v>1260</v>
      </c>
      <c r="P54" s="1564">
        <v>1260</v>
      </c>
      <c r="Q54" s="1564"/>
      <c r="R54" s="1564"/>
      <c r="S54" s="1564">
        <v>1260</v>
      </c>
      <c r="T54" s="1566">
        <f t="shared" si="15"/>
        <v>1260</v>
      </c>
      <c r="U54" s="1566">
        <f t="shared" si="16"/>
        <v>1260</v>
      </c>
      <c r="V54" s="1564">
        <f t="shared" si="17"/>
        <v>840</v>
      </c>
      <c r="W54" s="1218"/>
    </row>
    <row r="55" spans="1:23" ht="56.25" customHeight="1">
      <c r="A55" s="500">
        <v>44</v>
      </c>
      <c r="B55" s="1214" t="s">
        <v>1037</v>
      </c>
      <c r="C55" s="1216" t="str">
        <f>VLOOKUP($B55,DATA!$B$7:$AV$679,6,0)</f>
        <v>Quảng Ninh</v>
      </c>
      <c r="D55" s="1230">
        <f>VLOOKUP($B55,DATA!$B$7:$AV$679,7,0)</f>
        <v>2019</v>
      </c>
      <c r="E55" s="1230">
        <f>VLOOKUP($B55,DATA!$B$7:$AV$679,9,0)</f>
        <v>2021</v>
      </c>
      <c r="F55" s="1216" t="str">
        <f>VLOOKUP($B55,DATA!$B$7:$AV$679,12,0)</f>
        <v>3809/QĐ-UBND ngày 31/10/2018</v>
      </c>
      <c r="G55" s="1217">
        <f>VLOOKUP($B55,DATA!$B$7:$AV$679,13,0)</f>
        <v>3703</v>
      </c>
      <c r="H55" s="1217">
        <f>VLOOKUP($B55,DATA!$B$7:$AV$679,15,0)</f>
        <v>2400</v>
      </c>
      <c r="I55" s="1217">
        <f>VLOOKUP($B55,DATA!$B$7:$AV$679,29,0)</f>
        <v>1200</v>
      </c>
      <c r="J55" s="1217">
        <f>VLOOKUP($B55,DATA!$B$7:$AV$679,29,0)</f>
        <v>1200</v>
      </c>
      <c r="K55" s="1217">
        <f>VLOOKUP($B55,DATA!$B$7:$BA$679,50,0)</f>
        <v>1200</v>
      </c>
      <c r="L55" s="1217">
        <f>VLOOKUP($B55,DATA!$B$7:$AV$679,36,0)</f>
        <v>0</v>
      </c>
      <c r="M55" s="1217">
        <f t="shared" si="14"/>
        <v>1440</v>
      </c>
      <c r="N55" s="38"/>
      <c r="O55" s="1564">
        <v>2640</v>
      </c>
      <c r="P55" s="1564">
        <v>1440</v>
      </c>
      <c r="Q55" s="1564">
        <v>1200</v>
      </c>
      <c r="R55" s="1564"/>
      <c r="S55" s="1564">
        <v>1440</v>
      </c>
      <c r="T55" s="1566">
        <f t="shared" si="15"/>
        <v>2640</v>
      </c>
      <c r="U55" s="1566">
        <f t="shared" si="16"/>
        <v>1440</v>
      </c>
      <c r="V55" s="1564">
        <f t="shared" si="17"/>
        <v>960</v>
      </c>
      <c r="W55" s="1218"/>
    </row>
    <row r="56" spans="1:23" ht="56.25" customHeight="1">
      <c r="A56" s="500">
        <v>45</v>
      </c>
      <c r="B56" s="1214" t="s">
        <v>2540</v>
      </c>
      <c r="C56" s="1216" t="str">
        <f>VLOOKUP($B56,DATA!$B$7:$AV$679,6,0)</f>
        <v>Quảng Ninh</v>
      </c>
      <c r="D56" s="1230">
        <f>VLOOKUP($B56,DATA!$B$7:$AV$679,7,0)</f>
        <v>2019</v>
      </c>
      <c r="E56" s="1230">
        <f>VLOOKUP($B56,DATA!$B$7:$AV$679,9,0)</f>
        <v>2021</v>
      </c>
      <c r="F56" s="1216" t="str">
        <f>VLOOKUP($B56,DATA!$B$7:$AV$679,12,0)</f>
        <v>3879a/QĐ-UBND ngày 31/10/2018</v>
      </c>
      <c r="G56" s="1217">
        <f>VLOOKUP($B56,DATA!$B$7:$AV$679,13,0)</f>
        <v>3717</v>
      </c>
      <c r="H56" s="1217">
        <f>VLOOKUP($B56,DATA!$B$7:$AV$679,15,0)</f>
        <v>2400</v>
      </c>
      <c r="I56" s="1217">
        <f>VLOOKUP($B56,DATA!$B$7:$AV$679,29,0)</f>
        <v>1200</v>
      </c>
      <c r="J56" s="1217">
        <f>VLOOKUP($B56,DATA!$B$7:$AV$679,29,0)</f>
        <v>1200</v>
      </c>
      <c r="K56" s="1217">
        <f>VLOOKUP($B56,DATA!$B$7:$BA$679,50,0)</f>
        <v>1200</v>
      </c>
      <c r="L56" s="1217">
        <f>VLOOKUP($B56,DATA!$B$7:$AV$679,36,0)</f>
        <v>0</v>
      </c>
      <c r="M56" s="1217">
        <f t="shared" si="14"/>
        <v>1440</v>
      </c>
      <c r="N56" s="38"/>
      <c r="O56" s="1564">
        <v>2640</v>
      </c>
      <c r="P56" s="1564">
        <v>1440</v>
      </c>
      <c r="Q56" s="1564">
        <v>1200</v>
      </c>
      <c r="R56" s="1564"/>
      <c r="S56" s="1564">
        <v>1440</v>
      </c>
      <c r="T56" s="1566">
        <f t="shared" si="15"/>
        <v>2640</v>
      </c>
      <c r="U56" s="1566">
        <f t="shared" si="16"/>
        <v>1440</v>
      </c>
      <c r="V56" s="1564">
        <f t="shared" si="17"/>
        <v>960</v>
      </c>
      <c r="W56" s="1218"/>
    </row>
    <row r="57" spans="1:23" ht="56.25" customHeight="1">
      <c r="A57" s="500">
        <v>46</v>
      </c>
      <c r="B57" s="310" t="s">
        <v>952</v>
      </c>
      <c r="C57" s="1216" t="str">
        <f>VLOOKUP($B57,DATA!$B$7:$AV$679,6,0)</f>
        <v>Quảng Ninh</v>
      </c>
      <c r="D57" s="1230">
        <f>VLOOKUP($B57,DATA!$B$7:$AV$679,7,0)</f>
        <v>2019</v>
      </c>
      <c r="E57" s="1230">
        <f>VLOOKUP($B57,DATA!$B$7:$AV$679,9,0)</f>
        <v>2021</v>
      </c>
      <c r="F57" s="1216" t="str">
        <f>VLOOKUP($B57,DATA!$B$7:$AV$679,12,0)</f>
        <v>3800/QĐ-UBND ngày 31/10/2018</v>
      </c>
      <c r="G57" s="1217">
        <f>VLOOKUP($B57,DATA!$B$7:$AV$679,13,0)</f>
        <v>4192</v>
      </c>
      <c r="H57" s="1217">
        <f>VLOOKUP($B57,DATA!$B$7:$AV$679,15,0)</f>
        <v>2520</v>
      </c>
      <c r="I57" s="1217">
        <f>VLOOKUP($B57,DATA!$B$7:$AV$679,29,0)</f>
        <v>1260</v>
      </c>
      <c r="J57" s="1217">
        <f>VLOOKUP($B57,DATA!$B$7:$AV$679,29,0)</f>
        <v>1260</v>
      </c>
      <c r="K57" s="1217">
        <f>VLOOKUP($B57,DATA!$B$7:$BA$679,50,0)</f>
        <v>0</v>
      </c>
      <c r="L57" s="1217">
        <f>VLOOKUP($B57,DATA!$B$7:$AV$679,36,0)</f>
        <v>0</v>
      </c>
      <c r="M57" s="1217">
        <f t="shared" si="14"/>
        <v>1512</v>
      </c>
      <c r="N57" s="38"/>
      <c r="O57" s="1564">
        <v>1512</v>
      </c>
      <c r="P57" s="1564">
        <v>1512</v>
      </c>
      <c r="Q57" s="1564"/>
      <c r="R57" s="1564"/>
      <c r="S57" s="1564">
        <v>1512</v>
      </c>
      <c r="T57" s="1566">
        <f t="shared" si="15"/>
        <v>1512</v>
      </c>
      <c r="U57" s="1566">
        <f t="shared" si="16"/>
        <v>1512</v>
      </c>
      <c r="V57" s="1564">
        <f t="shared" si="17"/>
        <v>1008</v>
      </c>
      <c r="W57" s="1218"/>
    </row>
    <row r="58" spans="1:23" ht="56.25" customHeight="1">
      <c r="A58" s="500">
        <v>47</v>
      </c>
      <c r="B58" s="310" t="s">
        <v>988</v>
      </c>
      <c r="C58" s="1216" t="str">
        <f>VLOOKUP($B58,DATA!$B$7:$AV$679,6,0)</f>
        <v>Quảng Trạch</v>
      </c>
      <c r="D58" s="1230">
        <f>VLOOKUP($B58,DATA!$B$7:$AV$679,7,0)</f>
        <v>2019</v>
      </c>
      <c r="E58" s="1230">
        <f>VLOOKUP($B58,DATA!$B$7:$AV$679,9,0)</f>
        <v>2021</v>
      </c>
      <c r="F58" s="1216" t="str">
        <f>VLOOKUP($B58,DATA!$B$7:$AV$679,12,0)</f>
        <v>3709/QĐ-UBND ngày 30/10/2018</v>
      </c>
      <c r="G58" s="1217">
        <f>VLOOKUP($B58,DATA!$B$7:$AV$679,13,0)</f>
        <v>4500</v>
      </c>
      <c r="H58" s="1217">
        <f>VLOOKUP($B58,DATA!$B$7:$AV$679,15,0)</f>
        <v>2700</v>
      </c>
      <c r="I58" s="1217">
        <f>VLOOKUP($B58,DATA!$B$7:$AV$679,29,0)</f>
        <v>1350</v>
      </c>
      <c r="J58" s="1217">
        <f>VLOOKUP($B58,DATA!$B$7:$AV$679,29,0)</f>
        <v>1350</v>
      </c>
      <c r="K58" s="1217">
        <f>VLOOKUP($B58,DATA!$B$7:$BA$679,50,0)</f>
        <v>900</v>
      </c>
      <c r="L58" s="1217">
        <f>VLOOKUP($B58,DATA!$B$7:$AV$679,36,0)</f>
        <v>0</v>
      </c>
      <c r="M58" s="1217">
        <f t="shared" si="14"/>
        <v>1620</v>
      </c>
      <c r="N58" s="38"/>
      <c r="O58" s="1564">
        <v>2520</v>
      </c>
      <c r="P58" s="1564">
        <v>1620</v>
      </c>
      <c r="Q58" s="1564">
        <v>900</v>
      </c>
      <c r="R58" s="1564"/>
      <c r="S58" s="1564">
        <v>1620</v>
      </c>
      <c r="T58" s="1566">
        <f t="shared" si="15"/>
        <v>2520</v>
      </c>
      <c r="U58" s="1566">
        <f t="shared" si="16"/>
        <v>1620</v>
      </c>
      <c r="V58" s="1564">
        <f t="shared" si="17"/>
        <v>1080</v>
      </c>
      <c r="W58" s="1218"/>
    </row>
    <row r="59" spans="1:23" ht="56.25" customHeight="1">
      <c r="A59" s="500">
        <v>48</v>
      </c>
      <c r="B59" s="310" t="s">
        <v>962</v>
      </c>
      <c r="C59" s="1216" t="str">
        <f>VLOOKUP($B59,DATA!$B$7:$AV$679,6,0)</f>
        <v>Ba Đồn</v>
      </c>
      <c r="D59" s="1230">
        <f>VLOOKUP($B59,DATA!$B$7:$AV$679,7,0)</f>
        <v>2019</v>
      </c>
      <c r="E59" s="1230">
        <f>VLOOKUP($B59,DATA!$B$7:$AV$679,9,0)</f>
        <v>2021</v>
      </c>
      <c r="F59" s="1216" t="str">
        <f>VLOOKUP($B59,DATA!$B$7:$AV$679,12,0)</f>
        <v>3772/QĐ-UBND ngày 31/10/2018</v>
      </c>
      <c r="G59" s="1217">
        <f>VLOOKUP($B59,DATA!$B$7:$AV$679,13,0)</f>
        <v>4401</v>
      </c>
      <c r="H59" s="1217">
        <f>VLOOKUP($B59,DATA!$B$7:$AV$679,15,0)</f>
        <v>2700</v>
      </c>
      <c r="I59" s="1217">
        <f>VLOOKUP($B59,DATA!$B$7:$AV$679,29,0)</f>
        <v>1350</v>
      </c>
      <c r="J59" s="1217">
        <f>VLOOKUP($B59,DATA!$B$7:$AV$679,29,0)</f>
        <v>1350</v>
      </c>
      <c r="K59" s="1217">
        <f>VLOOKUP($B59,DATA!$B$7:$BA$679,50,0)</f>
        <v>1350</v>
      </c>
      <c r="L59" s="1217">
        <f>VLOOKUP($B59,DATA!$B$7:$AV$679,36,0)</f>
        <v>0</v>
      </c>
      <c r="M59" s="1217">
        <f t="shared" si="14"/>
        <v>1620</v>
      </c>
      <c r="N59" s="38"/>
      <c r="O59" s="1564">
        <v>2970</v>
      </c>
      <c r="P59" s="1564">
        <v>1620</v>
      </c>
      <c r="Q59" s="1564">
        <v>1350</v>
      </c>
      <c r="R59" s="1564"/>
      <c r="S59" s="1564">
        <v>1620</v>
      </c>
      <c r="T59" s="1566">
        <f t="shared" si="15"/>
        <v>2970</v>
      </c>
      <c r="U59" s="1566">
        <f t="shared" si="16"/>
        <v>1620</v>
      </c>
      <c r="V59" s="1564">
        <f t="shared" si="17"/>
        <v>1080</v>
      </c>
      <c r="W59" s="1218"/>
    </row>
    <row r="60" spans="1:23" ht="56.25" customHeight="1">
      <c r="A60" s="500">
        <v>49</v>
      </c>
      <c r="B60" s="310" t="s">
        <v>991</v>
      </c>
      <c r="C60" s="1216" t="str">
        <f>VLOOKUP($B60,DATA!$B$7:$AV$679,6,0)</f>
        <v>Quảng Trạch</v>
      </c>
      <c r="D60" s="1230">
        <f>VLOOKUP($B60,DATA!$B$7:$AV$679,7,0)</f>
        <v>2019</v>
      </c>
      <c r="E60" s="1230">
        <f>VLOOKUP($B60,DATA!$B$7:$AV$679,9,0)</f>
        <v>2021</v>
      </c>
      <c r="F60" s="1216" t="str">
        <f>VLOOKUP($B60,DATA!$B$7:$AV$679,12,0)</f>
        <v>3782/QĐ-UBND ngày 31/10/2018</v>
      </c>
      <c r="G60" s="1217">
        <f>VLOOKUP($B60,DATA!$B$7:$AV$679,13,0)</f>
        <v>4500</v>
      </c>
      <c r="H60" s="1217">
        <f>VLOOKUP($B60,DATA!$B$7:$AV$679,15,0)</f>
        <v>2700</v>
      </c>
      <c r="I60" s="1217">
        <f>VLOOKUP($B60,DATA!$B$7:$AV$679,29,0)</f>
        <v>1350</v>
      </c>
      <c r="J60" s="1217">
        <f>VLOOKUP($B60,DATA!$B$7:$AV$679,29,0)</f>
        <v>1350</v>
      </c>
      <c r="K60" s="1217">
        <f>VLOOKUP($B60,DATA!$B$7:$BA$679,50,0)</f>
        <v>900</v>
      </c>
      <c r="L60" s="1217">
        <f>VLOOKUP($B60,DATA!$B$7:$AV$679,36,0)</f>
        <v>0</v>
      </c>
      <c r="M60" s="1217">
        <f t="shared" si="14"/>
        <v>1620</v>
      </c>
      <c r="N60" s="38"/>
      <c r="O60" s="1564">
        <v>2520</v>
      </c>
      <c r="P60" s="1564">
        <v>1620</v>
      </c>
      <c r="Q60" s="1564">
        <v>900</v>
      </c>
      <c r="R60" s="1564"/>
      <c r="S60" s="1564">
        <v>1620</v>
      </c>
      <c r="T60" s="1566">
        <f t="shared" si="15"/>
        <v>2520</v>
      </c>
      <c r="U60" s="1566">
        <f t="shared" si="16"/>
        <v>1620</v>
      </c>
      <c r="V60" s="1564">
        <f t="shared" si="17"/>
        <v>1080</v>
      </c>
      <c r="W60" s="1218"/>
    </row>
    <row r="61" spans="1:23" ht="56.25" customHeight="1">
      <c r="A61" s="500">
        <v>50</v>
      </c>
      <c r="B61" s="310" t="s">
        <v>2004</v>
      </c>
      <c r="C61" s="1216" t="str">
        <f>VLOOKUP($B61,DATA!$B$7:$AV$679,6,0)</f>
        <v>Bố Trạch</v>
      </c>
      <c r="D61" s="1230">
        <f>VLOOKUP($B61,DATA!$B$7:$AV$679,7,0)</f>
        <v>2019</v>
      </c>
      <c r="E61" s="1230">
        <f>VLOOKUP($B61,DATA!$B$7:$AV$679,9,0)</f>
        <v>2021</v>
      </c>
      <c r="F61" s="1216" t="str">
        <f>VLOOKUP($B61,DATA!$B$7:$AV$679,12,0)</f>
        <v>3874/QĐ-UBND ngày 31/10/2018</v>
      </c>
      <c r="G61" s="1217">
        <f>VLOOKUP($B61,DATA!$B$7:$AV$679,13,0)</f>
        <v>4500</v>
      </c>
      <c r="H61" s="1217">
        <f>VLOOKUP($B61,DATA!$B$7:$AV$679,15,0)</f>
        <v>2700</v>
      </c>
      <c r="I61" s="1217">
        <f>VLOOKUP($B61,DATA!$B$7:$AV$679,29,0)</f>
        <v>1350</v>
      </c>
      <c r="J61" s="1217">
        <f>VLOOKUP($B61,DATA!$B$7:$AV$679,29,0)</f>
        <v>1350</v>
      </c>
      <c r="K61" s="1217">
        <f>VLOOKUP($B61,DATA!$B$7:$BA$679,50,0)</f>
        <v>1376</v>
      </c>
      <c r="L61" s="1217">
        <f>VLOOKUP($B61,DATA!$B$7:$AV$679,36,0)</f>
        <v>0</v>
      </c>
      <c r="M61" s="1217">
        <f t="shared" si="14"/>
        <v>1620</v>
      </c>
      <c r="N61" s="38"/>
      <c r="O61" s="1564">
        <v>2996</v>
      </c>
      <c r="P61" s="1564">
        <v>1620</v>
      </c>
      <c r="Q61" s="1564">
        <v>1376</v>
      </c>
      <c r="R61" s="1564"/>
      <c r="S61" s="1564">
        <v>1620</v>
      </c>
      <c r="T61" s="1566">
        <f t="shared" si="15"/>
        <v>2996</v>
      </c>
      <c r="U61" s="1566">
        <f t="shared" si="16"/>
        <v>1620</v>
      </c>
      <c r="V61" s="1564">
        <f t="shared" si="17"/>
        <v>1080</v>
      </c>
      <c r="W61" s="1218"/>
    </row>
    <row r="62" spans="1:23" ht="56.25" customHeight="1">
      <c r="A62" s="500">
        <v>51</v>
      </c>
      <c r="B62" s="1214" t="s">
        <v>1028</v>
      </c>
      <c r="C62" s="1216" t="str">
        <f>VLOOKUP($B62,DATA!$B$7:$AV$679,6,0)</f>
        <v>Lệ Thủy</v>
      </c>
      <c r="D62" s="1230">
        <f>VLOOKUP($B62,DATA!$B$7:$AV$679,7,0)</f>
        <v>2019</v>
      </c>
      <c r="E62" s="1230">
        <f>VLOOKUP($B62,DATA!$B$7:$AV$679,9,0)</f>
        <v>2021</v>
      </c>
      <c r="F62" s="1216" t="str">
        <f>VLOOKUP($B62,DATA!$B$7:$AV$679,12,0)</f>
        <v>3812/QĐ-UBND ngày 31/10/2018</v>
      </c>
      <c r="G62" s="1217">
        <f>VLOOKUP($B62,DATA!$B$7:$AV$679,13,0)</f>
        <v>4482</v>
      </c>
      <c r="H62" s="1217">
        <f>VLOOKUP($B62,DATA!$B$7:$AV$679,15,0)</f>
        <v>2700</v>
      </c>
      <c r="I62" s="1217">
        <f>VLOOKUP($B62,DATA!$B$7:$AV$679,29,0)</f>
        <v>1350</v>
      </c>
      <c r="J62" s="1217">
        <f>VLOOKUP($B62,DATA!$B$7:$AV$679,29,0)</f>
        <v>1350</v>
      </c>
      <c r="K62" s="1217">
        <f>VLOOKUP($B62,DATA!$B$7:$BA$679,50,0)</f>
        <v>500</v>
      </c>
      <c r="L62" s="1217">
        <f>VLOOKUP($B62,DATA!$B$7:$AV$679,36,0)</f>
        <v>0</v>
      </c>
      <c r="M62" s="1217">
        <f t="shared" si="14"/>
        <v>1620</v>
      </c>
      <c r="N62" s="38"/>
      <c r="O62" s="1564">
        <v>2120</v>
      </c>
      <c r="P62" s="1564">
        <v>1620</v>
      </c>
      <c r="Q62" s="1564">
        <v>500</v>
      </c>
      <c r="R62" s="1564"/>
      <c r="S62" s="1564">
        <v>1620</v>
      </c>
      <c r="T62" s="1566">
        <f t="shared" si="15"/>
        <v>2120</v>
      </c>
      <c r="U62" s="1566">
        <f t="shared" si="16"/>
        <v>1620</v>
      </c>
      <c r="V62" s="1564">
        <f t="shared" si="17"/>
        <v>1080</v>
      </c>
      <c r="W62" s="1218"/>
    </row>
    <row r="63" spans="1:23" ht="56.25" customHeight="1">
      <c r="A63" s="500">
        <v>52</v>
      </c>
      <c r="B63" s="1214" t="s">
        <v>2541</v>
      </c>
      <c r="C63" s="1216" t="str">
        <f>VLOOKUP($B63,DATA!$B$7:$AV$679,6,0)</f>
        <v>Quảng Ninh</v>
      </c>
      <c r="D63" s="1230">
        <f>VLOOKUP($B63,DATA!$B$7:$AV$679,7,0)</f>
        <v>2019</v>
      </c>
      <c r="E63" s="1230">
        <f>VLOOKUP($B63,DATA!$B$7:$AV$679,9,0)</f>
        <v>2021</v>
      </c>
      <c r="F63" s="1216" t="str">
        <f>VLOOKUP($B63,DATA!$B$7:$AV$679,12,0)</f>
        <v>3866/QĐ-UBND ngày 31/10/2018</v>
      </c>
      <c r="G63" s="1217">
        <f>VLOOKUP($B63,DATA!$B$7:$AV$679,13,0)</f>
        <v>4489</v>
      </c>
      <c r="H63" s="1217">
        <f>VLOOKUP($B63,DATA!$B$7:$AV$679,15,0)</f>
        <v>2700</v>
      </c>
      <c r="I63" s="1217">
        <f>VLOOKUP($B63,DATA!$B$7:$AV$679,29,0)</f>
        <v>1350</v>
      </c>
      <c r="J63" s="1217">
        <f>VLOOKUP($B63,DATA!$B$7:$AV$679,29,0)</f>
        <v>1350</v>
      </c>
      <c r="K63" s="1217">
        <f>VLOOKUP($B63,DATA!$B$7:$BA$679,50,0)</f>
        <v>0</v>
      </c>
      <c r="L63" s="1217">
        <f>VLOOKUP($B63,DATA!$B$7:$AV$679,36,0)</f>
        <v>0</v>
      </c>
      <c r="M63" s="1217">
        <f t="shared" si="14"/>
        <v>1620</v>
      </c>
      <c r="N63" s="38"/>
      <c r="O63" s="1564">
        <v>1620</v>
      </c>
      <c r="P63" s="1564">
        <v>1620</v>
      </c>
      <c r="Q63" s="1564"/>
      <c r="R63" s="1564"/>
      <c r="S63" s="1564">
        <v>1620</v>
      </c>
      <c r="T63" s="1566">
        <f t="shared" si="15"/>
        <v>1620</v>
      </c>
      <c r="U63" s="1566">
        <f t="shared" si="16"/>
        <v>1620</v>
      </c>
      <c r="V63" s="1564">
        <f t="shared" si="17"/>
        <v>1080</v>
      </c>
      <c r="W63" s="1218"/>
    </row>
    <row r="64" spans="1:23" ht="56.25" customHeight="1">
      <c r="A64" s="500">
        <v>53</v>
      </c>
      <c r="B64" s="310" t="s">
        <v>981</v>
      </c>
      <c r="C64" s="1216" t="str">
        <f>VLOOKUP($B64,DATA!$B$7:$AV$679,6,0)</f>
        <v>Quảng Trạch</v>
      </c>
      <c r="D64" s="1230">
        <f>VLOOKUP($B64,DATA!$B$7:$AV$679,7,0)</f>
        <v>2019</v>
      </c>
      <c r="E64" s="1230">
        <f>VLOOKUP($B64,DATA!$B$7:$AV$679,9,0)</f>
        <v>2021</v>
      </c>
      <c r="F64" s="1216" t="str">
        <f>VLOOKUP($B64,DATA!$B$7:$AV$679,12,0)</f>
        <v>3807/QĐ-UBND ngày 31/10/2018</v>
      </c>
      <c r="G64" s="1217">
        <f>VLOOKUP($B64,DATA!$B$7:$AV$679,13,0)</f>
        <v>4600</v>
      </c>
      <c r="H64" s="1217">
        <f>VLOOKUP($B64,DATA!$B$7:$AV$679,15,0)</f>
        <v>2760</v>
      </c>
      <c r="I64" s="1217">
        <f>VLOOKUP($B64,DATA!$B$7:$AV$679,29,0)</f>
        <v>1380</v>
      </c>
      <c r="J64" s="1217">
        <f>VLOOKUP($B64,DATA!$B$7:$AV$679,29,0)</f>
        <v>1380</v>
      </c>
      <c r="K64" s="1217">
        <f>VLOOKUP($B64,DATA!$B$7:$BA$679,50,0)</f>
        <v>1400</v>
      </c>
      <c r="L64" s="1217">
        <f>VLOOKUP($B64,DATA!$B$7:$AV$679,36,0)</f>
        <v>0</v>
      </c>
      <c r="M64" s="1217">
        <f t="shared" si="14"/>
        <v>1656</v>
      </c>
      <c r="N64" s="38"/>
      <c r="O64" s="1564">
        <v>3056</v>
      </c>
      <c r="P64" s="1564">
        <v>1656</v>
      </c>
      <c r="Q64" s="1564">
        <v>1400</v>
      </c>
      <c r="R64" s="1564"/>
      <c r="S64" s="1564">
        <v>1656</v>
      </c>
      <c r="T64" s="1566">
        <f t="shared" si="15"/>
        <v>3056</v>
      </c>
      <c r="U64" s="1566">
        <f t="shared" si="16"/>
        <v>1656</v>
      </c>
      <c r="V64" s="1564">
        <f t="shared" si="17"/>
        <v>1104</v>
      </c>
      <c r="W64" s="1218"/>
    </row>
    <row r="65" spans="1:23" ht="56.25" customHeight="1">
      <c r="A65" s="500">
        <v>54</v>
      </c>
      <c r="B65" s="310" t="s">
        <v>2005</v>
      </c>
      <c r="C65" s="1216" t="str">
        <f>VLOOKUP($B65,DATA!$B$7:$AV$679,6,0)</f>
        <v>Bố Trạch</v>
      </c>
      <c r="D65" s="1230">
        <f>VLOOKUP($B65,DATA!$B$7:$AV$679,7,0)</f>
        <v>2019</v>
      </c>
      <c r="E65" s="1230">
        <f>VLOOKUP($B65,DATA!$B$7:$AV$679,9,0)</f>
        <v>2021</v>
      </c>
      <c r="F65" s="1216" t="str">
        <f>VLOOKUP($B65,DATA!$B$7:$AV$679,12,0)</f>
        <v>3742/QĐ-UBND ngày 30/10/2018</v>
      </c>
      <c r="G65" s="1217">
        <f>VLOOKUP($B65,DATA!$B$7:$AV$679,13,0)</f>
        <v>4508</v>
      </c>
      <c r="H65" s="1217">
        <f>VLOOKUP($B65,DATA!$B$7:$AV$679,15,0)</f>
        <v>2760</v>
      </c>
      <c r="I65" s="1217">
        <f>VLOOKUP($B65,DATA!$B$7:$AV$679,29,0)</f>
        <v>1380</v>
      </c>
      <c r="J65" s="1217">
        <f>VLOOKUP($B65,DATA!$B$7:$AV$679,29,0)</f>
        <v>1380</v>
      </c>
      <c r="K65" s="1217">
        <f>VLOOKUP($B65,DATA!$B$7:$BA$679,50,0)</f>
        <v>0</v>
      </c>
      <c r="L65" s="1217">
        <f>VLOOKUP($B65,DATA!$B$7:$AV$679,36,0)</f>
        <v>0</v>
      </c>
      <c r="M65" s="1217">
        <f t="shared" si="14"/>
        <v>1656</v>
      </c>
      <c r="N65" s="38"/>
      <c r="O65" s="1564">
        <v>1656</v>
      </c>
      <c r="P65" s="1564">
        <v>1656</v>
      </c>
      <c r="Q65" s="1564"/>
      <c r="R65" s="1564"/>
      <c r="S65" s="1564">
        <v>1656</v>
      </c>
      <c r="T65" s="1566">
        <f t="shared" si="15"/>
        <v>1656</v>
      </c>
      <c r="U65" s="1566">
        <f t="shared" si="16"/>
        <v>1656</v>
      </c>
      <c r="V65" s="1564">
        <f t="shared" si="17"/>
        <v>1104</v>
      </c>
      <c r="W65" s="1218"/>
    </row>
    <row r="66" spans="1:23" ht="56.25" customHeight="1">
      <c r="A66" s="500">
        <v>55</v>
      </c>
      <c r="B66" s="310" t="s">
        <v>2006</v>
      </c>
      <c r="C66" s="1216" t="str">
        <f>VLOOKUP($B66,DATA!$B$7:$AV$679,6,0)</f>
        <v>Bố Trạch</v>
      </c>
      <c r="D66" s="1230">
        <f>VLOOKUP($B66,DATA!$B$7:$AV$679,7,0)</f>
        <v>2019</v>
      </c>
      <c r="E66" s="1230">
        <f>VLOOKUP($B66,DATA!$B$7:$AV$679,9,0)</f>
        <v>2021</v>
      </c>
      <c r="F66" s="1216" t="str">
        <f>VLOOKUP($B66,DATA!$B$7:$AV$679,12,0)</f>
        <v>3798/QĐ-UBND ngày 31/10/2018</v>
      </c>
      <c r="G66" s="1217">
        <f>VLOOKUP($B66,DATA!$B$7:$AV$679,13,0)</f>
        <v>4800</v>
      </c>
      <c r="H66" s="1217">
        <f>VLOOKUP($B66,DATA!$B$7:$AV$679,15,0)</f>
        <v>2880</v>
      </c>
      <c r="I66" s="1217">
        <f>VLOOKUP($B66,DATA!$B$7:$AV$679,29,0)</f>
        <v>1440</v>
      </c>
      <c r="J66" s="1217">
        <f>VLOOKUP($B66,DATA!$B$7:$AV$679,29,0)</f>
        <v>1440</v>
      </c>
      <c r="K66" s="1217">
        <f>VLOOKUP($B66,DATA!$B$7:$BA$679,50,0)</f>
        <v>0</v>
      </c>
      <c r="L66" s="1217">
        <f>VLOOKUP($B66,DATA!$B$7:$AV$679,36,0)</f>
        <v>0</v>
      </c>
      <c r="M66" s="1217">
        <f t="shared" si="14"/>
        <v>1728</v>
      </c>
      <c r="N66" s="38"/>
      <c r="O66" s="1564">
        <v>1728</v>
      </c>
      <c r="P66" s="1564">
        <v>1728</v>
      </c>
      <c r="Q66" s="1564"/>
      <c r="R66" s="1564"/>
      <c r="S66" s="1564">
        <v>1728</v>
      </c>
      <c r="T66" s="1566">
        <f t="shared" si="15"/>
        <v>1728</v>
      </c>
      <c r="U66" s="1566">
        <f t="shared" si="16"/>
        <v>1728</v>
      </c>
      <c r="V66" s="1564">
        <f t="shared" si="17"/>
        <v>1152</v>
      </c>
      <c r="W66" s="1218"/>
    </row>
    <row r="67" spans="1:23" ht="56.25" customHeight="1">
      <c r="A67" s="500">
        <v>56</v>
      </c>
      <c r="B67" s="1214" t="s">
        <v>2510</v>
      </c>
      <c r="C67" s="1216" t="str">
        <f>VLOOKUP($B67,DATA!$B$7:$AV$679,6,0)</f>
        <v>Quảng Ninh</v>
      </c>
      <c r="D67" s="1230">
        <f>VLOOKUP($B67,DATA!$B$7:$AV$679,7,0)</f>
        <v>2019</v>
      </c>
      <c r="E67" s="1230">
        <f>VLOOKUP($B67,DATA!$B$7:$AV$679,9,0)</f>
        <v>2021</v>
      </c>
      <c r="F67" s="1216" t="str">
        <f>VLOOKUP($B67,DATA!$B$7:$AV$679,12,0)</f>
        <v>3860/QĐ-UBND ngày 31/10/2018</v>
      </c>
      <c r="G67" s="1217">
        <f>VLOOKUP($B67,DATA!$B$7:$AV$679,13,0)</f>
        <v>4800</v>
      </c>
      <c r="H67" s="1217">
        <f>VLOOKUP($B67,DATA!$B$7:$AV$679,15,0)</f>
        <v>2880</v>
      </c>
      <c r="I67" s="1217">
        <f>VLOOKUP($B67,DATA!$B$7:$AV$679,29,0)</f>
        <v>1440</v>
      </c>
      <c r="J67" s="1217">
        <f>VLOOKUP($B67,DATA!$B$7:$AV$679,29,0)</f>
        <v>1440</v>
      </c>
      <c r="K67" s="1217">
        <f>VLOOKUP($B67,DATA!$B$7:$BA$679,50,0)</f>
        <v>500</v>
      </c>
      <c r="L67" s="1217">
        <f>VLOOKUP($B67,DATA!$B$7:$AV$679,36,0)</f>
        <v>0</v>
      </c>
      <c r="M67" s="1217">
        <f t="shared" si="14"/>
        <v>1728</v>
      </c>
      <c r="N67" s="38"/>
      <c r="O67" s="1564">
        <v>2228</v>
      </c>
      <c r="P67" s="1564">
        <v>1728</v>
      </c>
      <c r="Q67" s="1564">
        <v>500</v>
      </c>
      <c r="R67" s="1564"/>
      <c r="S67" s="1564">
        <v>1728</v>
      </c>
      <c r="T67" s="1566">
        <f t="shared" si="15"/>
        <v>2228</v>
      </c>
      <c r="U67" s="1566">
        <f t="shared" si="16"/>
        <v>1728</v>
      </c>
      <c r="V67" s="1564">
        <f t="shared" si="17"/>
        <v>1152</v>
      </c>
      <c r="W67" s="1218"/>
    </row>
    <row r="68" spans="1:23" ht="56.25" customHeight="1">
      <c r="A68" s="500">
        <v>57</v>
      </c>
      <c r="B68" s="1214" t="s">
        <v>2542</v>
      </c>
      <c r="C68" s="1216" t="str">
        <f>VLOOKUP($B68,DATA!$B$7:$AV$679,6,0)</f>
        <v>Quảng Ninh</v>
      </c>
      <c r="D68" s="1230">
        <f>VLOOKUP($B68,DATA!$B$7:$AV$679,7,0)</f>
        <v>2019</v>
      </c>
      <c r="E68" s="1230">
        <f>VLOOKUP($B68,DATA!$B$7:$AV$679,9,0)</f>
        <v>2021</v>
      </c>
      <c r="F68" s="1216" t="str">
        <f>VLOOKUP($B68,DATA!$B$7:$AV$679,12,0)</f>
        <v>3871a/QĐ-UBND ngày 31/10/2018</v>
      </c>
      <c r="G68" s="1217">
        <f>VLOOKUP($B68,DATA!$B$7:$AV$679,13,0)</f>
        <v>4910</v>
      </c>
      <c r="H68" s="1217">
        <f>VLOOKUP($B68,DATA!$B$7:$AV$679,15,0)</f>
        <v>3000</v>
      </c>
      <c r="I68" s="1217">
        <f>VLOOKUP($B68,DATA!$B$7:$AV$679,29,0)</f>
        <v>1500</v>
      </c>
      <c r="J68" s="1217">
        <f>VLOOKUP($B68,DATA!$B$7:$AV$679,29,0)</f>
        <v>1500</v>
      </c>
      <c r="K68" s="1217">
        <f>VLOOKUP($B68,DATA!$B$7:$BA$679,50,0)</f>
        <v>1500</v>
      </c>
      <c r="L68" s="1217">
        <f>VLOOKUP($B68,DATA!$B$7:$AV$679,36,0)</f>
        <v>0</v>
      </c>
      <c r="M68" s="1217">
        <f t="shared" si="14"/>
        <v>1800</v>
      </c>
      <c r="N68" s="38"/>
      <c r="O68" s="1564">
        <v>3300</v>
      </c>
      <c r="P68" s="1564">
        <v>1800</v>
      </c>
      <c r="Q68" s="1564">
        <v>1500</v>
      </c>
      <c r="R68" s="1564"/>
      <c r="S68" s="1564">
        <v>1800</v>
      </c>
      <c r="T68" s="1566">
        <f t="shared" si="15"/>
        <v>3300</v>
      </c>
      <c r="U68" s="1566">
        <f t="shared" si="16"/>
        <v>1800</v>
      </c>
      <c r="V68" s="1564">
        <f t="shared" si="17"/>
        <v>1200</v>
      </c>
      <c r="W68" s="1218"/>
    </row>
    <row r="69" spans="1:23" ht="56.25" customHeight="1">
      <c r="A69" s="500">
        <v>58</v>
      </c>
      <c r="B69" s="1214" t="s">
        <v>1043</v>
      </c>
      <c r="C69" s="1216" t="str">
        <f>VLOOKUP($B69,DATA!$B$7:$AV$679,6,0)</f>
        <v>Quảng Ninh</v>
      </c>
      <c r="D69" s="1230">
        <f>VLOOKUP($B69,DATA!$B$7:$AV$679,7,0)</f>
        <v>2019</v>
      </c>
      <c r="E69" s="1230">
        <f>VLOOKUP($B69,DATA!$B$7:$AV$679,9,0)</f>
        <v>2021</v>
      </c>
      <c r="F69" s="1216" t="str">
        <f>VLOOKUP($B69,DATA!$B$7:$AV$679,12,0)</f>
        <v>3724a/QĐ-UBND ngày 30/10/2018</v>
      </c>
      <c r="G69" s="1217">
        <f>VLOOKUP($B69,DATA!$B$7:$AV$679,13,0)</f>
        <v>5000</v>
      </c>
      <c r="H69" s="1217">
        <f>VLOOKUP($B69,DATA!$B$7:$AV$679,15,0)</f>
        <v>3000</v>
      </c>
      <c r="I69" s="1217">
        <f>VLOOKUP($B69,DATA!$B$7:$AV$679,29,0)</f>
        <v>1500</v>
      </c>
      <c r="J69" s="1217">
        <f>VLOOKUP($B69,DATA!$B$7:$AV$679,29,0)</f>
        <v>1500</v>
      </c>
      <c r="K69" s="1217">
        <f>VLOOKUP($B69,DATA!$B$7:$BA$679,50,0)</f>
        <v>1500</v>
      </c>
      <c r="L69" s="1217">
        <f>VLOOKUP($B69,DATA!$B$7:$AV$679,36,0)</f>
        <v>0</v>
      </c>
      <c r="M69" s="1217">
        <f t="shared" si="14"/>
        <v>1800</v>
      </c>
      <c r="N69" s="38"/>
      <c r="O69" s="1564">
        <v>3300</v>
      </c>
      <c r="P69" s="1564">
        <v>1800</v>
      </c>
      <c r="Q69" s="1564">
        <v>1500</v>
      </c>
      <c r="R69" s="1564"/>
      <c r="S69" s="1564">
        <v>1800</v>
      </c>
      <c r="T69" s="1566">
        <f t="shared" si="15"/>
        <v>3300</v>
      </c>
      <c r="U69" s="1566">
        <f t="shared" si="16"/>
        <v>1800</v>
      </c>
      <c r="V69" s="1564">
        <f t="shared" si="17"/>
        <v>1200</v>
      </c>
      <c r="W69" s="1218"/>
    </row>
    <row r="70" spans="1:23" ht="56.25" customHeight="1">
      <c r="A70" s="500">
        <v>59</v>
      </c>
      <c r="B70" s="310" t="s">
        <v>2007</v>
      </c>
      <c r="C70" s="1216" t="str">
        <f>VLOOKUP($B70,DATA!$B$7:$AV$679,6,0)</f>
        <v>Bố Trạch</v>
      </c>
      <c r="D70" s="1230">
        <f>VLOOKUP($B70,DATA!$B$7:$AV$679,7,0)</f>
        <v>2019</v>
      </c>
      <c r="E70" s="1230">
        <f>VLOOKUP($B70,DATA!$B$7:$AV$679,9,0)</f>
        <v>2021</v>
      </c>
      <c r="F70" s="1216" t="str">
        <f>VLOOKUP($B70,DATA!$B$7:$AV$679,12,0)</f>
        <v>3875/QĐ-UBND ngày 31/10/2018</v>
      </c>
      <c r="G70" s="1217">
        <f>VLOOKUP($B70,DATA!$B$7:$AV$679,13,0)</f>
        <v>5500</v>
      </c>
      <c r="H70" s="1217">
        <f>VLOOKUP($B70,DATA!$B$7:$AV$679,15,0)</f>
        <v>3300</v>
      </c>
      <c r="I70" s="1217">
        <f>VLOOKUP($B70,DATA!$B$7:$AV$679,29,0)</f>
        <v>1650</v>
      </c>
      <c r="J70" s="1217">
        <f>VLOOKUP($B70,DATA!$B$7:$AV$679,29,0)</f>
        <v>1650</v>
      </c>
      <c r="K70" s="1217">
        <f>VLOOKUP($B70,DATA!$B$7:$BA$679,50,0)</f>
        <v>1730</v>
      </c>
      <c r="L70" s="1217">
        <f>VLOOKUP($B70,DATA!$B$7:$AV$679,36,0)</f>
        <v>0</v>
      </c>
      <c r="M70" s="1217">
        <f t="shared" si="14"/>
        <v>1980</v>
      </c>
      <c r="N70" s="38"/>
      <c r="O70" s="1564">
        <v>3710</v>
      </c>
      <c r="P70" s="1564">
        <v>1980</v>
      </c>
      <c r="Q70" s="1564">
        <v>1730</v>
      </c>
      <c r="R70" s="1564"/>
      <c r="S70" s="1564">
        <v>1980</v>
      </c>
      <c r="T70" s="1566">
        <f t="shared" si="15"/>
        <v>3710</v>
      </c>
      <c r="U70" s="1566">
        <f t="shared" si="16"/>
        <v>1980</v>
      </c>
      <c r="V70" s="1564">
        <f t="shared" si="17"/>
        <v>1320</v>
      </c>
      <c r="W70" s="1218"/>
    </row>
    <row r="71" spans="1:23" ht="56.25" customHeight="1">
      <c r="A71" s="500">
        <v>60</v>
      </c>
      <c r="B71" s="310" t="s">
        <v>947</v>
      </c>
      <c r="C71" s="1216" t="str">
        <f>VLOOKUP($B71,DATA!$B$7:$AV$679,6,0)</f>
        <v>Tuyên Hóa</v>
      </c>
      <c r="D71" s="1230">
        <f>VLOOKUP($B71,DATA!$B$7:$AV$679,7,0)</f>
        <v>2019</v>
      </c>
      <c r="E71" s="1230">
        <f>VLOOKUP($B71,DATA!$B$7:$AV$679,9,0)</f>
        <v>2021</v>
      </c>
      <c r="F71" s="1216" t="str">
        <f>VLOOKUP($B71,DATA!$B$7:$AV$679,12,0)</f>
        <v>3824/QĐ-UBND ngày 31/10/2018</v>
      </c>
      <c r="G71" s="1217">
        <f>VLOOKUP($B71,DATA!$B$7:$AV$679,13,0)</f>
        <v>5638</v>
      </c>
      <c r="H71" s="1217">
        <f>VLOOKUP($B71,DATA!$B$7:$AV$679,15,0)</f>
        <v>3600</v>
      </c>
      <c r="I71" s="1217">
        <f>VLOOKUP($B71,DATA!$B$7:$AV$679,29,0)</f>
        <v>1800</v>
      </c>
      <c r="J71" s="1217">
        <f>VLOOKUP($B71,DATA!$B$7:$AV$679,29,0)</f>
        <v>1800</v>
      </c>
      <c r="K71" s="1217">
        <f>VLOOKUP($B71,DATA!$B$7:$BA$679,50,0)</f>
        <v>1680</v>
      </c>
      <c r="L71" s="1217">
        <f>VLOOKUP($B71,DATA!$B$7:$AV$679,36,0)</f>
        <v>0</v>
      </c>
      <c r="M71" s="1217">
        <f t="shared" si="14"/>
        <v>2160</v>
      </c>
      <c r="N71" s="38"/>
      <c r="O71" s="1564">
        <v>3840</v>
      </c>
      <c r="P71" s="1564">
        <v>2160</v>
      </c>
      <c r="Q71" s="1564">
        <v>1680</v>
      </c>
      <c r="R71" s="1564"/>
      <c r="S71" s="1564">
        <v>2160</v>
      </c>
      <c r="T71" s="1566">
        <f t="shared" si="15"/>
        <v>3840</v>
      </c>
      <c r="U71" s="1566">
        <f t="shared" si="16"/>
        <v>2160</v>
      </c>
      <c r="V71" s="1564">
        <f t="shared" si="17"/>
        <v>1440</v>
      </c>
      <c r="W71" s="1218"/>
    </row>
    <row r="72" spans="1:23" ht="56.25" customHeight="1">
      <c r="A72" s="500">
        <v>61</v>
      </c>
      <c r="B72" s="310" t="s">
        <v>973</v>
      </c>
      <c r="C72" s="1216" t="str">
        <f>VLOOKUP($B72,DATA!$B$7:$AV$679,6,0)</f>
        <v>Ba Đồn</v>
      </c>
      <c r="D72" s="1230">
        <f>VLOOKUP($B72,DATA!$B$7:$AV$679,7,0)</f>
        <v>2019</v>
      </c>
      <c r="E72" s="1230">
        <f>VLOOKUP($B72,DATA!$B$7:$AV$679,9,0)</f>
        <v>2021</v>
      </c>
      <c r="F72" s="1216" t="str">
        <f>VLOOKUP($B72,DATA!$B$7:$AV$679,12,0)</f>
        <v>3878a/QĐ-UBND ngày 31/10/2018</v>
      </c>
      <c r="G72" s="1217">
        <f>VLOOKUP($B72,DATA!$B$7:$AV$679,13,0)</f>
        <v>5500</v>
      </c>
      <c r="H72" s="1217">
        <f>VLOOKUP($B72,DATA!$B$7:$AV$679,15,0)</f>
        <v>3600</v>
      </c>
      <c r="I72" s="1217">
        <f>VLOOKUP($B72,DATA!$B$7:$AV$679,29,0)</f>
        <v>1800</v>
      </c>
      <c r="J72" s="1217">
        <f>VLOOKUP($B72,DATA!$B$7:$AV$679,29,0)</f>
        <v>1800</v>
      </c>
      <c r="K72" s="1217">
        <f>VLOOKUP($B72,DATA!$B$7:$BA$679,50,0)</f>
        <v>1650</v>
      </c>
      <c r="L72" s="1217">
        <f>VLOOKUP($B72,DATA!$B$7:$AV$679,36,0)</f>
        <v>0</v>
      </c>
      <c r="M72" s="1217">
        <f t="shared" si="14"/>
        <v>2160</v>
      </c>
      <c r="N72" s="38"/>
      <c r="O72" s="1564">
        <v>3810</v>
      </c>
      <c r="P72" s="1564">
        <v>2160</v>
      </c>
      <c r="Q72" s="1564">
        <v>1650</v>
      </c>
      <c r="R72" s="1564"/>
      <c r="S72" s="1564">
        <v>2160</v>
      </c>
      <c r="T72" s="1566">
        <f t="shared" si="15"/>
        <v>3810</v>
      </c>
      <c r="U72" s="1566">
        <f t="shared" si="16"/>
        <v>2160</v>
      </c>
      <c r="V72" s="1564">
        <f t="shared" si="17"/>
        <v>1440</v>
      </c>
      <c r="W72" s="1218"/>
    </row>
    <row r="73" spans="1:23" ht="56.25" customHeight="1">
      <c r="A73" s="500">
        <v>62</v>
      </c>
      <c r="B73" s="310" t="s">
        <v>996</v>
      </c>
      <c r="C73" s="1216" t="str">
        <f>VLOOKUP($B73,DATA!$B$7:$AV$679,6,0)</f>
        <v>Bố Trạch</v>
      </c>
      <c r="D73" s="1230">
        <f>VLOOKUP($B73,DATA!$B$7:$AV$679,7,0)</f>
        <v>2019</v>
      </c>
      <c r="E73" s="1230">
        <f>VLOOKUP($B73,DATA!$B$7:$AV$679,9,0)</f>
        <v>2021</v>
      </c>
      <c r="F73" s="1216" t="str">
        <f>VLOOKUP($B73,DATA!$B$7:$AV$679,12,0)</f>
        <v>3744/QĐ-UBND ngày 30/10/2018</v>
      </c>
      <c r="G73" s="1217">
        <f>VLOOKUP($B73,DATA!$B$7:$AV$679,13,0)</f>
        <v>6000</v>
      </c>
      <c r="H73" s="1217">
        <f>VLOOKUP($B73,DATA!$B$7:$AV$679,15,0)</f>
        <v>3600</v>
      </c>
      <c r="I73" s="1217">
        <f>VLOOKUP($B73,DATA!$B$7:$AV$679,29,0)</f>
        <v>1800</v>
      </c>
      <c r="J73" s="1217">
        <f>VLOOKUP($B73,DATA!$B$7:$AV$679,29,0)</f>
        <v>1800</v>
      </c>
      <c r="K73" s="1217">
        <f>VLOOKUP($B73,DATA!$B$7:$BA$679,50,0)</f>
        <v>0</v>
      </c>
      <c r="L73" s="1217">
        <f>VLOOKUP($B73,DATA!$B$7:$AV$679,36,0)</f>
        <v>0</v>
      </c>
      <c r="M73" s="1217">
        <f t="shared" si="14"/>
        <v>2160</v>
      </c>
      <c r="N73" s="38"/>
      <c r="O73" s="1564">
        <v>2160</v>
      </c>
      <c r="P73" s="1564">
        <v>2160</v>
      </c>
      <c r="Q73" s="1564"/>
      <c r="R73" s="1564"/>
      <c r="S73" s="1564">
        <v>2160</v>
      </c>
      <c r="T73" s="1566">
        <f t="shared" si="15"/>
        <v>2160</v>
      </c>
      <c r="U73" s="1566">
        <f t="shared" si="16"/>
        <v>2160</v>
      </c>
      <c r="V73" s="1564">
        <f t="shared" si="17"/>
        <v>1440</v>
      </c>
      <c r="W73" s="1218"/>
    </row>
    <row r="74" spans="1:23" ht="56.25" customHeight="1">
      <c r="A74" s="500">
        <v>63</v>
      </c>
      <c r="B74" s="1214" t="s">
        <v>1058</v>
      </c>
      <c r="C74" s="1216" t="str">
        <f>VLOOKUP($B74,DATA!$B$7:$AV$679,6,0)</f>
        <v>Lệ Thủy</v>
      </c>
      <c r="D74" s="1230">
        <f>VLOOKUP($B74,DATA!$B$7:$AV$679,7,0)</f>
        <v>2019</v>
      </c>
      <c r="E74" s="1230">
        <f>VLOOKUP($B74,DATA!$B$7:$AV$679,9,0)</f>
        <v>2021</v>
      </c>
      <c r="F74" s="1216" t="str">
        <f>VLOOKUP($B74,DATA!$B$7:$AV$679,12,0)</f>
        <v>3813/QĐ-UBND ngày 31/10/2018</v>
      </c>
      <c r="G74" s="1217">
        <f>VLOOKUP($B74,DATA!$B$7:$AV$679,13,0)</f>
        <v>5943</v>
      </c>
      <c r="H74" s="1217">
        <f>VLOOKUP($B74,DATA!$B$7:$AV$679,15,0)</f>
        <v>3600</v>
      </c>
      <c r="I74" s="1217">
        <f>VLOOKUP($B74,DATA!$B$7:$AV$679,29,0)</f>
        <v>1800</v>
      </c>
      <c r="J74" s="1217">
        <f>VLOOKUP($B74,DATA!$B$7:$AV$679,29,0)</f>
        <v>1800</v>
      </c>
      <c r="K74" s="1217">
        <f>VLOOKUP($B74,DATA!$B$7:$BA$679,50,0)</f>
        <v>1200</v>
      </c>
      <c r="L74" s="1217">
        <f>VLOOKUP($B74,DATA!$B$7:$AV$679,36,0)</f>
        <v>0</v>
      </c>
      <c r="M74" s="1217">
        <f t="shared" si="14"/>
        <v>2160</v>
      </c>
      <c r="N74" s="38"/>
      <c r="O74" s="1564">
        <v>3360</v>
      </c>
      <c r="P74" s="1564">
        <v>2160</v>
      </c>
      <c r="Q74" s="1564">
        <v>1200</v>
      </c>
      <c r="R74" s="1564"/>
      <c r="S74" s="1564">
        <v>2160</v>
      </c>
      <c r="T74" s="1566">
        <f t="shared" si="15"/>
        <v>3360</v>
      </c>
      <c r="U74" s="1566">
        <f t="shared" si="16"/>
        <v>2160</v>
      </c>
      <c r="V74" s="1564">
        <f t="shared" si="17"/>
        <v>1440</v>
      </c>
      <c r="W74" s="1218"/>
    </row>
    <row r="75" spans="1:23" ht="56.25" customHeight="1">
      <c r="A75" s="500">
        <v>64</v>
      </c>
      <c r="B75" s="1214" t="s">
        <v>1050</v>
      </c>
      <c r="C75" s="1216" t="str">
        <f>VLOOKUP($B75,DATA!$B$7:$AV$679,6,0)</f>
        <v>Đồng Hới</v>
      </c>
      <c r="D75" s="1230">
        <f>VLOOKUP($B75,DATA!$B$7:$AV$679,7,0)</f>
        <v>2019</v>
      </c>
      <c r="E75" s="1230">
        <f>VLOOKUP($B75,DATA!$B$7:$AV$679,9,0)</f>
        <v>2021</v>
      </c>
      <c r="F75" s="1216" t="str">
        <f>VLOOKUP($B75,DATA!$B$7:$AV$679,12,0)</f>
        <v>3771/QĐ-UBND ngày 31/10/2018</v>
      </c>
      <c r="G75" s="1217">
        <f>VLOOKUP($B75,DATA!$B$7:$AV$679,13,0)</f>
        <v>12500</v>
      </c>
      <c r="H75" s="1217">
        <f>VLOOKUP($B75,DATA!$B$7:$AV$679,15,0)</f>
        <v>5000</v>
      </c>
      <c r="I75" s="1217">
        <f>VLOOKUP($B75,DATA!$B$7:$AV$679,29,0)</f>
        <v>2500</v>
      </c>
      <c r="J75" s="1217">
        <f>VLOOKUP($B75,DATA!$B$7:$AV$679,29,0)</f>
        <v>2500</v>
      </c>
      <c r="K75" s="1217">
        <f>VLOOKUP($B75,DATA!$B$7:$BA$679,50,0)</f>
        <v>0</v>
      </c>
      <c r="L75" s="1217">
        <f>VLOOKUP($B75,DATA!$B$7:$AV$679,36,0)</f>
        <v>0</v>
      </c>
      <c r="M75" s="1217">
        <f t="shared" si="14"/>
        <v>3000</v>
      </c>
      <c r="N75" s="38"/>
      <c r="O75" s="1564">
        <v>3000</v>
      </c>
      <c r="P75" s="1564">
        <v>3000</v>
      </c>
      <c r="Q75" s="1564"/>
      <c r="R75" s="1564"/>
      <c r="S75" s="1564">
        <v>3000</v>
      </c>
      <c r="T75" s="1566">
        <f t="shared" si="15"/>
        <v>3000</v>
      </c>
      <c r="U75" s="1566">
        <f t="shared" si="16"/>
        <v>3000</v>
      </c>
      <c r="V75" s="1564">
        <f t="shared" si="17"/>
        <v>2000</v>
      </c>
      <c r="W75" s="1218"/>
    </row>
    <row r="76" spans="1:23" ht="56.25" customHeight="1">
      <c r="A76" s="500">
        <v>65</v>
      </c>
      <c r="B76" s="310" t="s">
        <v>1060</v>
      </c>
      <c r="C76" s="1216" t="str">
        <f>VLOOKUP($B76,DATA!$B$7:$AV$679,6,0)</f>
        <v>Bố Trạch</v>
      </c>
      <c r="D76" s="1230">
        <f>VLOOKUP($B76,DATA!$B$7:$AV$679,7,0)</f>
        <v>2019</v>
      </c>
      <c r="E76" s="1230">
        <f>VLOOKUP($B76,DATA!$B$7:$AV$679,9,0)</f>
        <v>2021</v>
      </c>
      <c r="F76" s="1216" t="str">
        <f>VLOOKUP($B76,DATA!$B$7:$AV$679,12,0)</f>
        <v>3764/QĐ-UBND ngày 31/10/2018</v>
      </c>
      <c r="G76" s="1217">
        <f>VLOOKUP($B76,DATA!$B$7:$AV$679,13,0)</f>
        <v>8157</v>
      </c>
      <c r="H76" s="1217">
        <f>VLOOKUP($B76,DATA!$B$7:$AV$679,15,0)</f>
        <v>6000</v>
      </c>
      <c r="I76" s="1217">
        <f>VLOOKUP($B76,DATA!$B$7:$AV$679,29,0)</f>
        <v>3000</v>
      </c>
      <c r="J76" s="1217">
        <f>VLOOKUP($B76,DATA!$B$7:$AV$679,29,0)</f>
        <v>3000</v>
      </c>
      <c r="K76" s="1217">
        <f>VLOOKUP($B76,DATA!$B$7:$BA$679,50,0)</f>
        <v>0</v>
      </c>
      <c r="L76" s="1217">
        <f>VLOOKUP($B76,DATA!$B$7:$AV$679,36,0)</f>
        <v>0</v>
      </c>
      <c r="M76" s="1217">
        <f t="shared" si="14"/>
        <v>3600</v>
      </c>
      <c r="N76" s="38"/>
      <c r="O76" s="1564">
        <f t="shared" ref="O76:P76" si="18">3600-300</f>
        <v>3300</v>
      </c>
      <c r="P76" s="1564">
        <f t="shared" si="18"/>
        <v>3300</v>
      </c>
      <c r="Q76" s="1564"/>
      <c r="R76" s="1564"/>
      <c r="S76" s="1564">
        <f>3600-300</f>
        <v>3300</v>
      </c>
      <c r="T76" s="1566">
        <f t="shared" si="15"/>
        <v>3300</v>
      </c>
      <c r="U76" s="1566">
        <f t="shared" si="16"/>
        <v>3300</v>
      </c>
      <c r="V76" s="1564">
        <f t="shared" si="17"/>
        <v>2700</v>
      </c>
      <c r="W76" s="1218"/>
    </row>
    <row r="77" spans="1:23" ht="56.25" customHeight="1">
      <c r="A77" s="500">
        <v>66</v>
      </c>
      <c r="B77" s="310" t="s">
        <v>1065</v>
      </c>
      <c r="C77" s="1216" t="str">
        <f>VLOOKUP($B77,DATA!$B$7:$AV$679,6,0)</f>
        <v>Quảng Ninh</v>
      </c>
      <c r="D77" s="1230">
        <f>VLOOKUP($B77,DATA!$B$7:$AV$679,7,0)</f>
        <v>2019</v>
      </c>
      <c r="E77" s="1230">
        <f>VLOOKUP($B77,DATA!$B$7:$AV$679,9,0)</f>
        <v>2021</v>
      </c>
      <c r="F77" s="1216" t="str">
        <f>VLOOKUP($B77,DATA!$B$7:$AV$679,12,0)</f>
        <v>3868/QĐ-UBND ngày 31/10/2018</v>
      </c>
      <c r="G77" s="1217">
        <f>VLOOKUP($B77,DATA!$B$7:$AV$679,13,0)</f>
        <v>3976</v>
      </c>
      <c r="H77" s="1217">
        <f>VLOOKUP($B77,DATA!$B$7:$AV$679,15,0)</f>
        <v>2400</v>
      </c>
      <c r="I77" s="1217">
        <f>VLOOKUP($B77,DATA!$B$7:$AV$679,29,0)</f>
        <v>1200</v>
      </c>
      <c r="J77" s="1217">
        <f>VLOOKUP($B77,DATA!$B$7:$AV$679,29,0)</f>
        <v>1200</v>
      </c>
      <c r="K77" s="1217">
        <f>VLOOKUP($B77,DATA!$B$7:$BA$679,50,0)</f>
        <v>700</v>
      </c>
      <c r="L77" s="1217">
        <f>VLOOKUP($B77,DATA!$B$7:$AV$679,36,0)</f>
        <v>0</v>
      </c>
      <c r="M77" s="1217">
        <f t="shared" si="14"/>
        <v>1440</v>
      </c>
      <c r="N77" s="38"/>
      <c r="O77" s="1564">
        <v>2140</v>
      </c>
      <c r="P77" s="1564">
        <v>1440</v>
      </c>
      <c r="Q77" s="1564">
        <v>700</v>
      </c>
      <c r="R77" s="1564"/>
      <c r="S77" s="1564">
        <v>1440</v>
      </c>
      <c r="T77" s="1566">
        <f t="shared" si="15"/>
        <v>2140</v>
      </c>
      <c r="U77" s="1566">
        <f t="shared" si="16"/>
        <v>1440</v>
      </c>
      <c r="V77" s="1564">
        <f t="shared" si="17"/>
        <v>960</v>
      </c>
      <c r="W77" s="1218"/>
    </row>
    <row r="78" spans="1:23" ht="56.25" customHeight="1">
      <c r="A78" s="500">
        <v>67</v>
      </c>
      <c r="B78" s="310" t="s">
        <v>1067</v>
      </c>
      <c r="C78" s="1216" t="str">
        <f>VLOOKUP($B78,DATA!$B$7:$AV$679,6,0)</f>
        <v>Lệ Thủy</v>
      </c>
      <c r="D78" s="1230">
        <f>VLOOKUP($B78,DATA!$B$7:$AV$679,7,0)</f>
        <v>2019</v>
      </c>
      <c r="E78" s="1230">
        <f>VLOOKUP($B78,DATA!$B$7:$AV$679,9,0)</f>
        <v>2021</v>
      </c>
      <c r="F78" s="1216" t="str">
        <f>VLOOKUP($B78,DATA!$B$7:$AV$679,12,0)</f>
        <v>3810/QĐ-UBND ngày 31/10/2018</v>
      </c>
      <c r="G78" s="1217">
        <f>VLOOKUP($B78,DATA!$B$7:$AV$679,13,0)</f>
        <v>6000</v>
      </c>
      <c r="H78" s="1217">
        <f>VLOOKUP($B78,DATA!$B$7:$AV$679,15,0)</f>
        <v>3600</v>
      </c>
      <c r="I78" s="1217">
        <f>VLOOKUP($B78,DATA!$B$7:$AV$679,29,0)</f>
        <v>1800</v>
      </c>
      <c r="J78" s="1217">
        <f>VLOOKUP($B78,DATA!$B$7:$AV$679,29,0)</f>
        <v>1800</v>
      </c>
      <c r="K78" s="1217">
        <f>VLOOKUP($B78,DATA!$B$7:$BA$679,50,0)</f>
        <v>1440</v>
      </c>
      <c r="L78" s="1217">
        <f>VLOOKUP($B78,DATA!$B$7:$AV$679,36,0)</f>
        <v>0</v>
      </c>
      <c r="M78" s="1217">
        <f t="shared" si="14"/>
        <v>2160</v>
      </c>
      <c r="N78" s="38"/>
      <c r="O78" s="1564">
        <v>3600</v>
      </c>
      <c r="P78" s="1564">
        <v>2160</v>
      </c>
      <c r="Q78" s="1564">
        <v>1440</v>
      </c>
      <c r="R78" s="1564"/>
      <c r="S78" s="1564">
        <v>2160</v>
      </c>
      <c r="T78" s="1566">
        <f t="shared" si="15"/>
        <v>3600</v>
      </c>
      <c r="U78" s="1566">
        <f t="shared" si="16"/>
        <v>2160</v>
      </c>
      <c r="V78" s="1564">
        <f t="shared" si="17"/>
        <v>1440</v>
      </c>
      <c r="W78" s="1218"/>
    </row>
    <row r="79" spans="1:23" ht="58.5" customHeight="1">
      <c r="A79" s="500">
        <v>68</v>
      </c>
      <c r="B79" s="545" t="s">
        <v>2403</v>
      </c>
      <c r="C79" s="1216" t="str">
        <f>VLOOKUP($B79,DATA!$B$7:$AV$679,6,0)</f>
        <v>Đồng Hới</v>
      </c>
      <c r="D79" s="1230">
        <f>VLOOKUP($B79,DATA!$B$7:$AV$679,7,0)</f>
        <v>2020</v>
      </c>
      <c r="E79" s="1230">
        <f>VLOOKUP($B79,DATA!$B$7:$AV$679,9,0)</f>
        <v>2022</v>
      </c>
      <c r="F79" s="1216" t="str">
        <f>VLOOKUP($B79,DATA!$B$7:$AV$679,12,0)</f>
        <v>3869/QĐ-UBND ngày 14/10/2019</v>
      </c>
      <c r="G79" s="1217">
        <f>VLOOKUP($B79,DATA!$B$7:$AV$679,13,0)</f>
        <v>4200</v>
      </c>
      <c r="H79" s="1217">
        <f>VLOOKUP($B79,DATA!$B$7:$AV$679,15,0)</f>
        <v>4200</v>
      </c>
      <c r="I79" s="1217">
        <f>VLOOKUP($B79,DATA!$B$7:$AV$679,29,0)</f>
        <v>1260</v>
      </c>
      <c r="J79" s="1217">
        <f>VLOOKUP($B79,DATA!$B$7:$AV$679,29,0)</f>
        <v>1260</v>
      </c>
      <c r="K79" s="1217">
        <f>VLOOKUP($B79,DATA!$B$7:$AV$679,35,0)</f>
        <v>0</v>
      </c>
      <c r="L79" s="1217">
        <f>VLOOKUP($B79,DATA!$B$7:$AV$679,36,0)</f>
        <v>0</v>
      </c>
      <c r="M79" s="1217">
        <f>H79*0.35</f>
        <v>1470</v>
      </c>
      <c r="N79" s="59"/>
      <c r="O79" s="1566">
        <f>1470</f>
        <v>1470</v>
      </c>
      <c r="P79" s="1566">
        <f>1470</f>
        <v>1470</v>
      </c>
      <c r="Q79" s="1566"/>
      <c r="R79" s="1566"/>
      <c r="S79" s="1566">
        <f>1470</f>
        <v>1470</v>
      </c>
      <c r="T79" s="1566">
        <f t="shared" si="15"/>
        <v>1470</v>
      </c>
      <c r="U79" s="1566">
        <f t="shared" si="16"/>
        <v>1470</v>
      </c>
      <c r="V79" s="1566">
        <f>H79*0.9-T79</f>
        <v>2310</v>
      </c>
      <c r="W79" s="1218"/>
    </row>
    <row r="80" spans="1:23" ht="43.5" customHeight="1">
      <c r="A80" s="500">
        <v>69</v>
      </c>
      <c r="B80" s="310" t="s">
        <v>2404</v>
      </c>
      <c r="C80" s="1216" t="str">
        <f>VLOOKUP($B80,DATA!$B$7:$AV$679,6,0)</f>
        <v>Tuyên Hóa</v>
      </c>
      <c r="D80" s="1230">
        <f>VLOOKUP($B80,DATA!$B$7:$AV$679,7,0)</f>
        <v>2020</v>
      </c>
      <c r="E80" s="1230">
        <f>VLOOKUP($B80,DATA!$B$7:$AV$679,9,0)</f>
        <v>2022</v>
      </c>
      <c r="F80" s="1216" t="str">
        <f>VLOOKUP($B80,DATA!$B$7:$AV$679,12,0)</f>
        <v>4003/QĐ-UBND ngày 22/10/2019</v>
      </c>
      <c r="G80" s="1217">
        <f>VLOOKUP($B80,DATA!$B$7:$AV$679,13,0)</f>
        <v>6993.7</v>
      </c>
      <c r="H80" s="1217">
        <f>VLOOKUP($B80,DATA!$B$7:$AV$679,15,0)</f>
        <v>6993.7</v>
      </c>
      <c r="I80" s="1217">
        <f>VLOOKUP($B80,DATA!$B$7:$AV$679,29,0)</f>
        <v>2098.1099999999997</v>
      </c>
      <c r="J80" s="1217">
        <f>VLOOKUP($B80,DATA!$B$7:$AV$679,29,0)</f>
        <v>2098.1099999999997</v>
      </c>
      <c r="K80" s="1217">
        <f>VLOOKUP($B80,DATA!$B$7:$AV$679,35,0)</f>
        <v>0</v>
      </c>
      <c r="L80" s="1217">
        <f>VLOOKUP($B80,DATA!$B$7:$AV$679,36,0)</f>
        <v>0</v>
      </c>
      <c r="M80" s="1217">
        <f t="shared" ref="M80:M87" si="19">H80*0.35</f>
        <v>2447.7949999999996</v>
      </c>
      <c r="N80" s="59"/>
      <c r="O80" s="1566">
        <v>2448</v>
      </c>
      <c r="P80" s="1566">
        <v>2448</v>
      </c>
      <c r="Q80" s="1566"/>
      <c r="R80" s="1566"/>
      <c r="S80" s="1566">
        <v>2448</v>
      </c>
      <c r="T80" s="1566">
        <f t="shared" si="15"/>
        <v>2448</v>
      </c>
      <c r="U80" s="1566">
        <f t="shared" si="16"/>
        <v>2448</v>
      </c>
      <c r="V80" s="1566">
        <f t="shared" ref="V80:V92" si="20">H80*0.9-T80</f>
        <v>3846.33</v>
      </c>
      <c r="W80" s="1218"/>
    </row>
    <row r="81" spans="1:23" ht="55.5" customHeight="1">
      <c r="A81" s="500">
        <v>70</v>
      </c>
      <c r="B81" s="310" t="s">
        <v>1070</v>
      </c>
      <c r="C81" s="1216" t="str">
        <f>VLOOKUP($B81,DATA!$B$7:$AV$679,6,0)</f>
        <v>Tuyên Hóa</v>
      </c>
      <c r="D81" s="1230">
        <f>VLOOKUP($B81,DATA!$B$7:$AV$679,7,0)</f>
        <v>2020</v>
      </c>
      <c r="E81" s="1230">
        <f>VLOOKUP($B81,DATA!$B$7:$AV$679,9,0)</f>
        <v>2022</v>
      </c>
      <c r="F81" s="1216" t="str">
        <f>VLOOKUP($B81,DATA!$B$7:$AV$679,12,0)</f>
        <v>4004/QĐ-UBND ngày 22/10/2019</v>
      </c>
      <c r="G81" s="1217">
        <f>VLOOKUP($B81,DATA!$B$7:$AV$679,13,0)</f>
        <v>2458</v>
      </c>
      <c r="H81" s="1217">
        <f>VLOOKUP($B81,DATA!$B$7:$AV$679,15,0)</f>
        <v>2458</v>
      </c>
      <c r="I81" s="1217">
        <f>VLOOKUP($B81,DATA!$B$7:$AV$679,29,0)</f>
        <v>737.4</v>
      </c>
      <c r="J81" s="1217">
        <f>VLOOKUP($B81,DATA!$B$7:$AV$679,29,0)</f>
        <v>737.4</v>
      </c>
      <c r="K81" s="1217">
        <f>VLOOKUP($B81,DATA!$B$7:$AV$679,35,0)</f>
        <v>0</v>
      </c>
      <c r="L81" s="1217">
        <f>VLOOKUP($B81,DATA!$B$7:$AV$679,36,0)</f>
        <v>0</v>
      </c>
      <c r="M81" s="1217">
        <f t="shared" si="19"/>
        <v>860.3</v>
      </c>
      <c r="N81" s="59"/>
      <c r="O81" s="1566">
        <v>860</v>
      </c>
      <c r="P81" s="1566">
        <v>860</v>
      </c>
      <c r="Q81" s="1566"/>
      <c r="R81" s="1566"/>
      <c r="S81" s="1566">
        <v>860</v>
      </c>
      <c r="T81" s="1566">
        <f t="shared" si="15"/>
        <v>860</v>
      </c>
      <c r="U81" s="1566">
        <f t="shared" si="16"/>
        <v>860</v>
      </c>
      <c r="V81" s="1566">
        <f t="shared" si="20"/>
        <v>1352.2000000000003</v>
      </c>
      <c r="W81" s="1218"/>
    </row>
    <row r="82" spans="1:23" ht="50.25" customHeight="1">
      <c r="A82" s="500">
        <v>71</v>
      </c>
      <c r="B82" s="310" t="s">
        <v>1072</v>
      </c>
      <c r="C82" s="1216" t="str">
        <f>VLOOKUP($B82,DATA!$B$7:$AV$679,6,0)</f>
        <v>Tuyên Hóa</v>
      </c>
      <c r="D82" s="1230">
        <f>VLOOKUP($B82,DATA!$B$7:$AV$679,7,0)</f>
        <v>2020</v>
      </c>
      <c r="E82" s="1230">
        <f>VLOOKUP($B82,DATA!$B$7:$AV$679,9,0)</f>
        <v>2022</v>
      </c>
      <c r="F82" s="1216" t="str">
        <f>VLOOKUP($B82,DATA!$B$7:$AV$679,12,0)</f>
        <v>4181/QĐ-UBND
ngày 30/10/2019</v>
      </c>
      <c r="G82" s="1217">
        <f>VLOOKUP($B82,DATA!$B$7:$AV$679,13,0)</f>
        <v>4500</v>
      </c>
      <c r="H82" s="1217">
        <f>VLOOKUP($B82,DATA!$B$7:$AV$679,15,0)</f>
        <v>4500</v>
      </c>
      <c r="I82" s="1217">
        <f>VLOOKUP($B82,DATA!$B$7:$AV$679,29,0)</f>
        <v>1350</v>
      </c>
      <c r="J82" s="1217">
        <f>VLOOKUP($B82,DATA!$B$7:$AV$679,29,0)</f>
        <v>1350</v>
      </c>
      <c r="K82" s="1217">
        <f>VLOOKUP($B82,DATA!$B$7:$AV$679,35,0)</f>
        <v>0</v>
      </c>
      <c r="L82" s="1217">
        <f>VLOOKUP($B82,DATA!$B$7:$AV$679,36,0)</f>
        <v>0</v>
      </c>
      <c r="M82" s="1217">
        <f t="shared" si="19"/>
        <v>1575</v>
      </c>
      <c r="N82" s="59"/>
      <c r="O82" s="1566">
        <v>1575</v>
      </c>
      <c r="P82" s="1566">
        <v>1575</v>
      </c>
      <c r="Q82" s="1566"/>
      <c r="R82" s="1566"/>
      <c r="S82" s="1566">
        <v>1575</v>
      </c>
      <c r="T82" s="1566">
        <f t="shared" si="15"/>
        <v>1575</v>
      </c>
      <c r="U82" s="1566">
        <f t="shared" si="16"/>
        <v>1575</v>
      </c>
      <c r="V82" s="1566">
        <f t="shared" si="20"/>
        <v>2475</v>
      </c>
      <c r="W82" s="1218"/>
    </row>
    <row r="83" spans="1:23" ht="46.5" customHeight="1">
      <c r="A83" s="500">
        <v>72</v>
      </c>
      <c r="B83" s="310" t="s">
        <v>2405</v>
      </c>
      <c r="C83" s="1216" t="str">
        <f>VLOOKUP($B83,DATA!$B$7:$AV$679,6,0)</f>
        <v>Tuyên Hóa</v>
      </c>
      <c r="D83" s="1230">
        <f>VLOOKUP($B83,DATA!$B$7:$AV$679,7,0)</f>
        <v>2020</v>
      </c>
      <c r="E83" s="1230">
        <f>VLOOKUP($B83,DATA!$B$7:$AV$679,9,0)</f>
        <v>2022</v>
      </c>
      <c r="F83" s="1216" t="str">
        <f>VLOOKUP($B83,DATA!$B$7:$AV$679,12,0)</f>
        <v>4226/QĐ-UBND
ngày 30/10/2019</v>
      </c>
      <c r="G83" s="1217">
        <f>VLOOKUP($B83,DATA!$B$7:$AV$679,13,0)</f>
        <v>6500</v>
      </c>
      <c r="H83" s="1217">
        <f>VLOOKUP($B83,DATA!$B$7:$AV$679,15,0)</f>
        <v>6500</v>
      </c>
      <c r="I83" s="1217">
        <f>VLOOKUP($B83,DATA!$B$7:$AV$679,29,0)</f>
        <v>1950</v>
      </c>
      <c r="J83" s="1217">
        <f>VLOOKUP($B83,DATA!$B$7:$AV$679,29,0)</f>
        <v>1950</v>
      </c>
      <c r="K83" s="1217">
        <f>VLOOKUP($B83,DATA!$B$7:$AV$679,35,0)</f>
        <v>0</v>
      </c>
      <c r="L83" s="1217">
        <f>VLOOKUP($B83,DATA!$B$7:$AV$679,36,0)</f>
        <v>0</v>
      </c>
      <c r="M83" s="1217">
        <f t="shared" si="19"/>
        <v>2275</v>
      </c>
      <c r="N83" s="59"/>
      <c r="O83" s="1566">
        <v>2275</v>
      </c>
      <c r="P83" s="1566">
        <v>2275</v>
      </c>
      <c r="Q83" s="1566"/>
      <c r="R83" s="1566"/>
      <c r="S83" s="1566">
        <v>2275</v>
      </c>
      <c r="T83" s="1566">
        <f t="shared" si="15"/>
        <v>2275</v>
      </c>
      <c r="U83" s="1566">
        <f t="shared" si="16"/>
        <v>2275</v>
      </c>
      <c r="V83" s="1566">
        <f t="shared" si="20"/>
        <v>3575</v>
      </c>
      <c r="W83" s="1218"/>
    </row>
    <row r="84" spans="1:23" ht="61.5" customHeight="1">
      <c r="A84" s="500">
        <v>73</v>
      </c>
      <c r="B84" s="310" t="s">
        <v>1073</v>
      </c>
      <c r="C84" s="1216" t="str">
        <f>VLOOKUP($B84,DATA!$B$7:$AV$679,6,0)</f>
        <v>Quảng Trạch</v>
      </c>
      <c r="D84" s="1230">
        <f>VLOOKUP($B84,DATA!$B$7:$AV$679,7,0)</f>
        <v>2020</v>
      </c>
      <c r="E84" s="1230">
        <f>VLOOKUP($B84,DATA!$B$7:$AV$679,9,0)</f>
        <v>2022</v>
      </c>
      <c r="F84" s="1216" t="str">
        <f>VLOOKUP($B84,DATA!$B$7:$AV$679,12,0)</f>
        <v>4006/QĐ-UBND ngày 22/10/2019</v>
      </c>
      <c r="G84" s="1217">
        <f>VLOOKUP($B84,DATA!$B$7:$AV$679,13,0)</f>
        <v>1988</v>
      </c>
      <c r="H84" s="1217">
        <f>VLOOKUP($B84,DATA!$B$7:$AV$679,15,0)</f>
        <v>1988</v>
      </c>
      <c r="I84" s="1217">
        <f>VLOOKUP($B84,DATA!$B$7:$AV$679,29,0)</f>
        <v>596.4</v>
      </c>
      <c r="J84" s="1217">
        <f>VLOOKUP($B84,DATA!$B$7:$AV$679,29,0)</f>
        <v>596.4</v>
      </c>
      <c r="K84" s="1217">
        <f>VLOOKUP($B84,DATA!$B$7:$AV$679,35,0)</f>
        <v>0</v>
      </c>
      <c r="L84" s="1217">
        <f>VLOOKUP($B84,DATA!$B$7:$AV$679,36,0)</f>
        <v>0</v>
      </c>
      <c r="M84" s="1217">
        <f t="shared" si="19"/>
        <v>695.8</v>
      </c>
      <c r="N84" s="59"/>
      <c r="O84" s="1566">
        <v>696</v>
      </c>
      <c r="P84" s="1566">
        <v>696</v>
      </c>
      <c r="Q84" s="1566"/>
      <c r="R84" s="1566"/>
      <c r="S84" s="1566">
        <v>696</v>
      </c>
      <c r="T84" s="1566">
        <f t="shared" si="15"/>
        <v>696</v>
      </c>
      <c r="U84" s="1566">
        <f t="shared" si="16"/>
        <v>696</v>
      </c>
      <c r="V84" s="1566">
        <f t="shared" si="20"/>
        <v>1093.2</v>
      </c>
      <c r="W84" s="1218"/>
    </row>
    <row r="85" spans="1:23" ht="62.25" customHeight="1">
      <c r="A85" s="500">
        <v>74</v>
      </c>
      <c r="B85" s="310" t="s">
        <v>1074</v>
      </c>
      <c r="C85" s="1216" t="str">
        <f>VLOOKUP($B85,DATA!$B$7:$AV$679,6,0)</f>
        <v>Quảng Ninh</v>
      </c>
      <c r="D85" s="1230">
        <f>VLOOKUP($B85,DATA!$B$7:$AV$679,7,0)</f>
        <v>2020</v>
      </c>
      <c r="E85" s="1230">
        <f>VLOOKUP($B85,DATA!$B$7:$AV$679,9,0)</f>
        <v>2022</v>
      </c>
      <c r="F85" s="1216" t="str">
        <f>VLOOKUP($B85,DATA!$B$7:$AV$679,12,0)</f>
        <v>4261/QĐ-UBND ngày 31/10/2019</v>
      </c>
      <c r="G85" s="1217">
        <f>VLOOKUP($B85,DATA!$B$7:$AV$679,13,0)</f>
        <v>5815</v>
      </c>
      <c r="H85" s="1217">
        <f>VLOOKUP($B85,DATA!$B$7:$AV$679,15,0)</f>
        <v>5815</v>
      </c>
      <c r="I85" s="1217">
        <f>VLOOKUP($B85,DATA!$B$7:$AV$679,29,0)</f>
        <v>1744.5</v>
      </c>
      <c r="J85" s="1217">
        <f>VLOOKUP($B85,DATA!$B$7:$AV$679,29,0)</f>
        <v>1744.5</v>
      </c>
      <c r="K85" s="1217">
        <f>VLOOKUP($B85,DATA!$B$7:$AV$679,35,0)</f>
        <v>0</v>
      </c>
      <c r="L85" s="1217">
        <f>VLOOKUP($B85,DATA!$B$7:$AV$679,36,0)</f>
        <v>0</v>
      </c>
      <c r="M85" s="1217">
        <f t="shared" si="19"/>
        <v>2035.2499999999998</v>
      </c>
      <c r="N85" s="59"/>
      <c r="O85" s="1566">
        <v>2035</v>
      </c>
      <c r="P85" s="1566">
        <v>2035</v>
      </c>
      <c r="Q85" s="1566"/>
      <c r="R85" s="1566"/>
      <c r="S85" s="1566">
        <v>2035</v>
      </c>
      <c r="T85" s="1566">
        <f t="shared" si="15"/>
        <v>2035</v>
      </c>
      <c r="U85" s="1566">
        <f t="shared" si="16"/>
        <v>2035</v>
      </c>
      <c r="V85" s="1566">
        <f>H85*0.9-T85</f>
        <v>3198.5</v>
      </c>
      <c r="W85" s="1218"/>
    </row>
    <row r="86" spans="1:23" ht="42" customHeight="1">
      <c r="A86" s="500">
        <v>75</v>
      </c>
      <c r="B86" s="310" t="s">
        <v>1077</v>
      </c>
      <c r="C86" s="1216" t="str">
        <f>VLOOKUP($B86,DATA!$B$7:$AV$679,6,0)</f>
        <v>Bố Trạch</v>
      </c>
      <c r="D86" s="1230">
        <f>VLOOKUP($B86,DATA!$B$7:$AV$679,7,0)</f>
        <v>2020</v>
      </c>
      <c r="E86" s="1230">
        <f>VLOOKUP($B86,DATA!$B$7:$AV$679,9,0)</f>
        <v>2022</v>
      </c>
      <c r="F86" s="1216" t="str">
        <f>VLOOKUP($B86,DATA!$B$7:$AV$679,12,0)</f>
        <v>2915/QĐ-UBND
ngày 30/7/2019</v>
      </c>
      <c r="G86" s="1217">
        <f>VLOOKUP($B86,DATA!$B$7:$AV$679,13,0)</f>
        <v>4000</v>
      </c>
      <c r="H86" s="1217">
        <f>VLOOKUP($B86,DATA!$B$7:$AV$679,15,0)</f>
        <v>4000</v>
      </c>
      <c r="I86" s="1217">
        <f>VLOOKUP($B86,DATA!$B$7:$AV$679,29,0)</f>
        <v>1200</v>
      </c>
      <c r="J86" s="1217">
        <f>VLOOKUP($B86,DATA!$B$7:$AV$679,29,0)</f>
        <v>1200</v>
      </c>
      <c r="K86" s="1217">
        <f>VLOOKUP($B86,DATA!$B$7:$AV$679,35,0)</f>
        <v>0</v>
      </c>
      <c r="L86" s="1217">
        <f>VLOOKUP($B86,DATA!$B$7:$AV$679,36,0)</f>
        <v>0</v>
      </c>
      <c r="M86" s="1217">
        <f t="shared" si="19"/>
        <v>1400</v>
      </c>
      <c r="N86" s="59"/>
      <c r="O86" s="1566">
        <v>1400</v>
      </c>
      <c r="P86" s="1566">
        <v>1400</v>
      </c>
      <c r="Q86" s="1566"/>
      <c r="R86" s="1566"/>
      <c r="S86" s="1566">
        <v>1400</v>
      </c>
      <c r="T86" s="1566">
        <f t="shared" si="15"/>
        <v>1400</v>
      </c>
      <c r="U86" s="1566">
        <f t="shared" si="16"/>
        <v>1400</v>
      </c>
      <c r="V86" s="1566">
        <f t="shared" si="20"/>
        <v>2200</v>
      </c>
      <c r="W86" s="1218"/>
    </row>
    <row r="87" spans="1:23" ht="39" customHeight="1">
      <c r="A87" s="500">
        <v>76</v>
      </c>
      <c r="B87" s="310" t="s">
        <v>2407</v>
      </c>
      <c r="C87" s="1216" t="str">
        <f>VLOOKUP($B87,DATA!$B$7:$AV$679,6,0)</f>
        <v>Bố Trạch</v>
      </c>
      <c r="D87" s="1230">
        <f>VLOOKUP($B87,DATA!$B$7:$AV$679,7,0)</f>
        <v>2020</v>
      </c>
      <c r="E87" s="1230">
        <f>VLOOKUP($B87,DATA!$B$7:$AV$679,9,0)</f>
        <v>2022</v>
      </c>
      <c r="F87" s="1216" t="str">
        <f>VLOOKUP($B87,DATA!$B$7:$AV$679,12,0)</f>
        <v>4002/QĐ-UBND ngày 22/10/2019</v>
      </c>
      <c r="G87" s="1217">
        <f>VLOOKUP($B87,DATA!$B$7:$AV$679,13,0)</f>
        <v>5757</v>
      </c>
      <c r="H87" s="1217">
        <f>VLOOKUP($B87,DATA!$B$7:$AV$679,15,0)</f>
        <v>5757</v>
      </c>
      <c r="I87" s="1217">
        <f>VLOOKUP($B87,DATA!$B$7:$AV$679,29,0)</f>
        <v>1727.1</v>
      </c>
      <c r="J87" s="1217">
        <f>VLOOKUP($B87,DATA!$B$7:$AV$679,29,0)</f>
        <v>1727.1</v>
      </c>
      <c r="K87" s="1217">
        <f>VLOOKUP($B87,DATA!$B$7:$AV$679,35,0)</f>
        <v>0</v>
      </c>
      <c r="L87" s="1217">
        <f>VLOOKUP($B87,DATA!$B$7:$AV$679,36,0)</f>
        <v>0</v>
      </c>
      <c r="M87" s="1217">
        <f t="shared" si="19"/>
        <v>2014.9499999999998</v>
      </c>
      <c r="N87" s="59"/>
      <c r="O87" s="1566">
        <v>2015</v>
      </c>
      <c r="P87" s="1566">
        <v>2015</v>
      </c>
      <c r="Q87" s="1566"/>
      <c r="R87" s="1566"/>
      <c r="S87" s="1566">
        <v>2015</v>
      </c>
      <c r="T87" s="1566">
        <f t="shared" si="15"/>
        <v>2015</v>
      </c>
      <c r="U87" s="1566">
        <f t="shared" si="16"/>
        <v>2015</v>
      </c>
      <c r="V87" s="1566">
        <f t="shared" si="20"/>
        <v>3166.3</v>
      </c>
      <c r="W87" s="1218"/>
    </row>
    <row r="88" spans="1:23" ht="40.5" customHeight="1">
      <c r="A88" s="500">
        <v>77</v>
      </c>
      <c r="B88" s="310" t="s">
        <v>1079</v>
      </c>
      <c r="C88" s="1216" t="str">
        <f>VLOOKUP($B88,DATA!$B$7:$AV$679,6,0)</f>
        <v>Ba Đồn</v>
      </c>
      <c r="D88" s="1230">
        <f>VLOOKUP($B88,DATA!$B$7:$AV$679,7,0)</f>
        <v>2020</v>
      </c>
      <c r="E88" s="1230">
        <f>VLOOKUP($B88,DATA!$B$7:$AV$679,9,0)</f>
        <v>2022</v>
      </c>
      <c r="F88" s="1216" t="str">
        <f>VLOOKUP($B88,DATA!$B$7:$AV$679,12,0)</f>
        <v>4234/QĐ-UBND
ngày 04/12/2018</v>
      </c>
      <c r="G88" s="1217">
        <f>VLOOKUP($B88,DATA!$B$7:$AV$679,13,0)</f>
        <v>7000</v>
      </c>
      <c r="H88" s="1217">
        <f>VLOOKUP($B88,DATA!$B$7:$AV$679,15,0)</f>
        <v>7000</v>
      </c>
      <c r="I88" s="1217">
        <f>VLOOKUP($B88,DATA!$B$7:$AV$679,29,0)</f>
        <v>2100</v>
      </c>
      <c r="J88" s="1217">
        <f>VLOOKUP($B88,DATA!$B$7:$AV$679,29,0)</f>
        <v>2100</v>
      </c>
      <c r="K88" s="1217">
        <f>VLOOKUP($B88,DATA!$B$7:$AV$679,35,0)</f>
        <v>0</v>
      </c>
      <c r="L88" s="1217">
        <f>VLOOKUP($B88,DATA!$B$7:$AV$679,36,0)</f>
        <v>0</v>
      </c>
      <c r="M88" s="1217">
        <f>H88*0.35</f>
        <v>2450</v>
      </c>
      <c r="N88" s="59"/>
      <c r="O88" s="1566">
        <v>2450</v>
      </c>
      <c r="P88" s="1566">
        <v>2450</v>
      </c>
      <c r="Q88" s="1566"/>
      <c r="R88" s="1566"/>
      <c r="S88" s="1566">
        <v>2450</v>
      </c>
      <c r="T88" s="1566">
        <f t="shared" si="15"/>
        <v>2450</v>
      </c>
      <c r="U88" s="1566">
        <f t="shared" si="16"/>
        <v>2450</v>
      </c>
      <c r="V88" s="1566">
        <f t="shared" si="20"/>
        <v>3850</v>
      </c>
      <c r="W88" s="1218"/>
    </row>
    <row r="89" spans="1:23" ht="44.25" customHeight="1">
      <c r="A89" s="500">
        <v>78</v>
      </c>
      <c r="B89" s="310" t="s">
        <v>1071</v>
      </c>
      <c r="C89" s="1216" t="str">
        <f>VLOOKUP($B89,DATA!$B$7:$AV$679,6,0)</f>
        <v>Đồng Hới</v>
      </c>
      <c r="D89" s="1230">
        <f>VLOOKUP($B89,DATA!$B$7:$AV$679,7,0)</f>
        <v>2020</v>
      </c>
      <c r="E89" s="1230">
        <f>VLOOKUP($B89,DATA!$B$7:$AV$679,9,0)</f>
        <v>2022</v>
      </c>
      <c r="F89" s="1216" t="str">
        <f>VLOOKUP($B89,DATA!$B$7:$AV$679,12,0)</f>
        <v>3791/QĐ-UBND ngày 07/10/2019</v>
      </c>
      <c r="G89" s="1217">
        <f>VLOOKUP($B89,DATA!$B$7:$AV$679,13,0)</f>
        <v>6000</v>
      </c>
      <c r="H89" s="1217">
        <f>VLOOKUP($B89,DATA!$B$7:$AV$679,15,0)</f>
        <v>6000</v>
      </c>
      <c r="I89" s="1217">
        <f>VLOOKUP($B89,DATA!$B$7:$AV$679,29,0)</f>
        <v>1800</v>
      </c>
      <c r="J89" s="1217">
        <f>VLOOKUP($B89,DATA!$B$7:$AV$679,29,0)</f>
        <v>1800</v>
      </c>
      <c r="K89" s="1217">
        <f>VLOOKUP($B89,DATA!$B$7:$AV$679,35,0)</f>
        <v>0</v>
      </c>
      <c r="L89" s="1217">
        <f>VLOOKUP($B89,DATA!$B$7:$AV$679,36,0)</f>
        <v>0</v>
      </c>
      <c r="M89" s="1217">
        <f>H89*0.35</f>
        <v>2100</v>
      </c>
      <c r="N89" s="59"/>
      <c r="O89" s="1566">
        <v>2100</v>
      </c>
      <c r="P89" s="1566">
        <v>2100</v>
      </c>
      <c r="Q89" s="1566"/>
      <c r="R89" s="1566"/>
      <c r="S89" s="1566">
        <v>2100</v>
      </c>
      <c r="T89" s="1566">
        <f t="shared" si="15"/>
        <v>2100</v>
      </c>
      <c r="U89" s="1566">
        <f t="shared" si="16"/>
        <v>2100</v>
      </c>
      <c r="V89" s="1566">
        <f t="shared" si="20"/>
        <v>3300</v>
      </c>
      <c r="W89" s="1218"/>
    </row>
    <row r="90" spans="1:23" ht="71.25" customHeight="1">
      <c r="A90" s="500">
        <v>79</v>
      </c>
      <c r="B90" s="310" t="s">
        <v>2294</v>
      </c>
      <c r="C90" s="1216" t="str">
        <f>VLOOKUP($B90,DATA!$B$7:$AV$679,6,0)</f>
        <v>Minh Hóa</v>
      </c>
      <c r="D90" s="1230">
        <f>VLOOKUP($B90,DATA!$B$7:$AV$679,7,0)</f>
        <v>2020</v>
      </c>
      <c r="E90" s="1230">
        <f>VLOOKUP($B90,DATA!$B$7:$AV$679,9,0)</f>
        <v>2022</v>
      </c>
      <c r="F90" s="1216" t="str">
        <f>VLOOKUP($B90,DATA!$B$7:$AV$679,12,0)</f>
        <v>2820/QĐ-UBND ngày 19/7/2019</v>
      </c>
      <c r="G90" s="1217">
        <f>VLOOKUP($B90,DATA!$B$7:$AV$679,13,0)</f>
        <v>7000</v>
      </c>
      <c r="H90" s="1217">
        <f>VLOOKUP($B90,DATA!$B$7:$AV$679,15,0)</f>
        <v>7000</v>
      </c>
      <c r="I90" s="1217">
        <f>VLOOKUP($B90,DATA!$B$7:$AV$679,29,0)</f>
        <v>2100</v>
      </c>
      <c r="J90" s="1217">
        <f>VLOOKUP($B90,DATA!$B$7:$AV$679,29,0)</f>
        <v>2100</v>
      </c>
      <c r="K90" s="1217">
        <f>VLOOKUP($B90,DATA!$B$7:$AV$679,35,0)</f>
        <v>0</v>
      </c>
      <c r="L90" s="1217">
        <f>VLOOKUP($B90,DATA!$B$7:$AV$679,36,0)</f>
        <v>0</v>
      </c>
      <c r="M90" s="1217">
        <f>H90*0.35</f>
        <v>2450</v>
      </c>
      <c r="N90" s="59"/>
      <c r="O90" s="1566">
        <v>2450</v>
      </c>
      <c r="P90" s="1566">
        <v>2450</v>
      </c>
      <c r="Q90" s="1566"/>
      <c r="R90" s="1566"/>
      <c r="S90" s="1566">
        <v>2450</v>
      </c>
      <c r="T90" s="1566">
        <f t="shared" si="15"/>
        <v>2450</v>
      </c>
      <c r="U90" s="1566">
        <f t="shared" si="16"/>
        <v>2450</v>
      </c>
      <c r="V90" s="1566">
        <f t="shared" si="20"/>
        <v>3850</v>
      </c>
      <c r="W90" s="1218"/>
    </row>
    <row r="91" spans="1:23" ht="44.25" customHeight="1">
      <c r="A91" s="500">
        <v>80</v>
      </c>
      <c r="B91" s="547" t="s">
        <v>930</v>
      </c>
      <c r="C91" s="1216" t="str">
        <f>VLOOKUP($B91,DATA!$B$7:$AV$679,6,0)</f>
        <v>Lệ Thủy</v>
      </c>
      <c r="D91" s="1230">
        <f>VLOOKUP($B91,DATA!$B$7:$AV$679,7,0)</f>
        <v>2020</v>
      </c>
      <c r="E91" s="1230">
        <f>VLOOKUP($B91,DATA!$B$7:$AV$679,9,0)</f>
        <v>2022</v>
      </c>
      <c r="F91" s="1216" t="str">
        <f>VLOOKUP($B91,DATA!$B$7:$AV$679,12,0)</f>
        <v>3644/QĐ-UBND ngày 29/10/2018</v>
      </c>
      <c r="G91" s="1217">
        <f>VLOOKUP($B91,DATA!$B$7:$AV$679,13,0)</f>
        <v>4000</v>
      </c>
      <c r="H91" s="1217">
        <f>VLOOKUP($B91,DATA!$B$7:$AV$679,15,0)</f>
        <v>4000</v>
      </c>
      <c r="I91" s="1217">
        <f>VLOOKUP($B91,DATA!$B$7:$AV$679,29,0)</f>
        <v>1200</v>
      </c>
      <c r="J91" s="1217">
        <f>VLOOKUP($B91,DATA!$B$7:$AV$679,29,0)</f>
        <v>1200</v>
      </c>
      <c r="K91" s="1217">
        <f>VLOOKUP($B91,DATA!$B$7:$AV$679,35,0)</f>
        <v>0</v>
      </c>
      <c r="L91" s="1217">
        <f>VLOOKUP($B91,DATA!$B$7:$AV$679,36,0)</f>
        <v>0</v>
      </c>
      <c r="M91" s="1217">
        <f>H91*0.35</f>
        <v>1400</v>
      </c>
      <c r="N91" s="59"/>
      <c r="O91" s="1566">
        <v>1400</v>
      </c>
      <c r="P91" s="1566">
        <v>1400</v>
      </c>
      <c r="Q91" s="1566"/>
      <c r="R91" s="1566"/>
      <c r="S91" s="1566">
        <v>1400</v>
      </c>
      <c r="T91" s="1566">
        <f t="shared" si="15"/>
        <v>1400</v>
      </c>
      <c r="U91" s="1566">
        <f t="shared" si="16"/>
        <v>1400</v>
      </c>
      <c r="V91" s="1566">
        <f>H91*0.9-T91</f>
        <v>2200</v>
      </c>
      <c r="W91" s="1218"/>
    </row>
    <row r="92" spans="1:23" ht="46.5" customHeight="1">
      <c r="A92" s="500">
        <v>81</v>
      </c>
      <c r="B92" s="547" t="s">
        <v>1076</v>
      </c>
      <c r="C92" s="1216" t="str">
        <f>VLOOKUP($B92,DATA!$B$7:$AV$679,6,0)</f>
        <v>Lệ Thủy</v>
      </c>
      <c r="D92" s="1230">
        <f>VLOOKUP($B92,DATA!$B$7:$AV$679,7,0)</f>
        <v>2020</v>
      </c>
      <c r="E92" s="1230">
        <f>VLOOKUP($B92,DATA!$B$7:$AV$679,9,0)</f>
        <v>2022</v>
      </c>
      <c r="F92" s="1216" t="str">
        <f>VLOOKUP($B92,DATA!$B$7:$AV$679,12,0)</f>
        <v>3609/QĐ-UBND ngày 26/10/2018</v>
      </c>
      <c r="G92" s="1217">
        <f>VLOOKUP($B92,DATA!$B$7:$AV$679,13,0)</f>
        <v>6000</v>
      </c>
      <c r="H92" s="1217">
        <f>VLOOKUP($B92,DATA!$B$7:$AV$679,15,0)</f>
        <v>6000</v>
      </c>
      <c r="I92" s="1217">
        <f>VLOOKUP($B92,DATA!$B$7:$AV$679,29,0)</f>
        <v>1800</v>
      </c>
      <c r="J92" s="1217">
        <f>VLOOKUP($B92,DATA!$B$7:$AV$679,29,0)</f>
        <v>1800</v>
      </c>
      <c r="K92" s="1217">
        <f>VLOOKUP($B92,DATA!$B$7:$AV$679,35,0)</f>
        <v>0</v>
      </c>
      <c r="L92" s="1217">
        <f>VLOOKUP($B92,DATA!$B$7:$AV$679,36,0)</f>
        <v>0</v>
      </c>
      <c r="M92" s="1217">
        <v>600</v>
      </c>
      <c r="N92" s="59"/>
      <c r="O92" s="1566">
        <v>600</v>
      </c>
      <c r="P92" s="1566">
        <v>600</v>
      </c>
      <c r="Q92" s="1566"/>
      <c r="R92" s="1566"/>
      <c r="S92" s="1566">
        <v>600</v>
      </c>
      <c r="T92" s="1566">
        <f t="shared" si="15"/>
        <v>600</v>
      </c>
      <c r="U92" s="1566">
        <f t="shared" si="16"/>
        <v>600</v>
      </c>
      <c r="V92" s="1566">
        <f t="shared" si="20"/>
        <v>4800</v>
      </c>
      <c r="W92" s="1218"/>
    </row>
    <row r="93" spans="1:23" ht="62.25" customHeight="1">
      <c r="A93" s="500">
        <v>82</v>
      </c>
      <c r="B93" s="1460" t="s">
        <v>2303</v>
      </c>
      <c r="C93" s="1216" t="str">
        <f>VLOOKUP($B93,DATA!$B$7:$AV$679,6,0)</f>
        <v>Ba Đồn</v>
      </c>
      <c r="D93" s="1230">
        <f>VLOOKUP($B93,DATA!$B$7:$AV$679,7,0)</f>
        <v>2020</v>
      </c>
      <c r="E93" s="1230">
        <f>VLOOKUP($B93,DATA!$B$7:$AV$679,9,0)</f>
        <v>2022</v>
      </c>
      <c r="F93" s="1216" t="str">
        <f>VLOOKUP($B93,DATA!$B$7:$AV$679,12,0)</f>
        <v>4299/QĐ-UBND ngày 31/10/2019</v>
      </c>
      <c r="G93" s="1217">
        <f>VLOOKUP($B93,DATA!$B$7:$AV$679,13,0)</f>
        <v>10000</v>
      </c>
      <c r="H93" s="1217">
        <f>VLOOKUP($B93,DATA!$B$7:$AV$679,15,0)</f>
        <v>6000</v>
      </c>
      <c r="I93" s="1217">
        <f>VLOOKUP($B93,DATA!$B$7:$AV$679,29,0)</f>
        <v>1800</v>
      </c>
      <c r="J93" s="1217">
        <f>VLOOKUP($B93,DATA!$B$7:$AV$679,29,0)</f>
        <v>1800</v>
      </c>
      <c r="K93" s="1217">
        <f>VLOOKUP($B93,DATA!$B$7:$AV$679,35,0)</f>
        <v>0</v>
      </c>
      <c r="L93" s="1217">
        <f>VLOOKUP($B93,DATA!$B$7:$AV$679,36,0)</f>
        <v>0</v>
      </c>
      <c r="M93" s="1217">
        <f t="shared" ref="M93:M98" si="21">H93*0.35</f>
        <v>2100</v>
      </c>
      <c r="N93" s="59"/>
      <c r="O93" s="1566">
        <v>2100</v>
      </c>
      <c r="P93" s="1566">
        <v>2100</v>
      </c>
      <c r="Q93" s="1566"/>
      <c r="R93" s="1566"/>
      <c r="S93" s="1566">
        <v>2100</v>
      </c>
      <c r="T93" s="1566">
        <f t="shared" si="15"/>
        <v>2100</v>
      </c>
      <c r="U93" s="1566">
        <f t="shared" si="16"/>
        <v>2100</v>
      </c>
      <c r="V93" s="1566">
        <f>H93-U93</f>
        <v>3900</v>
      </c>
      <c r="W93" s="1218"/>
    </row>
    <row r="94" spans="1:23" ht="51" customHeight="1">
      <c r="A94" s="500">
        <v>83</v>
      </c>
      <c r="B94" s="1460" t="s">
        <v>2383</v>
      </c>
      <c r="C94" s="1216" t="str">
        <f>VLOOKUP($B94,DATA!$B$7:$AV$679,6,0)</f>
        <v>Ba Đồn</v>
      </c>
      <c r="D94" s="1230">
        <f>VLOOKUP($B94,DATA!$B$7:$AV$679,7,0)</f>
        <v>2020</v>
      </c>
      <c r="E94" s="1230">
        <f>VLOOKUP($B94,DATA!$B$7:$AV$679,9,0)</f>
        <v>2022</v>
      </c>
      <c r="F94" s="1216" t="str">
        <f>VLOOKUP($B94,DATA!$B$7:$AV$679,12,0)</f>
        <v>4138/QĐ-UBND ngày 30/10/2019</v>
      </c>
      <c r="G94" s="1217">
        <f>VLOOKUP($B94,DATA!$B$7:$AV$679,13,0)</f>
        <v>8500</v>
      </c>
      <c r="H94" s="1217">
        <f>VLOOKUP($B94,DATA!$B$7:$AV$679,15,0)</f>
        <v>5100</v>
      </c>
      <c r="I94" s="1217">
        <f>VLOOKUP($B94,DATA!$B$7:$AV$679,29,0)</f>
        <v>1530</v>
      </c>
      <c r="J94" s="1217">
        <f>VLOOKUP($B94,DATA!$B$7:$AV$679,29,0)</f>
        <v>1530</v>
      </c>
      <c r="K94" s="1217">
        <f>VLOOKUP($B94,DATA!$B$7:$AV$679,35,0)</f>
        <v>0</v>
      </c>
      <c r="L94" s="1217">
        <f>VLOOKUP($B94,DATA!$B$7:$AV$679,36,0)</f>
        <v>0</v>
      </c>
      <c r="M94" s="1217">
        <f t="shared" si="21"/>
        <v>1785</v>
      </c>
      <c r="N94" s="59"/>
      <c r="O94" s="1566">
        <v>1785</v>
      </c>
      <c r="P94" s="1566">
        <v>1785</v>
      </c>
      <c r="Q94" s="1566"/>
      <c r="R94" s="1566"/>
      <c r="S94" s="1566">
        <v>1785</v>
      </c>
      <c r="T94" s="1566">
        <f t="shared" si="15"/>
        <v>1785</v>
      </c>
      <c r="U94" s="1566">
        <f t="shared" si="16"/>
        <v>1785</v>
      </c>
      <c r="V94" s="1566">
        <f t="shared" ref="V94:V102" si="22">H94-U94</f>
        <v>3315</v>
      </c>
      <c r="W94" s="1218"/>
    </row>
    <row r="95" spans="1:23" ht="43.5" customHeight="1">
      <c r="A95" s="500">
        <v>84</v>
      </c>
      <c r="B95" s="1460" t="s">
        <v>2305</v>
      </c>
      <c r="C95" s="1216" t="str">
        <f>VLOOKUP($B95,DATA!$B$7:$AV$679,6,0)</f>
        <v>Lệ Thủy</v>
      </c>
      <c r="D95" s="1230">
        <f>VLOOKUP($B95,DATA!$B$7:$AV$679,7,0)</f>
        <v>2020</v>
      </c>
      <c r="E95" s="1230">
        <f>VLOOKUP($B95,DATA!$B$7:$AV$679,9,0)</f>
        <v>2022</v>
      </c>
      <c r="F95" s="1216" t="str">
        <f>VLOOKUP($B95,DATA!$B$7:$AV$679,12,0)</f>
        <v>4203/QĐ-UBND ngày 30/10/2019</v>
      </c>
      <c r="G95" s="1217">
        <f>VLOOKUP($B95,DATA!$B$7:$AV$679,13,0)</f>
        <v>5000</v>
      </c>
      <c r="H95" s="1217">
        <f>VLOOKUP($B95,DATA!$B$7:$AV$679,15,0)</f>
        <v>3000</v>
      </c>
      <c r="I95" s="1217">
        <f>VLOOKUP($B95,DATA!$B$7:$AV$679,29,0)</f>
        <v>900</v>
      </c>
      <c r="J95" s="1217">
        <f>VLOOKUP($B95,DATA!$B$7:$AV$679,29,0)</f>
        <v>900</v>
      </c>
      <c r="K95" s="1217">
        <f>VLOOKUP($B95,DATA!$B$7:$AV$679,35,0)</f>
        <v>0</v>
      </c>
      <c r="L95" s="1217">
        <f>VLOOKUP($B95,DATA!$B$7:$AV$679,36,0)</f>
        <v>0</v>
      </c>
      <c r="M95" s="1217">
        <f t="shared" si="21"/>
        <v>1050</v>
      </c>
      <c r="N95" s="59"/>
      <c r="O95" s="1566">
        <v>1050</v>
      </c>
      <c r="P95" s="1566">
        <v>1050</v>
      </c>
      <c r="Q95" s="1566"/>
      <c r="R95" s="1566"/>
      <c r="S95" s="1566">
        <v>1050</v>
      </c>
      <c r="T95" s="1566">
        <f t="shared" si="15"/>
        <v>1050</v>
      </c>
      <c r="U95" s="1566">
        <f t="shared" si="16"/>
        <v>1050</v>
      </c>
      <c r="V95" s="1566">
        <f t="shared" si="22"/>
        <v>1950</v>
      </c>
      <c r="W95" s="1218"/>
    </row>
    <row r="96" spans="1:23" ht="42.75" customHeight="1">
      <c r="A96" s="500">
        <v>85</v>
      </c>
      <c r="B96" s="1460" t="s">
        <v>2306</v>
      </c>
      <c r="C96" s="1216" t="str">
        <f>VLOOKUP($B96,DATA!$B$7:$AV$679,6,0)</f>
        <v>Quảng Ninh</v>
      </c>
      <c r="D96" s="1230">
        <f>VLOOKUP($B96,DATA!$B$7:$AV$679,7,0)</f>
        <v>2020</v>
      </c>
      <c r="E96" s="1230">
        <f>VLOOKUP($B96,DATA!$B$7:$AV$679,9,0)</f>
        <v>2022</v>
      </c>
      <c r="F96" s="1216" t="str">
        <f>VLOOKUP($B96,DATA!$B$7:$AV$679,12,0)</f>
        <v>4197/QĐ-UBND ngày 30/10/2019</v>
      </c>
      <c r="G96" s="1217">
        <f>VLOOKUP($B96,DATA!$B$7:$AV$679,13,0)</f>
        <v>5000</v>
      </c>
      <c r="H96" s="1217">
        <f>VLOOKUP($B96,DATA!$B$7:$AV$679,15,0)</f>
        <v>3000</v>
      </c>
      <c r="I96" s="1217">
        <f>VLOOKUP($B96,DATA!$B$7:$AV$679,29,0)</f>
        <v>900</v>
      </c>
      <c r="J96" s="1217">
        <f>VLOOKUP($B96,DATA!$B$7:$AV$679,29,0)</f>
        <v>900</v>
      </c>
      <c r="K96" s="1217">
        <f>VLOOKUP($B96,DATA!$B$7:$AV$679,35,0)</f>
        <v>0</v>
      </c>
      <c r="L96" s="1217">
        <f>VLOOKUP($B96,DATA!$B$7:$AV$679,36,0)</f>
        <v>0</v>
      </c>
      <c r="M96" s="1217">
        <f t="shared" si="21"/>
        <v>1050</v>
      </c>
      <c r="N96" s="59"/>
      <c r="O96" s="1566">
        <f t="shared" ref="O96:P96" si="23">1050+205</f>
        <v>1255</v>
      </c>
      <c r="P96" s="1566">
        <f t="shared" si="23"/>
        <v>1255</v>
      </c>
      <c r="Q96" s="1566"/>
      <c r="R96" s="1566"/>
      <c r="S96" s="1566">
        <f>1050+205</f>
        <v>1255</v>
      </c>
      <c r="T96" s="1566">
        <f t="shared" si="15"/>
        <v>1255</v>
      </c>
      <c r="U96" s="1566">
        <f t="shared" si="16"/>
        <v>1255</v>
      </c>
      <c r="V96" s="1566">
        <f t="shared" si="22"/>
        <v>1745</v>
      </c>
      <c r="W96" s="1218"/>
    </row>
    <row r="97" spans="1:23" ht="33.75" customHeight="1">
      <c r="A97" s="500">
        <v>86</v>
      </c>
      <c r="B97" s="1460" t="s">
        <v>2359</v>
      </c>
      <c r="C97" s="1216" t="str">
        <f>VLOOKUP($B97,DATA!$B$7:$AV$679,6,0)</f>
        <v>Quảng Trạch</v>
      </c>
      <c r="D97" s="1230">
        <f>VLOOKUP($B97,DATA!$B$7:$AV$679,7,0)</f>
        <v>2020</v>
      </c>
      <c r="E97" s="1230">
        <f>VLOOKUP($B97,DATA!$B$7:$AV$679,9,0)</f>
        <v>2022</v>
      </c>
      <c r="F97" s="1216" t="str">
        <f>VLOOKUP($B97,DATA!$B$7:$AV$679,12,0)</f>
        <v>4139/QĐ-UBND ngày 30/10/2019</v>
      </c>
      <c r="G97" s="1217">
        <f>VLOOKUP($B97,DATA!$B$7:$AV$679,13,0)</f>
        <v>5200</v>
      </c>
      <c r="H97" s="1217">
        <f>VLOOKUP($B97,DATA!$B$7:$AV$679,15,0)</f>
        <v>5200</v>
      </c>
      <c r="I97" s="1217">
        <f>VLOOKUP($B97,DATA!$B$7:$AV$679,29,0)</f>
        <v>1560</v>
      </c>
      <c r="J97" s="1217">
        <f>VLOOKUP($B97,DATA!$B$7:$AV$679,29,0)</f>
        <v>1560</v>
      </c>
      <c r="K97" s="1217">
        <f>VLOOKUP($B97,DATA!$B$7:$AV$679,35,0)</f>
        <v>0</v>
      </c>
      <c r="L97" s="1217">
        <f>VLOOKUP($B97,DATA!$B$7:$AV$679,36,0)</f>
        <v>0</v>
      </c>
      <c r="M97" s="1217">
        <f t="shared" si="21"/>
        <v>1819.9999999999998</v>
      </c>
      <c r="N97" s="59"/>
      <c r="O97" s="1566">
        <v>1820</v>
      </c>
      <c r="P97" s="1566">
        <v>1820</v>
      </c>
      <c r="Q97" s="1566"/>
      <c r="R97" s="1566"/>
      <c r="S97" s="1566">
        <v>1820</v>
      </c>
      <c r="T97" s="1566">
        <f t="shared" si="15"/>
        <v>1820</v>
      </c>
      <c r="U97" s="1566">
        <f t="shared" si="16"/>
        <v>1820</v>
      </c>
      <c r="V97" s="1566">
        <f>H97*0.9-U97</f>
        <v>2860</v>
      </c>
      <c r="W97" s="1218"/>
    </row>
    <row r="98" spans="1:23" ht="41.25" customHeight="1">
      <c r="A98" s="500">
        <v>87</v>
      </c>
      <c r="B98" s="1460" t="s">
        <v>2389</v>
      </c>
      <c r="C98" s="1216" t="str">
        <f>VLOOKUP($B98,DATA!$B$7:$AV$679,6,0)</f>
        <v>Quảng Trạch</v>
      </c>
      <c r="D98" s="1230">
        <f>VLOOKUP($B98,DATA!$B$7:$AV$679,7,0)</f>
        <v>2020</v>
      </c>
      <c r="E98" s="1230">
        <f>VLOOKUP($B98,DATA!$B$7:$AV$679,9,0)</f>
        <v>2022</v>
      </c>
      <c r="F98" s="1216" t="str">
        <f>VLOOKUP($B98,DATA!$B$7:$AV$679,12,0)</f>
        <v>4145/QĐ-UBND ngày 30/10/2019</v>
      </c>
      <c r="G98" s="1217">
        <f>VLOOKUP($B98,DATA!$B$7:$AV$679,13,0)</f>
        <v>6500</v>
      </c>
      <c r="H98" s="1217">
        <f>VLOOKUP($B98,DATA!$B$7:$AV$679,15,0)</f>
        <v>3900</v>
      </c>
      <c r="I98" s="1217">
        <f>VLOOKUP($B98,DATA!$B$7:$AV$679,29,0)</f>
        <v>1170</v>
      </c>
      <c r="J98" s="1217">
        <f>VLOOKUP($B98,DATA!$B$7:$AV$679,29,0)</f>
        <v>1170</v>
      </c>
      <c r="K98" s="1217">
        <f>VLOOKUP($B98,DATA!$B$7:$AV$679,35,0)</f>
        <v>0</v>
      </c>
      <c r="L98" s="1217">
        <f>VLOOKUP($B98,DATA!$B$7:$AV$679,36,0)</f>
        <v>0</v>
      </c>
      <c r="M98" s="1217">
        <f t="shared" si="21"/>
        <v>1365</v>
      </c>
      <c r="N98" s="59"/>
      <c r="O98" s="1566">
        <f t="shared" ref="O98:P98" si="24">1365+200</f>
        <v>1565</v>
      </c>
      <c r="P98" s="1566">
        <f t="shared" si="24"/>
        <v>1565</v>
      </c>
      <c r="Q98" s="1566"/>
      <c r="R98" s="1566"/>
      <c r="S98" s="1566">
        <f>1365+200</f>
        <v>1565</v>
      </c>
      <c r="T98" s="1566">
        <f t="shared" si="15"/>
        <v>1565</v>
      </c>
      <c r="U98" s="1566">
        <f t="shared" si="16"/>
        <v>1565</v>
      </c>
      <c r="V98" s="1566">
        <f t="shared" si="22"/>
        <v>2335</v>
      </c>
      <c r="W98" s="1218"/>
    </row>
    <row r="99" spans="1:23" ht="44.25" customHeight="1">
      <c r="A99" s="500">
        <v>88</v>
      </c>
      <c r="B99" s="1460" t="s">
        <v>2315</v>
      </c>
      <c r="C99" s="1216" t="str">
        <f>VLOOKUP($B99,DATA!$B$7:$AV$679,6,0)</f>
        <v>Lệ Thủy</v>
      </c>
      <c r="D99" s="1230">
        <f>VLOOKUP($B99,DATA!$B$7:$AV$679,7,0)</f>
        <v>2020</v>
      </c>
      <c r="E99" s="1230">
        <f>VLOOKUP($B99,DATA!$B$7:$AV$679,9,0)</f>
        <v>2022</v>
      </c>
      <c r="F99" s="1216" t="str">
        <f>VLOOKUP($B99,DATA!$B$7:$AV$679,12,0)</f>
        <v>4184/QĐ-UBND ngày 30/10/2019</v>
      </c>
      <c r="G99" s="1217">
        <f>VLOOKUP($B99,DATA!$B$7:$AV$679,13,0)</f>
        <v>8500</v>
      </c>
      <c r="H99" s="1217">
        <f>VLOOKUP($B99,DATA!$B$7:$AV$679,15,0)</f>
        <v>4800</v>
      </c>
      <c r="I99" s="1217">
        <f>VLOOKUP($B99,DATA!$B$7:$AV$679,29,0)</f>
        <v>1440</v>
      </c>
      <c r="J99" s="1217">
        <f>VLOOKUP($B99,DATA!$B$7:$AV$679,29,0)</f>
        <v>1440</v>
      </c>
      <c r="K99" s="1217">
        <f>VLOOKUP($B99,DATA!$B$7:$AV$679,35,0)</f>
        <v>0</v>
      </c>
      <c r="L99" s="1217">
        <f>VLOOKUP($B99,DATA!$B$7:$AV$679,36,0)</f>
        <v>0</v>
      </c>
      <c r="M99" s="1217">
        <f>H99*0.3+790</f>
        <v>2230</v>
      </c>
      <c r="N99" s="59"/>
      <c r="O99" s="1566">
        <v>1680</v>
      </c>
      <c r="P99" s="1566">
        <v>1680</v>
      </c>
      <c r="Q99" s="1566"/>
      <c r="R99" s="1566"/>
      <c r="S99" s="1566">
        <v>1680</v>
      </c>
      <c r="T99" s="1566">
        <f t="shared" si="15"/>
        <v>1680</v>
      </c>
      <c r="U99" s="1566">
        <f t="shared" si="16"/>
        <v>1680</v>
      </c>
      <c r="V99" s="1566">
        <f t="shared" si="22"/>
        <v>3120</v>
      </c>
      <c r="W99" s="1218"/>
    </row>
    <row r="100" spans="1:23" ht="45.75" customHeight="1">
      <c r="A100" s="500">
        <v>89</v>
      </c>
      <c r="B100" s="1460" t="s">
        <v>2414</v>
      </c>
      <c r="C100" s="1216" t="str">
        <f>VLOOKUP($B100,DATA!$B$7:$AV$679,6,0)</f>
        <v>Đồng Hới</v>
      </c>
      <c r="D100" s="1230">
        <f>VLOOKUP($B100,DATA!$B$7:$AV$679,7,0)</f>
        <v>2020</v>
      </c>
      <c r="E100" s="1230">
        <f>VLOOKUP($B100,DATA!$B$7:$AV$679,9,0)</f>
        <v>2022</v>
      </c>
      <c r="F100" s="1216" t="str">
        <f>VLOOKUP($B100,DATA!$B$7:$AV$679,12,0)</f>
        <v>4104/QĐ-UBND ngày 29/10/2019</v>
      </c>
      <c r="G100" s="1217">
        <f>VLOOKUP($B100,DATA!$B$7:$AV$679,13,0)</f>
        <v>5000</v>
      </c>
      <c r="H100" s="1217">
        <f>VLOOKUP($B100,DATA!$B$7:$AV$679,15,0)</f>
        <v>5000</v>
      </c>
      <c r="I100" s="1217">
        <f>VLOOKUP($B100,DATA!$B$7:$AV$679,29,0)</f>
        <v>1500</v>
      </c>
      <c r="J100" s="1217">
        <f>VLOOKUP($B100,DATA!$B$7:$AV$679,29,0)</f>
        <v>1500</v>
      </c>
      <c r="K100" s="1217">
        <f>VLOOKUP($B100,DATA!$B$7:$AV$679,35,0)</f>
        <v>0</v>
      </c>
      <c r="L100" s="1217">
        <f>VLOOKUP($B100,DATA!$B$7:$AV$679,36,0)</f>
        <v>0</v>
      </c>
      <c r="M100" s="1217">
        <f>H100*0.35</f>
        <v>1750</v>
      </c>
      <c r="N100" s="59"/>
      <c r="O100" s="1566">
        <v>1750</v>
      </c>
      <c r="P100" s="1566">
        <v>1750</v>
      </c>
      <c r="Q100" s="1566"/>
      <c r="R100" s="1566"/>
      <c r="S100" s="1566">
        <v>1750</v>
      </c>
      <c r="T100" s="1566">
        <f t="shared" si="15"/>
        <v>1750</v>
      </c>
      <c r="U100" s="1566">
        <f t="shared" si="16"/>
        <v>1750</v>
      </c>
      <c r="V100" s="1566">
        <f>H100*0.9-U100</f>
        <v>2750</v>
      </c>
      <c r="W100" s="1218"/>
    </row>
    <row r="101" spans="1:23" ht="39.75" customHeight="1">
      <c r="A101" s="500">
        <v>90</v>
      </c>
      <c r="B101" s="1460" t="s">
        <v>2544</v>
      </c>
      <c r="C101" s="1216" t="str">
        <f>VLOOKUP($B101,DATA!$B$7:$AV$679,6,0)</f>
        <v>Đồng Hới</v>
      </c>
      <c r="D101" s="1230">
        <f>VLOOKUP($B101,DATA!$B$7:$AV$679,7,0)</f>
        <v>2020</v>
      </c>
      <c r="E101" s="1230">
        <f>VLOOKUP($B101,DATA!$B$7:$AV$679,9,0)</f>
        <v>2022</v>
      </c>
      <c r="F101" s="1216" t="str">
        <f>VLOOKUP($B101,DATA!$B$7:$AV$679,12,0)</f>
        <v>4208/QĐ-UBND ngày 30/10/2019</v>
      </c>
      <c r="G101" s="1217">
        <f>VLOOKUP($B101,DATA!$B$7:$AV$679,13,0)</f>
        <v>5700</v>
      </c>
      <c r="H101" s="1217">
        <f>VLOOKUP($B101,DATA!$B$7:$AV$679,15,0)</f>
        <v>5700</v>
      </c>
      <c r="I101" s="1217">
        <f>VLOOKUP($B101,DATA!$B$7:$AV$679,29,0)</f>
        <v>700</v>
      </c>
      <c r="J101" s="1217">
        <f>VLOOKUP($B101,DATA!$B$7:$AV$679,29,0)</f>
        <v>700</v>
      </c>
      <c r="K101" s="1217">
        <f>VLOOKUP($B101,DATA!$B$7:$AV$679,35,0)</f>
        <v>0</v>
      </c>
      <c r="L101" s="1217">
        <f>VLOOKUP($B101,DATA!$B$7:$AV$679,36,0)</f>
        <v>0</v>
      </c>
      <c r="M101" s="1217">
        <v>700</v>
      </c>
      <c r="N101" s="59"/>
      <c r="O101" s="1566">
        <v>1995</v>
      </c>
      <c r="P101" s="1566">
        <v>1995</v>
      </c>
      <c r="Q101" s="1566"/>
      <c r="R101" s="1566"/>
      <c r="S101" s="1566">
        <v>1995</v>
      </c>
      <c r="T101" s="1566">
        <f t="shared" si="15"/>
        <v>1995</v>
      </c>
      <c r="U101" s="1566">
        <f t="shared" si="16"/>
        <v>1995</v>
      </c>
      <c r="V101" s="1566">
        <f>H101*0.9-U101</f>
        <v>3135</v>
      </c>
      <c r="W101" s="1218"/>
    </row>
    <row r="102" spans="1:23" ht="51.75" customHeight="1">
      <c r="A102" s="500">
        <v>91</v>
      </c>
      <c r="B102" s="1596" t="s">
        <v>2393</v>
      </c>
      <c r="C102" s="1597" t="str">
        <f>VLOOKUP($B102,DATA!$B$7:$AV$679,6,0)</f>
        <v>Ba Đồn</v>
      </c>
      <c r="D102" s="1494">
        <f>VLOOKUP($B102,DATA!$B$7:$AV$679,7,0)</f>
        <v>2020</v>
      </c>
      <c r="E102" s="1494">
        <f>VLOOKUP($B102,DATA!$B$7:$AV$679,9,0)</f>
        <v>2022</v>
      </c>
      <c r="F102" s="1597" t="str">
        <f>VLOOKUP($B102,DATA!$B$7:$AV$679,12,0)</f>
        <v>4205/QĐ-UBND ngày 30/10/2019</v>
      </c>
      <c r="G102" s="1598">
        <f>VLOOKUP($B102,DATA!$B$7:$AV$679,13,0)</f>
        <v>4500</v>
      </c>
      <c r="H102" s="1598">
        <f>VLOOKUP($B102,DATA!$B$7:$AV$679,15,0)</f>
        <v>2700</v>
      </c>
      <c r="I102" s="1598">
        <f>VLOOKUP($B102,DATA!$B$7:$AV$679,29,0)</f>
        <v>810</v>
      </c>
      <c r="J102" s="1598">
        <f>VLOOKUP($B102,DATA!$B$7:$AV$679,29,0)</f>
        <v>810</v>
      </c>
      <c r="K102" s="1598">
        <f>VLOOKUP($B102,DATA!$B$7:$AV$679,35,0)</f>
        <v>0</v>
      </c>
      <c r="L102" s="1598">
        <f>VLOOKUP($B102,DATA!$B$7:$AV$679,36,0)</f>
        <v>0</v>
      </c>
      <c r="M102" s="1598">
        <f>H102*0.35</f>
        <v>944.99999999999989</v>
      </c>
      <c r="N102" s="59"/>
      <c r="O102" s="1599">
        <f t="shared" ref="O102:P102" si="25">945+200</f>
        <v>1145</v>
      </c>
      <c r="P102" s="1599">
        <f t="shared" si="25"/>
        <v>1145</v>
      </c>
      <c r="Q102" s="1599"/>
      <c r="R102" s="1599"/>
      <c r="S102" s="1599">
        <f>945+200</f>
        <v>1145</v>
      </c>
      <c r="T102" s="1599">
        <f t="shared" si="15"/>
        <v>1145</v>
      </c>
      <c r="U102" s="1599">
        <f t="shared" si="16"/>
        <v>1145</v>
      </c>
      <c r="V102" s="1599">
        <f t="shared" si="22"/>
        <v>1555</v>
      </c>
      <c r="W102" s="1218"/>
    </row>
    <row r="103" spans="1:23" ht="94.5" hidden="1" customHeight="1">
      <c r="A103" s="500">
        <v>92</v>
      </c>
      <c r="B103" s="1449" t="s">
        <v>2595</v>
      </c>
      <c r="C103" s="1597" t="s">
        <v>401</v>
      </c>
      <c r="D103" s="1494">
        <v>2018</v>
      </c>
      <c r="E103" s="1494">
        <v>2021</v>
      </c>
      <c r="F103" s="1597" t="s">
        <v>2596</v>
      </c>
      <c r="G103" s="1598">
        <v>3600</v>
      </c>
      <c r="H103" s="1598">
        <v>1912</v>
      </c>
      <c r="I103" s="1598"/>
      <c r="J103" s="1598"/>
      <c r="K103" s="1598"/>
      <c r="L103" s="1598"/>
      <c r="M103" s="1598"/>
      <c r="N103" s="59"/>
      <c r="O103" s="1599"/>
      <c r="P103" s="1599"/>
      <c r="Q103" s="1599"/>
      <c r="R103" s="1599"/>
      <c r="S103" s="1599"/>
      <c r="T103" s="1599">
        <v>1688</v>
      </c>
      <c r="U103" s="1599"/>
      <c r="V103" s="1599"/>
      <c r="W103" s="1218"/>
    </row>
    <row r="104" spans="1:23" s="51" customFormat="1" ht="90" customHeight="1">
      <c r="A104" s="1659" t="s">
        <v>49</v>
      </c>
      <c r="B104" s="1660" t="s">
        <v>2606</v>
      </c>
      <c r="C104" s="1600"/>
      <c r="D104" s="1600"/>
      <c r="E104" s="1600"/>
      <c r="F104" s="1601"/>
      <c r="G104" s="1600"/>
      <c r="H104" s="1600"/>
      <c r="I104" s="1600"/>
      <c r="J104" s="1600"/>
      <c r="K104" s="1600"/>
      <c r="L104" s="1600"/>
      <c r="M104" s="1600"/>
      <c r="N104" s="1600"/>
      <c r="O104" s="1600"/>
      <c r="P104" s="1600"/>
      <c r="Q104" s="1600"/>
      <c r="R104" s="1600"/>
      <c r="S104" s="1600"/>
      <c r="T104" s="1600"/>
      <c r="U104" s="1600"/>
      <c r="V104" s="1661">
        <v>35096</v>
      </c>
      <c r="W104" s="1655" t="s">
        <v>2603</v>
      </c>
    </row>
    <row r="105" spans="1:23">
      <c r="A105" s="13"/>
      <c r="B105" s="202"/>
      <c r="C105" s="13"/>
      <c r="D105" s="13"/>
      <c r="E105" s="13"/>
      <c r="F105" s="200"/>
      <c r="G105" s="13"/>
      <c r="H105" s="13"/>
      <c r="I105" s="13"/>
      <c r="J105" s="13"/>
      <c r="K105" s="13"/>
      <c r="L105" s="13"/>
      <c r="M105" s="13"/>
    </row>
    <row r="106" spans="1:23">
      <c r="A106" s="13"/>
      <c r="B106" s="202"/>
      <c r="C106" s="13"/>
      <c r="D106" s="13"/>
      <c r="E106" s="13"/>
      <c r="F106" s="200"/>
      <c r="G106" s="13"/>
      <c r="H106" s="13"/>
      <c r="I106" s="13"/>
      <c r="J106" s="13"/>
      <c r="K106" s="13"/>
      <c r="L106" s="13"/>
      <c r="M106" s="13"/>
    </row>
    <row r="107" spans="1:23">
      <c r="A107" s="13"/>
      <c r="B107" s="202"/>
      <c r="C107" s="13"/>
      <c r="D107" s="13"/>
      <c r="E107" s="13"/>
      <c r="F107" s="200"/>
      <c r="G107" s="13"/>
      <c r="H107" s="13"/>
      <c r="I107" s="13"/>
      <c r="J107" s="13"/>
      <c r="K107" s="13"/>
      <c r="L107" s="13"/>
      <c r="M107" s="13"/>
    </row>
    <row r="108" spans="1:23">
      <c r="A108" s="13"/>
      <c r="B108" s="202"/>
      <c r="C108" s="13"/>
      <c r="D108" s="13"/>
      <c r="E108" s="13"/>
      <c r="F108" s="200"/>
      <c r="G108" s="13"/>
      <c r="H108" s="13"/>
      <c r="I108" s="13"/>
      <c r="J108" s="13"/>
      <c r="K108" s="13"/>
      <c r="L108" s="13"/>
      <c r="M108" s="13"/>
    </row>
    <row r="109" spans="1:23">
      <c r="A109" s="13"/>
      <c r="B109" s="202"/>
      <c r="C109" s="13"/>
      <c r="D109" s="13"/>
      <c r="E109" s="13"/>
      <c r="F109" s="200"/>
      <c r="G109" s="13"/>
      <c r="H109" s="13"/>
      <c r="I109" s="13"/>
      <c r="J109" s="13"/>
      <c r="K109" s="13"/>
      <c r="L109" s="13"/>
      <c r="M109" s="13"/>
    </row>
    <row r="110" spans="1:23">
      <c r="A110" s="13"/>
      <c r="B110" s="202"/>
      <c r="C110" s="13"/>
      <c r="D110" s="13"/>
      <c r="E110" s="13"/>
      <c r="F110" s="200"/>
      <c r="G110" s="13"/>
      <c r="H110" s="13"/>
      <c r="I110" s="13"/>
      <c r="J110" s="13"/>
      <c r="K110" s="13"/>
      <c r="L110" s="13"/>
      <c r="M110" s="13"/>
    </row>
    <row r="111" spans="1:23">
      <c r="A111" s="13"/>
      <c r="B111" s="202"/>
      <c r="C111" s="13"/>
      <c r="D111" s="13"/>
      <c r="E111" s="13"/>
      <c r="F111" s="200"/>
      <c r="G111" s="13"/>
      <c r="H111" s="13"/>
      <c r="I111" s="13"/>
      <c r="J111" s="13"/>
      <c r="K111" s="13"/>
      <c r="L111" s="13"/>
      <c r="M111" s="13"/>
    </row>
    <row r="112" spans="1:23">
      <c r="A112" s="13"/>
      <c r="B112" s="202"/>
      <c r="C112" s="13"/>
      <c r="D112" s="13"/>
      <c r="E112" s="13"/>
      <c r="F112" s="200"/>
      <c r="G112" s="13"/>
      <c r="H112" s="13"/>
      <c r="I112" s="13"/>
      <c r="J112" s="13"/>
      <c r="K112" s="13"/>
      <c r="L112" s="13"/>
      <c r="M112" s="13"/>
    </row>
    <row r="113" spans="1:13">
      <c r="A113" s="13"/>
      <c r="B113" s="202"/>
      <c r="C113" s="13"/>
      <c r="D113" s="13"/>
      <c r="E113" s="13"/>
      <c r="F113" s="200"/>
      <c r="G113" s="13"/>
      <c r="H113" s="13"/>
      <c r="I113" s="13"/>
      <c r="J113" s="13"/>
      <c r="K113" s="13"/>
      <c r="L113" s="13"/>
      <c r="M113" s="13"/>
    </row>
    <row r="114" spans="1:13">
      <c r="A114" s="13"/>
      <c r="B114" s="202"/>
      <c r="C114" s="13"/>
      <c r="D114" s="13"/>
      <c r="E114" s="13"/>
      <c r="F114" s="200"/>
      <c r="G114" s="13"/>
      <c r="H114" s="13"/>
      <c r="I114" s="13"/>
      <c r="J114" s="13"/>
      <c r="K114" s="13"/>
      <c r="L114" s="13"/>
      <c r="M114" s="13"/>
    </row>
    <row r="115" spans="1:13">
      <c r="A115" s="13"/>
      <c r="B115" s="202"/>
      <c r="C115" s="13"/>
      <c r="D115" s="13"/>
      <c r="E115" s="13"/>
      <c r="F115" s="200"/>
      <c r="G115" s="13"/>
      <c r="H115" s="13"/>
      <c r="I115" s="13"/>
      <c r="J115" s="13"/>
      <c r="K115" s="13"/>
      <c r="L115" s="13"/>
      <c r="M115" s="13"/>
    </row>
    <row r="116" spans="1:13">
      <c r="A116" s="13"/>
      <c r="B116" s="202"/>
      <c r="C116" s="13"/>
      <c r="D116" s="13"/>
      <c r="E116" s="13"/>
      <c r="F116" s="200"/>
      <c r="G116" s="13"/>
      <c r="H116" s="13"/>
      <c r="I116" s="13"/>
      <c r="J116" s="13"/>
      <c r="K116" s="13"/>
      <c r="L116" s="13"/>
      <c r="M116" s="13"/>
    </row>
    <row r="117" spans="1:13">
      <c r="A117" s="13"/>
      <c r="B117" s="202"/>
      <c r="C117" s="13"/>
      <c r="D117" s="13"/>
      <c r="E117" s="13"/>
      <c r="F117" s="200"/>
      <c r="G117" s="13"/>
      <c r="H117" s="13"/>
      <c r="I117" s="13"/>
      <c r="J117" s="13"/>
      <c r="K117" s="13"/>
      <c r="L117" s="13"/>
      <c r="M117" s="13"/>
    </row>
    <row r="118" spans="1:13">
      <c r="A118" s="13"/>
      <c r="B118" s="202"/>
      <c r="C118" s="13"/>
      <c r="D118" s="13"/>
      <c r="E118" s="13"/>
      <c r="F118" s="200"/>
      <c r="G118" s="13"/>
      <c r="H118" s="13"/>
      <c r="I118" s="13"/>
      <c r="J118" s="13"/>
      <c r="K118" s="13"/>
      <c r="L118" s="13"/>
      <c r="M118" s="13"/>
    </row>
    <row r="119" spans="1:13">
      <c r="A119" s="13"/>
      <c r="B119" s="202"/>
      <c r="C119" s="13"/>
      <c r="D119" s="13"/>
      <c r="E119" s="13"/>
      <c r="F119" s="200"/>
      <c r="G119" s="13"/>
      <c r="H119" s="13"/>
      <c r="I119" s="13"/>
      <c r="J119" s="13"/>
      <c r="K119" s="13"/>
      <c r="L119" s="13"/>
      <c r="M119" s="13"/>
    </row>
    <row r="120" spans="1:13">
      <c r="A120" s="13"/>
      <c r="B120" s="202"/>
      <c r="C120" s="13"/>
      <c r="D120" s="13"/>
      <c r="E120" s="13"/>
      <c r="F120" s="200"/>
      <c r="G120" s="13"/>
      <c r="H120" s="13"/>
      <c r="I120" s="13"/>
      <c r="J120" s="13"/>
      <c r="K120" s="13"/>
      <c r="L120" s="13"/>
      <c r="M120" s="13"/>
    </row>
    <row r="121" spans="1:13">
      <c r="A121" s="13"/>
      <c r="B121" s="202"/>
      <c r="C121" s="13"/>
      <c r="D121" s="13"/>
      <c r="E121" s="13"/>
      <c r="F121" s="200"/>
      <c r="G121" s="13"/>
      <c r="H121" s="13"/>
      <c r="I121" s="13"/>
      <c r="J121" s="13"/>
      <c r="K121" s="13"/>
      <c r="L121" s="13"/>
      <c r="M121" s="13"/>
    </row>
    <row r="122" spans="1:13">
      <c r="A122" s="13"/>
      <c r="B122" s="202"/>
      <c r="C122" s="13"/>
      <c r="D122" s="13"/>
      <c r="E122" s="13"/>
      <c r="F122" s="200"/>
      <c r="G122" s="13"/>
      <c r="H122" s="13"/>
      <c r="I122" s="13"/>
      <c r="J122" s="13"/>
      <c r="K122" s="13"/>
      <c r="L122" s="13"/>
      <c r="M122" s="13"/>
    </row>
    <row r="123" spans="1:13">
      <c r="A123" s="13"/>
      <c r="B123" s="202"/>
      <c r="C123" s="13"/>
      <c r="D123" s="13"/>
      <c r="E123" s="13"/>
      <c r="F123" s="200"/>
      <c r="G123" s="13"/>
      <c r="H123" s="13"/>
      <c r="I123" s="13"/>
      <c r="J123" s="13"/>
      <c r="K123" s="13"/>
      <c r="L123" s="13"/>
      <c r="M123" s="13"/>
    </row>
    <row r="124" spans="1:13">
      <c r="A124" s="13"/>
      <c r="B124" s="202"/>
      <c r="C124" s="13"/>
      <c r="D124" s="13"/>
      <c r="E124" s="13"/>
      <c r="F124" s="200"/>
      <c r="G124" s="13"/>
      <c r="H124" s="13"/>
      <c r="I124" s="13"/>
      <c r="J124" s="13"/>
      <c r="K124" s="13"/>
      <c r="L124" s="13"/>
      <c r="M124" s="13"/>
    </row>
    <row r="125" spans="1:13">
      <c r="A125" s="13"/>
      <c r="B125" s="202"/>
      <c r="C125" s="13"/>
      <c r="D125" s="13"/>
      <c r="E125" s="13"/>
      <c r="F125" s="200"/>
      <c r="G125" s="13"/>
      <c r="H125" s="13"/>
      <c r="I125" s="13"/>
      <c r="J125" s="13"/>
      <c r="K125" s="13"/>
      <c r="L125" s="13"/>
      <c r="M125" s="13"/>
    </row>
    <row r="126" spans="1:13">
      <c r="A126" s="13"/>
      <c r="B126" s="202"/>
      <c r="C126" s="13"/>
      <c r="D126" s="13"/>
      <c r="E126" s="13"/>
      <c r="F126" s="200"/>
      <c r="G126" s="13"/>
      <c r="H126" s="13"/>
      <c r="I126" s="13"/>
      <c r="J126" s="13"/>
      <c r="K126" s="13"/>
      <c r="L126" s="13"/>
      <c r="M126" s="13"/>
    </row>
    <row r="127" spans="1:13">
      <c r="A127" s="13"/>
      <c r="B127" s="202"/>
      <c r="C127" s="13"/>
      <c r="D127" s="13"/>
      <c r="E127" s="13"/>
      <c r="F127" s="200"/>
      <c r="G127" s="13"/>
      <c r="H127" s="13"/>
      <c r="I127" s="13"/>
      <c r="J127" s="13"/>
      <c r="K127" s="13"/>
      <c r="L127" s="13"/>
      <c r="M127" s="13"/>
    </row>
    <row r="128" spans="1:13">
      <c r="A128" s="13"/>
      <c r="B128" s="202"/>
      <c r="C128" s="13"/>
      <c r="D128" s="13"/>
      <c r="E128" s="13"/>
      <c r="F128" s="200"/>
      <c r="G128" s="13"/>
      <c r="H128" s="13"/>
      <c r="I128" s="13"/>
      <c r="J128" s="13"/>
      <c r="K128" s="13"/>
      <c r="L128" s="13"/>
      <c r="M128" s="13"/>
    </row>
    <row r="129" spans="1:13">
      <c r="A129" s="13"/>
      <c r="B129" s="202"/>
      <c r="C129" s="13"/>
      <c r="D129" s="13"/>
      <c r="E129" s="13"/>
      <c r="F129" s="200"/>
      <c r="G129" s="13"/>
      <c r="H129" s="13"/>
      <c r="I129" s="13"/>
      <c r="J129" s="13"/>
      <c r="K129" s="13"/>
      <c r="L129" s="13"/>
      <c r="M129" s="13"/>
    </row>
    <row r="130" spans="1:13">
      <c r="A130" s="13"/>
      <c r="B130" s="202"/>
      <c r="C130" s="13"/>
      <c r="D130" s="13"/>
      <c r="E130" s="13"/>
      <c r="F130" s="200"/>
      <c r="G130" s="13"/>
      <c r="H130" s="13"/>
      <c r="I130" s="13"/>
      <c r="J130" s="13"/>
      <c r="K130" s="13"/>
      <c r="L130" s="13"/>
      <c r="M130" s="13"/>
    </row>
    <row r="131" spans="1:13">
      <c r="A131" s="13"/>
      <c r="B131" s="202"/>
      <c r="C131" s="13"/>
      <c r="D131" s="13"/>
      <c r="E131" s="13"/>
      <c r="F131" s="200"/>
      <c r="G131" s="13"/>
      <c r="H131" s="13"/>
      <c r="I131" s="13"/>
      <c r="J131" s="13"/>
      <c r="K131" s="13"/>
      <c r="L131" s="13"/>
      <c r="M131" s="13"/>
    </row>
    <row r="132" spans="1:13">
      <c r="A132" s="13"/>
      <c r="B132" s="202"/>
      <c r="C132" s="13"/>
      <c r="D132" s="13"/>
      <c r="E132" s="13"/>
      <c r="F132" s="200"/>
      <c r="G132" s="13"/>
      <c r="H132" s="13"/>
      <c r="I132" s="13"/>
      <c r="J132" s="13"/>
      <c r="K132" s="13"/>
      <c r="L132" s="13"/>
      <c r="M132" s="13"/>
    </row>
    <row r="133" spans="1:13">
      <c r="A133" s="13"/>
      <c r="B133" s="202"/>
      <c r="C133" s="13"/>
      <c r="D133" s="13"/>
      <c r="E133" s="13"/>
      <c r="F133" s="200"/>
      <c r="G133" s="13"/>
      <c r="H133" s="13"/>
      <c r="I133" s="13"/>
      <c r="J133" s="13"/>
      <c r="K133" s="13"/>
      <c r="L133" s="13"/>
      <c r="M133" s="13"/>
    </row>
    <row r="134" spans="1:13">
      <c r="A134" s="13"/>
      <c r="B134" s="202"/>
      <c r="C134" s="13"/>
      <c r="D134" s="13"/>
      <c r="E134" s="13"/>
      <c r="F134" s="200"/>
      <c r="G134" s="13"/>
      <c r="H134" s="13"/>
      <c r="I134" s="13"/>
      <c r="J134" s="13"/>
      <c r="K134" s="13"/>
      <c r="L134" s="13"/>
      <c r="M134" s="13"/>
    </row>
    <row r="135" spans="1:13">
      <c r="A135" s="13"/>
      <c r="B135" s="202"/>
      <c r="C135" s="13"/>
      <c r="D135" s="13"/>
      <c r="E135" s="13"/>
      <c r="F135" s="200"/>
      <c r="G135" s="13"/>
      <c r="H135" s="13"/>
      <c r="I135" s="13"/>
      <c r="J135" s="13"/>
      <c r="K135" s="13"/>
      <c r="L135" s="13"/>
      <c r="M135" s="13"/>
    </row>
    <row r="136" spans="1:13">
      <c r="A136" s="13"/>
      <c r="B136" s="202"/>
      <c r="C136" s="13"/>
      <c r="D136" s="13"/>
      <c r="E136" s="13"/>
      <c r="F136" s="200"/>
      <c r="G136" s="13"/>
      <c r="H136" s="13"/>
      <c r="I136" s="13"/>
      <c r="J136" s="13"/>
      <c r="K136" s="13"/>
      <c r="L136" s="13"/>
      <c r="M136" s="13"/>
    </row>
    <row r="137" spans="1:13">
      <c r="A137" s="13"/>
      <c r="B137" s="202"/>
      <c r="C137" s="13"/>
      <c r="D137" s="13"/>
      <c r="E137" s="13"/>
      <c r="F137" s="200"/>
      <c r="G137" s="13"/>
      <c r="H137" s="13"/>
      <c r="I137" s="13"/>
      <c r="J137" s="13"/>
      <c r="K137" s="13"/>
      <c r="L137" s="13"/>
      <c r="M137" s="13"/>
    </row>
    <row r="138" spans="1:13">
      <c r="A138" s="13"/>
      <c r="B138" s="202"/>
      <c r="C138" s="13"/>
      <c r="D138" s="13"/>
      <c r="E138" s="13"/>
      <c r="F138" s="200"/>
      <c r="G138" s="13"/>
      <c r="H138" s="13"/>
      <c r="I138" s="13"/>
      <c r="J138" s="13"/>
      <c r="K138" s="13"/>
      <c r="L138" s="13"/>
      <c r="M138" s="13"/>
    </row>
    <row r="139" spans="1:13">
      <c r="A139" s="13"/>
      <c r="B139" s="202"/>
      <c r="C139" s="13"/>
      <c r="D139" s="13"/>
      <c r="E139" s="13"/>
      <c r="F139" s="200"/>
      <c r="G139" s="13"/>
      <c r="H139" s="13"/>
      <c r="I139" s="13"/>
      <c r="J139" s="13"/>
      <c r="K139" s="13"/>
      <c r="L139" s="13"/>
      <c r="M139" s="13"/>
    </row>
    <row r="140" spans="1:13">
      <c r="A140" s="13"/>
      <c r="B140" s="202"/>
      <c r="C140" s="13"/>
      <c r="D140" s="13"/>
      <c r="E140" s="13"/>
      <c r="F140" s="200"/>
      <c r="G140" s="13"/>
      <c r="H140" s="13"/>
      <c r="I140" s="13"/>
      <c r="J140" s="13"/>
      <c r="K140" s="13"/>
      <c r="L140" s="13"/>
      <c r="M140" s="13"/>
    </row>
    <row r="141" spans="1:13">
      <c r="A141" s="13"/>
      <c r="B141" s="202"/>
      <c r="C141" s="13"/>
      <c r="D141" s="13"/>
      <c r="E141" s="13"/>
      <c r="F141" s="200"/>
      <c r="G141" s="13"/>
      <c r="H141" s="13"/>
      <c r="I141" s="13"/>
      <c r="J141" s="13"/>
      <c r="K141" s="13"/>
      <c r="L141" s="13"/>
      <c r="M141" s="13"/>
    </row>
    <row r="142" spans="1:13">
      <c r="A142" s="13"/>
      <c r="B142" s="202"/>
      <c r="C142" s="13"/>
      <c r="D142" s="13"/>
      <c r="E142" s="13"/>
      <c r="F142" s="200"/>
      <c r="G142" s="13"/>
      <c r="H142" s="13"/>
      <c r="I142" s="13"/>
      <c r="J142" s="13"/>
      <c r="K142" s="13"/>
      <c r="L142" s="13"/>
      <c r="M142" s="13"/>
    </row>
    <row r="143" spans="1:13">
      <c r="A143" s="13"/>
      <c r="B143" s="202"/>
      <c r="C143" s="13"/>
      <c r="D143" s="13"/>
      <c r="E143" s="13"/>
      <c r="F143" s="200"/>
      <c r="G143" s="13"/>
      <c r="H143" s="13"/>
      <c r="I143" s="13"/>
      <c r="J143" s="13"/>
      <c r="K143" s="13"/>
      <c r="L143" s="13"/>
      <c r="M143" s="13"/>
    </row>
    <row r="144" spans="1:13">
      <c r="A144" s="13"/>
      <c r="B144" s="202"/>
      <c r="C144" s="13"/>
      <c r="D144" s="13"/>
      <c r="E144" s="13"/>
      <c r="F144" s="200"/>
      <c r="G144" s="13"/>
      <c r="H144" s="13"/>
      <c r="I144" s="13"/>
      <c r="J144" s="13"/>
      <c r="K144" s="13"/>
      <c r="L144" s="13"/>
      <c r="M144" s="13"/>
    </row>
    <row r="145" spans="1:13">
      <c r="A145" s="13"/>
      <c r="B145" s="202"/>
      <c r="C145" s="13"/>
      <c r="D145" s="13"/>
      <c r="E145" s="13"/>
      <c r="F145" s="200"/>
      <c r="G145" s="13"/>
      <c r="H145" s="13"/>
      <c r="I145" s="13"/>
      <c r="J145" s="13"/>
      <c r="K145" s="13"/>
      <c r="L145" s="13"/>
      <c r="M145" s="13"/>
    </row>
    <row r="146" spans="1:13">
      <c r="A146" s="13"/>
      <c r="B146" s="202"/>
      <c r="C146" s="13"/>
      <c r="D146" s="13"/>
      <c r="E146" s="13"/>
      <c r="F146" s="200"/>
      <c r="G146" s="13"/>
      <c r="H146" s="13"/>
      <c r="I146" s="13"/>
      <c r="J146" s="13"/>
      <c r="K146" s="13"/>
      <c r="L146" s="13"/>
      <c r="M146" s="13"/>
    </row>
    <row r="147" spans="1:13">
      <c r="A147" s="13"/>
      <c r="B147" s="202"/>
      <c r="C147" s="13"/>
      <c r="D147" s="13"/>
      <c r="E147" s="13"/>
      <c r="F147" s="200"/>
      <c r="G147" s="13"/>
      <c r="H147" s="13"/>
      <c r="I147" s="13"/>
      <c r="J147" s="13"/>
      <c r="K147" s="13"/>
      <c r="L147" s="13"/>
      <c r="M147" s="13"/>
    </row>
    <row r="148" spans="1:13">
      <c r="A148" s="13"/>
      <c r="B148" s="202"/>
      <c r="C148" s="13"/>
      <c r="D148" s="13"/>
      <c r="E148" s="13"/>
      <c r="F148" s="200"/>
      <c r="G148" s="13"/>
      <c r="H148" s="13"/>
      <c r="I148" s="13"/>
      <c r="J148" s="13"/>
      <c r="K148" s="13"/>
      <c r="L148" s="13"/>
      <c r="M148" s="13"/>
    </row>
    <row r="149" spans="1:13">
      <c r="A149" s="13"/>
      <c r="B149" s="202"/>
      <c r="C149" s="13"/>
      <c r="D149" s="13"/>
      <c r="E149" s="13"/>
      <c r="F149" s="200"/>
      <c r="G149" s="13"/>
      <c r="H149" s="13"/>
      <c r="I149" s="13"/>
      <c r="J149" s="13"/>
      <c r="K149" s="13"/>
      <c r="L149" s="13"/>
      <c r="M149" s="13"/>
    </row>
    <row r="150" spans="1:13">
      <c r="A150" s="13"/>
      <c r="B150" s="202"/>
      <c r="C150" s="13"/>
      <c r="D150" s="13"/>
      <c r="E150" s="13"/>
      <c r="F150" s="200"/>
      <c r="G150" s="13"/>
      <c r="H150" s="13"/>
      <c r="I150" s="13"/>
      <c r="J150" s="13"/>
      <c r="K150" s="13"/>
      <c r="L150" s="13"/>
      <c r="M150" s="13"/>
    </row>
    <row r="151" spans="1:13">
      <c r="A151" s="13"/>
      <c r="B151" s="202"/>
      <c r="C151" s="13"/>
      <c r="D151" s="13"/>
      <c r="E151" s="13"/>
      <c r="F151" s="200"/>
      <c r="G151" s="13"/>
      <c r="H151" s="13"/>
      <c r="I151" s="13"/>
      <c r="J151" s="13"/>
      <c r="K151" s="13"/>
      <c r="L151" s="13"/>
      <c r="M151" s="13"/>
    </row>
    <row r="152" spans="1:13">
      <c r="A152" s="13"/>
      <c r="B152" s="202"/>
      <c r="C152" s="13"/>
      <c r="D152" s="13"/>
      <c r="E152" s="13"/>
      <c r="F152" s="200"/>
      <c r="G152" s="13"/>
      <c r="H152" s="13"/>
      <c r="I152" s="13"/>
      <c r="J152" s="13"/>
      <c r="K152" s="13"/>
      <c r="L152" s="13"/>
      <c r="M152" s="13"/>
    </row>
    <row r="153" spans="1:13">
      <c r="A153" s="13"/>
      <c r="B153" s="202"/>
      <c r="C153" s="13"/>
      <c r="D153" s="13"/>
      <c r="E153" s="13"/>
      <c r="F153" s="200"/>
      <c r="G153" s="13"/>
      <c r="H153" s="13"/>
      <c r="I153" s="13"/>
      <c r="J153" s="13"/>
      <c r="K153" s="13"/>
      <c r="L153" s="13"/>
      <c r="M153" s="13"/>
    </row>
    <row r="154" spans="1:13">
      <c r="A154" s="13"/>
      <c r="B154" s="202"/>
      <c r="C154" s="13"/>
      <c r="D154" s="13"/>
      <c r="E154" s="13"/>
      <c r="F154" s="200"/>
      <c r="G154" s="13"/>
      <c r="H154" s="13"/>
      <c r="I154" s="13"/>
      <c r="J154" s="13"/>
      <c r="K154" s="13"/>
      <c r="L154" s="13"/>
      <c r="M154" s="13"/>
    </row>
    <row r="155" spans="1:13">
      <c r="A155" s="13"/>
      <c r="B155" s="202"/>
      <c r="C155" s="13"/>
      <c r="D155" s="13"/>
      <c r="E155" s="13"/>
      <c r="F155" s="200"/>
      <c r="G155" s="13"/>
      <c r="H155" s="13"/>
      <c r="I155" s="13"/>
      <c r="J155" s="13"/>
      <c r="K155" s="13"/>
      <c r="L155" s="13"/>
      <c r="M155" s="13"/>
    </row>
  </sheetData>
  <autoFilter ref="C4:C102"/>
  <mergeCells count="31">
    <mergeCell ref="A3:V3"/>
    <mergeCell ref="A1:S1"/>
    <mergeCell ref="D4:D8"/>
    <mergeCell ref="E4:E8"/>
    <mergeCell ref="F4:H4"/>
    <mergeCell ref="A4:A8"/>
    <mergeCell ref="B4:B8"/>
    <mergeCell ref="C4:C8"/>
    <mergeCell ref="O6:O8"/>
    <mergeCell ref="P6:P8"/>
    <mergeCell ref="Q6:Q8"/>
    <mergeCell ref="R6:R8"/>
    <mergeCell ref="S4:S8"/>
    <mergeCell ref="K6:K8"/>
    <mergeCell ref="L6:L8"/>
    <mergeCell ref="F5:F8"/>
    <mergeCell ref="G5:H5"/>
    <mergeCell ref="G6:G8"/>
    <mergeCell ref="H6:H8"/>
    <mergeCell ref="I6:I8"/>
    <mergeCell ref="Q4:R5"/>
    <mergeCell ref="J6:J8"/>
    <mergeCell ref="M4:M8"/>
    <mergeCell ref="I4:J5"/>
    <mergeCell ref="K4:L5"/>
    <mergeCell ref="O4:P5"/>
    <mergeCell ref="W4:W8"/>
    <mergeCell ref="T4:U5"/>
    <mergeCell ref="T6:T8"/>
    <mergeCell ref="U6:U8"/>
    <mergeCell ref="V4:V8"/>
  </mergeCells>
  <printOptions horizontalCentered="1"/>
  <pageMargins left="0.71" right="0.35433070866141736" top="0.27559055118110237" bottom="0.23622047244094491" header="0.19685039370078741" footer="0.19685039370078741"/>
  <pageSetup paperSize="9" scale="60" orientation="landscape" r:id="rId1"/>
  <headerFoot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9"/>
  <sheetViews>
    <sheetView zoomScale="55" zoomScaleNormal="55" workbookViewId="0">
      <pane xSplit="2" ySplit="10" topLeftCell="C11" activePane="bottomRight" state="frozen"/>
      <selection pane="topRight" activeCell="C1" sqref="C1"/>
      <selection pane="bottomLeft" activeCell="A11" sqref="A11"/>
      <selection pane="bottomRight" activeCell="W10" sqref="W10"/>
    </sheetView>
  </sheetViews>
  <sheetFormatPr defaultRowHeight="18.75"/>
  <cols>
    <col min="1" max="1" width="12.140625" style="40" customWidth="1"/>
    <col min="2" max="2" width="51.28515625" style="203" customWidth="1"/>
    <col min="3" max="3" width="11.5703125" style="44" customWidth="1"/>
    <col min="4" max="4" width="9.5703125" style="44" customWidth="1"/>
    <col min="5" max="5" width="9.85546875" style="44" customWidth="1"/>
    <col min="6" max="6" width="20.42578125" style="201" customWidth="1"/>
    <col min="7" max="7" width="11" style="3" customWidth="1"/>
    <col min="8" max="8" width="10.42578125" style="3" customWidth="1"/>
    <col min="9" max="13" width="11" style="3" hidden="1" customWidth="1"/>
    <col min="14" max="16" width="13.5703125" style="40" hidden="1" customWidth="1"/>
    <col min="17" max="17" width="20.7109375" style="40" hidden="1" customWidth="1"/>
    <col min="18" max="18" width="9.7109375" style="40" hidden="1" customWidth="1"/>
    <col min="19" max="19" width="20.7109375" style="40" hidden="1" customWidth="1"/>
    <col min="20" max="20" width="13.42578125" style="40" hidden="1" customWidth="1"/>
    <col min="21" max="22" width="13.5703125" style="40" customWidth="1"/>
    <col min="23" max="23" width="13.28515625" style="40" customWidth="1"/>
    <col min="24" max="24" width="16.7109375" style="13" customWidth="1"/>
    <col min="25" max="25" width="5.85546875" style="13" customWidth="1"/>
    <col min="26" max="26" width="5.85546875" style="13" bestFit="1" customWidth="1"/>
    <col min="27" max="228" width="9.140625" style="13"/>
    <col min="229" max="229" width="5.140625" style="13" customWidth="1"/>
    <col min="230" max="230" width="32.42578125" style="13" customWidth="1"/>
    <col min="231" max="233" width="10.28515625" style="13" customWidth="1"/>
    <col min="234" max="235" width="12.42578125" style="13" customWidth="1"/>
    <col min="236" max="236" width="11.28515625" style="13" customWidth="1"/>
    <col min="237" max="237" width="12.42578125" style="13" customWidth="1"/>
    <col min="238" max="238" width="11.28515625" style="13" customWidth="1"/>
    <col min="239" max="239" width="12.42578125" style="13" customWidth="1"/>
    <col min="240" max="240" width="11.28515625" style="13" customWidth="1"/>
    <col min="241" max="241" width="12.42578125" style="13" customWidth="1"/>
    <col min="242" max="242" width="11.28515625" style="13" customWidth="1"/>
    <col min="243" max="243" width="12.42578125" style="13" customWidth="1"/>
    <col min="244" max="244" width="11.28515625" style="13" customWidth="1"/>
    <col min="245" max="245" width="14.140625" style="13" customWidth="1"/>
    <col min="246" max="246" width="10.28515625" style="13" customWidth="1"/>
    <col min="247" max="247" width="17.140625" style="13" customWidth="1"/>
    <col min="248" max="248" width="12" style="13" customWidth="1"/>
    <col min="249" max="249" width="14.140625" style="13" customWidth="1"/>
    <col min="250" max="250" width="10.28515625" style="13" customWidth="1"/>
    <col min="251" max="251" width="17.140625" style="13" customWidth="1"/>
    <col min="252" max="252" width="12" style="13" customWidth="1"/>
    <col min="253" max="253" width="10.7109375" style="13" customWidth="1"/>
    <col min="254" max="256" width="0" style="13" hidden="1" customWidth="1"/>
    <col min="257" max="484" width="9.140625" style="13"/>
    <col min="485" max="485" width="5.140625" style="13" customWidth="1"/>
    <col min="486" max="486" width="32.42578125" style="13" customWidth="1"/>
    <col min="487" max="489" width="10.28515625" style="13" customWidth="1"/>
    <col min="490" max="491" width="12.42578125" style="13" customWidth="1"/>
    <col min="492" max="492" width="11.28515625" style="13" customWidth="1"/>
    <col min="493" max="493" width="12.42578125" style="13" customWidth="1"/>
    <col min="494" max="494" width="11.28515625" style="13" customWidth="1"/>
    <col min="495" max="495" width="12.42578125" style="13" customWidth="1"/>
    <col min="496" max="496" width="11.28515625" style="13" customWidth="1"/>
    <col min="497" max="497" width="12.42578125" style="13" customWidth="1"/>
    <col min="498" max="498" width="11.28515625" style="13" customWidth="1"/>
    <col min="499" max="499" width="12.42578125" style="13" customWidth="1"/>
    <col min="500" max="500" width="11.28515625" style="13" customWidth="1"/>
    <col min="501" max="501" width="14.140625" style="13" customWidth="1"/>
    <col min="502" max="502" width="10.28515625" style="13" customWidth="1"/>
    <col min="503" max="503" width="17.140625" style="13" customWidth="1"/>
    <col min="504" max="504" width="12" style="13" customWidth="1"/>
    <col min="505" max="505" width="14.140625" style="13" customWidth="1"/>
    <col min="506" max="506" width="10.28515625" style="13" customWidth="1"/>
    <col min="507" max="507" width="17.140625" style="13" customWidth="1"/>
    <col min="508" max="508" width="12" style="13" customWidth="1"/>
    <col min="509" max="509" width="10.7109375" style="13" customWidth="1"/>
    <col min="510" max="512" width="0" style="13" hidden="1" customWidth="1"/>
    <col min="513" max="740" width="9.140625" style="13"/>
    <col min="741" max="741" width="5.140625" style="13" customWidth="1"/>
    <col min="742" max="742" width="32.42578125" style="13" customWidth="1"/>
    <col min="743" max="745" width="10.28515625" style="13" customWidth="1"/>
    <col min="746" max="747" width="12.42578125" style="13" customWidth="1"/>
    <col min="748" max="748" width="11.28515625" style="13" customWidth="1"/>
    <col min="749" max="749" width="12.42578125" style="13" customWidth="1"/>
    <col min="750" max="750" width="11.28515625" style="13" customWidth="1"/>
    <col min="751" max="751" width="12.42578125" style="13" customWidth="1"/>
    <col min="752" max="752" width="11.28515625" style="13" customWidth="1"/>
    <col min="753" max="753" width="12.42578125" style="13" customWidth="1"/>
    <col min="754" max="754" width="11.28515625" style="13" customWidth="1"/>
    <col min="755" max="755" width="12.42578125" style="13" customWidth="1"/>
    <col min="756" max="756" width="11.28515625" style="13" customWidth="1"/>
    <col min="757" max="757" width="14.140625" style="13" customWidth="1"/>
    <col min="758" max="758" width="10.28515625" style="13" customWidth="1"/>
    <col min="759" max="759" width="17.140625" style="13" customWidth="1"/>
    <col min="760" max="760" width="12" style="13" customWidth="1"/>
    <col min="761" max="761" width="14.140625" style="13" customWidth="1"/>
    <col min="762" max="762" width="10.28515625" style="13" customWidth="1"/>
    <col min="763" max="763" width="17.140625" style="13" customWidth="1"/>
    <col min="764" max="764" width="12" style="13" customWidth="1"/>
    <col min="765" max="765" width="10.7109375" style="13" customWidth="1"/>
    <col min="766" max="768" width="0" style="13" hidden="1" customWidth="1"/>
    <col min="769" max="996" width="9.140625" style="13"/>
    <col min="997" max="997" width="5.140625" style="13" customWidth="1"/>
    <col min="998" max="998" width="32.42578125" style="13" customWidth="1"/>
    <col min="999" max="1001" width="10.28515625" style="13" customWidth="1"/>
    <col min="1002" max="1003" width="12.42578125" style="13" customWidth="1"/>
    <col min="1004" max="1004" width="11.28515625" style="13" customWidth="1"/>
    <col min="1005" max="1005" width="12.42578125" style="13" customWidth="1"/>
    <col min="1006" max="1006" width="11.28515625" style="13" customWidth="1"/>
    <col min="1007" max="1007" width="12.42578125" style="13" customWidth="1"/>
    <col min="1008" max="1008" width="11.28515625" style="13" customWidth="1"/>
    <col min="1009" max="1009" width="12.42578125" style="13" customWidth="1"/>
    <col min="1010" max="1010" width="11.28515625" style="13" customWidth="1"/>
    <col min="1011" max="1011" width="12.42578125" style="13" customWidth="1"/>
    <col min="1012" max="1012" width="11.28515625" style="13" customWidth="1"/>
    <col min="1013" max="1013" width="14.140625" style="13" customWidth="1"/>
    <col min="1014" max="1014" width="10.28515625" style="13" customWidth="1"/>
    <col min="1015" max="1015" width="17.140625" style="13" customWidth="1"/>
    <col min="1016" max="1016" width="12" style="13" customWidth="1"/>
    <col min="1017" max="1017" width="14.140625" style="13" customWidth="1"/>
    <col min="1018" max="1018" width="10.28515625" style="13" customWidth="1"/>
    <col min="1019" max="1019" width="17.140625" style="13" customWidth="1"/>
    <col min="1020" max="1020" width="12" style="13" customWidth="1"/>
    <col min="1021" max="1021" width="10.7109375" style="13" customWidth="1"/>
    <col min="1022" max="1024" width="0" style="13" hidden="1" customWidth="1"/>
    <col min="1025" max="1252" width="9.140625" style="13"/>
    <col min="1253" max="1253" width="5.140625" style="13" customWidth="1"/>
    <col min="1254" max="1254" width="32.42578125" style="13" customWidth="1"/>
    <col min="1255" max="1257" width="10.28515625" style="13" customWidth="1"/>
    <col min="1258" max="1259" width="12.42578125" style="13" customWidth="1"/>
    <col min="1260" max="1260" width="11.28515625" style="13" customWidth="1"/>
    <col min="1261" max="1261" width="12.42578125" style="13" customWidth="1"/>
    <col min="1262" max="1262" width="11.28515625" style="13" customWidth="1"/>
    <col min="1263" max="1263" width="12.42578125" style="13" customWidth="1"/>
    <col min="1264" max="1264" width="11.28515625" style="13" customWidth="1"/>
    <col min="1265" max="1265" width="12.42578125" style="13" customWidth="1"/>
    <col min="1266" max="1266" width="11.28515625" style="13" customWidth="1"/>
    <col min="1267" max="1267" width="12.42578125" style="13" customWidth="1"/>
    <col min="1268" max="1268" width="11.28515625" style="13" customWidth="1"/>
    <col min="1269" max="1269" width="14.140625" style="13" customWidth="1"/>
    <col min="1270" max="1270" width="10.28515625" style="13" customWidth="1"/>
    <col min="1271" max="1271" width="17.140625" style="13" customWidth="1"/>
    <col min="1272" max="1272" width="12" style="13" customWidth="1"/>
    <col min="1273" max="1273" width="14.140625" style="13" customWidth="1"/>
    <col min="1274" max="1274" width="10.28515625" style="13" customWidth="1"/>
    <col min="1275" max="1275" width="17.140625" style="13" customWidth="1"/>
    <col min="1276" max="1276" width="12" style="13" customWidth="1"/>
    <col min="1277" max="1277" width="10.7109375" style="13" customWidth="1"/>
    <col min="1278" max="1280" width="0" style="13" hidden="1" customWidth="1"/>
    <col min="1281" max="1508" width="9.140625" style="13"/>
    <col min="1509" max="1509" width="5.140625" style="13" customWidth="1"/>
    <col min="1510" max="1510" width="32.42578125" style="13" customWidth="1"/>
    <col min="1511" max="1513" width="10.28515625" style="13" customWidth="1"/>
    <col min="1514" max="1515" width="12.42578125" style="13" customWidth="1"/>
    <col min="1516" max="1516" width="11.28515625" style="13" customWidth="1"/>
    <col min="1517" max="1517" width="12.42578125" style="13" customWidth="1"/>
    <col min="1518" max="1518" width="11.28515625" style="13" customWidth="1"/>
    <col min="1519" max="1519" width="12.42578125" style="13" customWidth="1"/>
    <col min="1520" max="1520" width="11.28515625" style="13" customWidth="1"/>
    <col min="1521" max="1521" width="12.42578125" style="13" customWidth="1"/>
    <col min="1522" max="1522" width="11.28515625" style="13" customWidth="1"/>
    <col min="1523" max="1523" width="12.42578125" style="13" customWidth="1"/>
    <col min="1524" max="1524" width="11.28515625" style="13" customWidth="1"/>
    <col min="1525" max="1525" width="14.140625" style="13" customWidth="1"/>
    <col min="1526" max="1526" width="10.28515625" style="13" customWidth="1"/>
    <col min="1527" max="1527" width="17.140625" style="13" customWidth="1"/>
    <col min="1528" max="1528" width="12" style="13" customWidth="1"/>
    <col min="1529" max="1529" width="14.140625" style="13" customWidth="1"/>
    <col min="1530" max="1530" width="10.28515625" style="13" customWidth="1"/>
    <col min="1531" max="1531" width="17.140625" style="13" customWidth="1"/>
    <col min="1532" max="1532" width="12" style="13" customWidth="1"/>
    <col min="1533" max="1533" width="10.7109375" style="13" customWidth="1"/>
    <col min="1534" max="1536" width="0" style="13" hidden="1" customWidth="1"/>
    <col min="1537" max="1764" width="9.140625" style="13"/>
    <col min="1765" max="1765" width="5.140625" style="13" customWidth="1"/>
    <col min="1766" max="1766" width="32.42578125" style="13" customWidth="1"/>
    <col min="1767" max="1769" width="10.28515625" style="13" customWidth="1"/>
    <col min="1770" max="1771" width="12.42578125" style="13" customWidth="1"/>
    <col min="1772" max="1772" width="11.28515625" style="13" customWidth="1"/>
    <col min="1773" max="1773" width="12.42578125" style="13" customWidth="1"/>
    <col min="1774" max="1774" width="11.28515625" style="13" customWidth="1"/>
    <col min="1775" max="1775" width="12.42578125" style="13" customWidth="1"/>
    <col min="1776" max="1776" width="11.28515625" style="13" customWidth="1"/>
    <col min="1777" max="1777" width="12.42578125" style="13" customWidth="1"/>
    <col min="1778" max="1778" width="11.28515625" style="13" customWidth="1"/>
    <col min="1779" max="1779" width="12.42578125" style="13" customWidth="1"/>
    <col min="1780" max="1780" width="11.28515625" style="13" customWidth="1"/>
    <col min="1781" max="1781" width="14.140625" style="13" customWidth="1"/>
    <col min="1782" max="1782" width="10.28515625" style="13" customWidth="1"/>
    <col min="1783" max="1783" width="17.140625" style="13" customWidth="1"/>
    <col min="1784" max="1784" width="12" style="13" customWidth="1"/>
    <col min="1785" max="1785" width="14.140625" style="13" customWidth="1"/>
    <col min="1786" max="1786" width="10.28515625" style="13" customWidth="1"/>
    <col min="1787" max="1787" width="17.140625" style="13" customWidth="1"/>
    <col min="1788" max="1788" width="12" style="13" customWidth="1"/>
    <col min="1789" max="1789" width="10.7109375" style="13" customWidth="1"/>
    <col min="1790" max="1792" width="0" style="13" hidden="1" customWidth="1"/>
    <col min="1793" max="2020" width="9.140625" style="13"/>
    <col min="2021" max="2021" width="5.140625" style="13" customWidth="1"/>
    <col min="2022" max="2022" width="32.42578125" style="13" customWidth="1"/>
    <col min="2023" max="2025" width="10.28515625" style="13" customWidth="1"/>
    <col min="2026" max="2027" width="12.42578125" style="13" customWidth="1"/>
    <col min="2028" max="2028" width="11.28515625" style="13" customWidth="1"/>
    <col min="2029" max="2029" width="12.42578125" style="13" customWidth="1"/>
    <col min="2030" max="2030" width="11.28515625" style="13" customWidth="1"/>
    <col min="2031" max="2031" width="12.42578125" style="13" customWidth="1"/>
    <col min="2032" max="2032" width="11.28515625" style="13" customWidth="1"/>
    <col min="2033" max="2033" width="12.42578125" style="13" customWidth="1"/>
    <col min="2034" max="2034" width="11.28515625" style="13" customWidth="1"/>
    <col min="2035" max="2035" width="12.42578125" style="13" customWidth="1"/>
    <col min="2036" max="2036" width="11.28515625" style="13" customWidth="1"/>
    <col min="2037" max="2037" width="14.140625" style="13" customWidth="1"/>
    <col min="2038" max="2038" width="10.28515625" style="13" customWidth="1"/>
    <col min="2039" max="2039" width="17.140625" style="13" customWidth="1"/>
    <col min="2040" max="2040" width="12" style="13" customWidth="1"/>
    <col min="2041" max="2041" width="14.140625" style="13" customWidth="1"/>
    <col min="2042" max="2042" width="10.28515625" style="13" customWidth="1"/>
    <col min="2043" max="2043" width="17.140625" style="13" customWidth="1"/>
    <col min="2044" max="2044" width="12" style="13" customWidth="1"/>
    <col min="2045" max="2045" width="10.7109375" style="13" customWidth="1"/>
    <col min="2046" max="2048" width="0" style="13" hidden="1" customWidth="1"/>
    <col min="2049" max="2276" width="9.140625" style="13"/>
    <col min="2277" max="2277" width="5.140625" style="13" customWidth="1"/>
    <col min="2278" max="2278" width="32.42578125" style="13" customWidth="1"/>
    <col min="2279" max="2281" width="10.28515625" style="13" customWidth="1"/>
    <col min="2282" max="2283" width="12.42578125" style="13" customWidth="1"/>
    <col min="2284" max="2284" width="11.28515625" style="13" customWidth="1"/>
    <col min="2285" max="2285" width="12.42578125" style="13" customWidth="1"/>
    <col min="2286" max="2286" width="11.28515625" style="13" customWidth="1"/>
    <col min="2287" max="2287" width="12.42578125" style="13" customWidth="1"/>
    <col min="2288" max="2288" width="11.28515625" style="13" customWidth="1"/>
    <col min="2289" max="2289" width="12.42578125" style="13" customWidth="1"/>
    <col min="2290" max="2290" width="11.28515625" style="13" customWidth="1"/>
    <col min="2291" max="2291" width="12.42578125" style="13" customWidth="1"/>
    <col min="2292" max="2292" width="11.28515625" style="13" customWidth="1"/>
    <col min="2293" max="2293" width="14.140625" style="13" customWidth="1"/>
    <col min="2294" max="2294" width="10.28515625" style="13" customWidth="1"/>
    <col min="2295" max="2295" width="17.140625" style="13" customWidth="1"/>
    <col min="2296" max="2296" width="12" style="13" customWidth="1"/>
    <col min="2297" max="2297" width="14.140625" style="13" customWidth="1"/>
    <col min="2298" max="2298" width="10.28515625" style="13" customWidth="1"/>
    <col min="2299" max="2299" width="17.140625" style="13" customWidth="1"/>
    <col min="2300" max="2300" width="12" style="13" customWidth="1"/>
    <col min="2301" max="2301" width="10.7109375" style="13" customWidth="1"/>
    <col min="2302" max="2304" width="0" style="13" hidden="1" customWidth="1"/>
    <col min="2305" max="2532" width="9.140625" style="13"/>
    <col min="2533" max="2533" width="5.140625" style="13" customWidth="1"/>
    <col min="2534" max="2534" width="32.42578125" style="13" customWidth="1"/>
    <col min="2535" max="2537" width="10.28515625" style="13" customWidth="1"/>
    <col min="2538" max="2539" width="12.42578125" style="13" customWidth="1"/>
    <col min="2540" max="2540" width="11.28515625" style="13" customWidth="1"/>
    <col min="2541" max="2541" width="12.42578125" style="13" customWidth="1"/>
    <col min="2542" max="2542" width="11.28515625" style="13" customWidth="1"/>
    <col min="2543" max="2543" width="12.42578125" style="13" customWidth="1"/>
    <col min="2544" max="2544" width="11.28515625" style="13" customWidth="1"/>
    <col min="2545" max="2545" width="12.42578125" style="13" customWidth="1"/>
    <col min="2546" max="2546" width="11.28515625" style="13" customWidth="1"/>
    <col min="2547" max="2547" width="12.42578125" style="13" customWidth="1"/>
    <col min="2548" max="2548" width="11.28515625" style="13" customWidth="1"/>
    <col min="2549" max="2549" width="14.140625" style="13" customWidth="1"/>
    <col min="2550" max="2550" width="10.28515625" style="13" customWidth="1"/>
    <col min="2551" max="2551" width="17.140625" style="13" customWidth="1"/>
    <col min="2552" max="2552" width="12" style="13" customWidth="1"/>
    <col min="2553" max="2553" width="14.140625" style="13" customWidth="1"/>
    <col min="2554" max="2554" width="10.28515625" style="13" customWidth="1"/>
    <col min="2555" max="2555" width="17.140625" style="13" customWidth="1"/>
    <col min="2556" max="2556" width="12" style="13" customWidth="1"/>
    <col min="2557" max="2557" width="10.7109375" style="13" customWidth="1"/>
    <col min="2558" max="2560" width="0" style="13" hidden="1" customWidth="1"/>
    <col min="2561" max="2788" width="9.140625" style="13"/>
    <col min="2789" max="2789" width="5.140625" style="13" customWidth="1"/>
    <col min="2790" max="2790" width="32.42578125" style="13" customWidth="1"/>
    <col min="2791" max="2793" width="10.28515625" style="13" customWidth="1"/>
    <col min="2794" max="2795" width="12.42578125" style="13" customWidth="1"/>
    <col min="2796" max="2796" width="11.28515625" style="13" customWidth="1"/>
    <col min="2797" max="2797" width="12.42578125" style="13" customWidth="1"/>
    <col min="2798" max="2798" width="11.28515625" style="13" customWidth="1"/>
    <col min="2799" max="2799" width="12.42578125" style="13" customWidth="1"/>
    <col min="2800" max="2800" width="11.28515625" style="13" customWidth="1"/>
    <col min="2801" max="2801" width="12.42578125" style="13" customWidth="1"/>
    <col min="2802" max="2802" width="11.28515625" style="13" customWidth="1"/>
    <col min="2803" max="2803" width="12.42578125" style="13" customWidth="1"/>
    <col min="2804" max="2804" width="11.28515625" style="13" customWidth="1"/>
    <col min="2805" max="2805" width="14.140625" style="13" customWidth="1"/>
    <col min="2806" max="2806" width="10.28515625" style="13" customWidth="1"/>
    <col min="2807" max="2807" width="17.140625" style="13" customWidth="1"/>
    <col min="2808" max="2808" width="12" style="13" customWidth="1"/>
    <col min="2809" max="2809" width="14.140625" style="13" customWidth="1"/>
    <col min="2810" max="2810" width="10.28515625" style="13" customWidth="1"/>
    <col min="2811" max="2811" width="17.140625" style="13" customWidth="1"/>
    <col min="2812" max="2812" width="12" style="13" customWidth="1"/>
    <col min="2813" max="2813" width="10.7109375" style="13" customWidth="1"/>
    <col min="2814" max="2816" width="0" style="13" hidden="1" customWidth="1"/>
    <col min="2817" max="3044" width="9.140625" style="13"/>
    <col min="3045" max="3045" width="5.140625" style="13" customWidth="1"/>
    <col min="3046" max="3046" width="32.42578125" style="13" customWidth="1"/>
    <col min="3047" max="3049" width="10.28515625" style="13" customWidth="1"/>
    <col min="3050" max="3051" width="12.42578125" style="13" customWidth="1"/>
    <col min="3052" max="3052" width="11.28515625" style="13" customWidth="1"/>
    <col min="3053" max="3053" width="12.42578125" style="13" customWidth="1"/>
    <col min="3054" max="3054" width="11.28515625" style="13" customWidth="1"/>
    <col min="3055" max="3055" width="12.42578125" style="13" customWidth="1"/>
    <col min="3056" max="3056" width="11.28515625" style="13" customWidth="1"/>
    <col min="3057" max="3057" width="12.42578125" style="13" customWidth="1"/>
    <col min="3058" max="3058" width="11.28515625" style="13" customWidth="1"/>
    <col min="3059" max="3059" width="12.42578125" style="13" customWidth="1"/>
    <col min="3060" max="3060" width="11.28515625" style="13" customWidth="1"/>
    <col min="3061" max="3061" width="14.140625" style="13" customWidth="1"/>
    <col min="3062" max="3062" width="10.28515625" style="13" customWidth="1"/>
    <col min="3063" max="3063" width="17.140625" style="13" customWidth="1"/>
    <col min="3064" max="3064" width="12" style="13" customWidth="1"/>
    <col min="3065" max="3065" width="14.140625" style="13" customWidth="1"/>
    <col min="3066" max="3066" width="10.28515625" style="13" customWidth="1"/>
    <col min="3067" max="3067" width="17.140625" style="13" customWidth="1"/>
    <col min="3068" max="3068" width="12" style="13" customWidth="1"/>
    <col min="3069" max="3069" width="10.7109375" style="13" customWidth="1"/>
    <col min="3070" max="3072" width="0" style="13" hidden="1" customWidth="1"/>
    <col min="3073" max="3300" width="9.140625" style="13"/>
    <col min="3301" max="3301" width="5.140625" style="13" customWidth="1"/>
    <col min="3302" max="3302" width="32.42578125" style="13" customWidth="1"/>
    <col min="3303" max="3305" width="10.28515625" style="13" customWidth="1"/>
    <col min="3306" max="3307" width="12.42578125" style="13" customWidth="1"/>
    <col min="3308" max="3308" width="11.28515625" style="13" customWidth="1"/>
    <col min="3309" max="3309" width="12.42578125" style="13" customWidth="1"/>
    <col min="3310" max="3310" width="11.28515625" style="13" customWidth="1"/>
    <col min="3311" max="3311" width="12.42578125" style="13" customWidth="1"/>
    <col min="3312" max="3312" width="11.28515625" style="13" customWidth="1"/>
    <col min="3313" max="3313" width="12.42578125" style="13" customWidth="1"/>
    <col min="3314" max="3314" width="11.28515625" style="13" customWidth="1"/>
    <col min="3315" max="3315" width="12.42578125" style="13" customWidth="1"/>
    <col min="3316" max="3316" width="11.28515625" style="13" customWidth="1"/>
    <col min="3317" max="3317" width="14.140625" style="13" customWidth="1"/>
    <col min="3318" max="3318" width="10.28515625" style="13" customWidth="1"/>
    <col min="3319" max="3319" width="17.140625" style="13" customWidth="1"/>
    <col min="3320" max="3320" width="12" style="13" customWidth="1"/>
    <col min="3321" max="3321" width="14.140625" style="13" customWidth="1"/>
    <col min="3322" max="3322" width="10.28515625" style="13" customWidth="1"/>
    <col min="3323" max="3323" width="17.140625" style="13" customWidth="1"/>
    <col min="3324" max="3324" width="12" style="13" customWidth="1"/>
    <col min="3325" max="3325" width="10.7109375" style="13" customWidth="1"/>
    <col min="3326" max="3328" width="0" style="13" hidden="1" customWidth="1"/>
    <col min="3329" max="3556" width="9.140625" style="13"/>
    <col min="3557" max="3557" width="5.140625" style="13" customWidth="1"/>
    <col min="3558" max="3558" width="32.42578125" style="13" customWidth="1"/>
    <col min="3559" max="3561" width="10.28515625" style="13" customWidth="1"/>
    <col min="3562" max="3563" width="12.42578125" style="13" customWidth="1"/>
    <col min="3564" max="3564" width="11.28515625" style="13" customWidth="1"/>
    <col min="3565" max="3565" width="12.42578125" style="13" customWidth="1"/>
    <col min="3566" max="3566" width="11.28515625" style="13" customWidth="1"/>
    <col min="3567" max="3567" width="12.42578125" style="13" customWidth="1"/>
    <col min="3568" max="3568" width="11.28515625" style="13" customWidth="1"/>
    <col min="3569" max="3569" width="12.42578125" style="13" customWidth="1"/>
    <col min="3570" max="3570" width="11.28515625" style="13" customWidth="1"/>
    <col min="3571" max="3571" width="12.42578125" style="13" customWidth="1"/>
    <col min="3572" max="3572" width="11.28515625" style="13" customWidth="1"/>
    <col min="3573" max="3573" width="14.140625" style="13" customWidth="1"/>
    <col min="3574" max="3574" width="10.28515625" style="13" customWidth="1"/>
    <col min="3575" max="3575" width="17.140625" style="13" customWidth="1"/>
    <col min="3576" max="3576" width="12" style="13" customWidth="1"/>
    <col min="3577" max="3577" width="14.140625" style="13" customWidth="1"/>
    <col min="3578" max="3578" width="10.28515625" style="13" customWidth="1"/>
    <col min="3579" max="3579" width="17.140625" style="13" customWidth="1"/>
    <col min="3580" max="3580" width="12" style="13" customWidth="1"/>
    <col min="3581" max="3581" width="10.7109375" style="13" customWidth="1"/>
    <col min="3582" max="3584" width="0" style="13" hidden="1" customWidth="1"/>
    <col min="3585" max="3812" width="9.140625" style="13"/>
    <col min="3813" max="3813" width="5.140625" style="13" customWidth="1"/>
    <col min="3814" max="3814" width="32.42578125" style="13" customWidth="1"/>
    <col min="3815" max="3817" width="10.28515625" style="13" customWidth="1"/>
    <col min="3818" max="3819" width="12.42578125" style="13" customWidth="1"/>
    <col min="3820" max="3820" width="11.28515625" style="13" customWidth="1"/>
    <col min="3821" max="3821" width="12.42578125" style="13" customWidth="1"/>
    <col min="3822" max="3822" width="11.28515625" style="13" customWidth="1"/>
    <col min="3823" max="3823" width="12.42578125" style="13" customWidth="1"/>
    <col min="3824" max="3824" width="11.28515625" style="13" customWidth="1"/>
    <col min="3825" max="3825" width="12.42578125" style="13" customWidth="1"/>
    <col min="3826" max="3826" width="11.28515625" style="13" customWidth="1"/>
    <col min="3827" max="3827" width="12.42578125" style="13" customWidth="1"/>
    <col min="3828" max="3828" width="11.28515625" style="13" customWidth="1"/>
    <col min="3829" max="3829" width="14.140625" style="13" customWidth="1"/>
    <col min="3830" max="3830" width="10.28515625" style="13" customWidth="1"/>
    <col min="3831" max="3831" width="17.140625" style="13" customWidth="1"/>
    <col min="3832" max="3832" width="12" style="13" customWidth="1"/>
    <col min="3833" max="3833" width="14.140625" style="13" customWidth="1"/>
    <col min="3834" max="3834" width="10.28515625" style="13" customWidth="1"/>
    <col min="3835" max="3835" width="17.140625" style="13" customWidth="1"/>
    <col min="3836" max="3836" width="12" style="13" customWidth="1"/>
    <col min="3837" max="3837" width="10.7109375" style="13" customWidth="1"/>
    <col min="3838" max="3840" width="0" style="13" hidden="1" customWidth="1"/>
    <col min="3841" max="4068" width="9.140625" style="13"/>
    <col min="4069" max="4069" width="5.140625" style="13" customWidth="1"/>
    <col min="4070" max="4070" width="32.42578125" style="13" customWidth="1"/>
    <col min="4071" max="4073" width="10.28515625" style="13" customWidth="1"/>
    <col min="4074" max="4075" width="12.42578125" style="13" customWidth="1"/>
    <col min="4076" max="4076" width="11.28515625" style="13" customWidth="1"/>
    <col min="4077" max="4077" width="12.42578125" style="13" customWidth="1"/>
    <col min="4078" max="4078" width="11.28515625" style="13" customWidth="1"/>
    <col min="4079" max="4079" width="12.42578125" style="13" customWidth="1"/>
    <col min="4080" max="4080" width="11.28515625" style="13" customWidth="1"/>
    <col min="4081" max="4081" width="12.42578125" style="13" customWidth="1"/>
    <col min="4082" max="4082" width="11.28515625" style="13" customWidth="1"/>
    <col min="4083" max="4083" width="12.42578125" style="13" customWidth="1"/>
    <col min="4084" max="4084" width="11.28515625" style="13" customWidth="1"/>
    <col min="4085" max="4085" width="14.140625" style="13" customWidth="1"/>
    <col min="4086" max="4086" width="10.28515625" style="13" customWidth="1"/>
    <col min="4087" max="4087" width="17.140625" style="13" customWidth="1"/>
    <col min="4088" max="4088" width="12" style="13" customWidth="1"/>
    <col min="4089" max="4089" width="14.140625" style="13" customWidth="1"/>
    <col min="4090" max="4090" width="10.28515625" style="13" customWidth="1"/>
    <col min="4091" max="4091" width="17.140625" style="13" customWidth="1"/>
    <col min="4092" max="4092" width="12" style="13" customWidth="1"/>
    <col min="4093" max="4093" width="10.7109375" style="13" customWidth="1"/>
    <col min="4094" max="4096" width="0" style="13" hidden="1" customWidth="1"/>
    <col min="4097" max="4324" width="9.140625" style="13"/>
    <col min="4325" max="4325" width="5.140625" style="13" customWidth="1"/>
    <col min="4326" max="4326" width="32.42578125" style="13" customWidth="1"/>
    <col min="4327" max="4329" width="10.28515625" style="13" customWidth="1"/>
    <col min="4330" max="4331" width="12.42578125" style="13" customWidth="1"/>
    <col min="4332" max="4332" width="11.28515625" style="13" customWidth="1"/>
    <col min="4333" max="4333" width="12.42578125" style="13" customWidth="1"/>
    <col min="4334" max="4334" width="11.28515625" style="13" customWidth="1"/>
    <col min="4335" max="4335" width="12.42578125" style="13" customWidth="1"/>
    <col min="4336" max="4336" width="11.28515625" style="13" customWidth="1"/>
    <col min="4337" max="4337" width="12.42578125" style="13" customWidth="1"/>
    <col min="4338" max="4338" width="11.28515625" style="13" customWidth="1"/>
    <col min="4339" max="4339" width="12.42578125" style="13" customWidth="1"/>
    <col min="4340" max="4340" width="11.28515625" style="13" customWidth="1"/>
    <col min="4341" max="4341" width="14.140625" style="13" customWidth="1"/>
    <col min="4342" max="4342" width="10.28515625" style="13" customWidth="1"/>
    <col min="4343" max="4343" width="17.140625" style="13" customWidth="1"/>
    <col min="4344" max="4344" width="12" style="13" customWidth="1"/>
    <col min="4345" max="4345" width="14.140625" style="13" customWidth="1"/>
    <col min="4346" max="4346" width="10.28515625" style="13" customWidth="1"/>
    <col min="4347" max="4347" width="17.140625" style="13" customWidth="1"/>
    <col min="4348" max="4348" width="12" style="13" customWidth="1"/>
    <col min="4349" max="4349" width="10.7109375" style="13" customWidth="1"/>
    <col min="4350" max="4352" width="0" style="13" hidden="1" customWidth="1"/>
    <col min="4353" max="4580" width="9.140625" style="13"/>
    <col min="4581" max="4581" width="5.140625" style="13" customWidth="1"/>
    <col min="4582" max="4582" width="32.42578125" style="13" customWidth="1"/>
    <col min="4583" max="4585" width="10.28515625" style="13" customWidth="1"/>
    <col min="4586" max="4587" width="12.42578125" style="13" customWidth="1"/>
    <col min="4588" max="4588" width="11.28515625" style="13" customWidth="1"/>
    <col min="4589" max="4589" width="12.42578125" style="13" customWidth="1"/>
    <col min="4590" max="4590" width="11.28515625" style="13" customWidth="1"/>
    <col min="4591" max="4591" width="12.42578125" style="13" customWidth="1"/>
    <col min="4592" max="4592" width="11.28515625" style="13" customWidth="1"/>
    <col min="4593" max="4593" width="12.42578125" style="13" customWidth="1"/>
    <col min="4594" max="4594" width="11.28515625" style="13" customWidth="1"/>
    <col min="4595" max="4595" width="12.42578125" style="13" customWidth="1"/>
    <col min="4596" max="4596" width="11.28515625" style="13" customWidth="1"/>
    <col min="4597" max="4597" width="14.140625" style="13" customWidth="1"/>
    <col min="4598" max="4598" width="10.28515625" style="13" customWidth="1"/>
    <col min="4599" max="4599" width="17.140625" style="13" customWidth="1"/>
    <col min="4600" max="4600" width="12" style="13" customWidth="1"/>
    <col min="4601" max="4601" width="14.140625" style="13" customWidth="1"/>
    <col min="4602" max="4602" width="10.28515625" style="13" customWidth="1"/>
    <col min="4603" max="4603" width="17.140625" style="13" customWidth="1"/>
    <col min="4604" max="4604" width="12" style="13" customWidth="1"/>
    <col min="4605" max="4605" width="10.7109375" style="13" customWidth="1"/>
    <col min="4606" max="4608" width="0" style="13" hidden="1" customWidth="1"/>
    <col min="4609" max="4836" width="9.140625" style="13"/>
    <col min="4837" max="4837" width="5.140625" style="13" customWidth="1"/>
    <col min="4838" max="4838" width="32.42578125" style="13" customWidth="1"/>
    <col min="4839" max="4841" width="10.28515625" style="13" customWidth="1"/>
    <col min="4842" max="4843" width="12.42578125" style="13" customWidth="1"/>
    <col min="4844" max="4844" width="11.28515625" style="13" customWidth="1"/>
    <col min="4845" max="4845" width="12.42578125" style="13" customWidth="1"/>
    <col min="4846" max="4846" width="11.28515625" style="13" customWidth="1"/>
    <col min="4847" max="4847" width="12.42578125" style="13" customWidth="1"/>
    <col min="4848" max="4848" width="11.28515625" style="13" customWidth="1"/>
    <col min="4849" max="4849" width="12.42578125" style="13" customWidth="1"/>
    <col min="4850" max="4850" width="11.28515625" style="13" customWidth="1"/>
    <col min="4851" max="4851" width="12.42578125" style="13" customWidth="1"/>
    <col min="4852" max="4852" width="11.28515625" style="13" customWidth="1"/>
    <col min="4853" max="4853" width="14.140625" style="13" customWidth="1"/>
    <col min="4854" max="4854" width="10.28515625" style="13" customWidth="1"/>
    <col min="4855" max="4855" width="17.140625" style="13" customWidth="1"/>
    <col min="4856" max="4856" width="12" style="13" customWidth="1"/>
    <col min="4857" max="4857" width="14.140625" style="13" customWidth="1"/>
    <col min="4858" max="4858" width="10.28515625" style="13" customWidth="1"/>
    <col min="4859" max="4859" width="17.140625" style="13" customWidth="1"/>
    <col min="4860" max="4860" width="12" style="13" customWidth="1"/>
    <col min="4861" max="4861" width="10.7109375" style="13" customWidth="1"/>
    <col min="4862" max="4864" width="0" style="13" hidden="1" customWidth="1"/>
    <col min="4865" max="5092" width="9.140625" style="13"/>
    <col min="5093" max="5093" width="5.140625" style="13" customWidth="1"/>
    <col min="5094" max="5094" width="32.42578125" style="13" customWidth="1"/>
    <col min="5095" max="5097" width="10.28515625" style="13" customWidth="1"/>
    <col min="5098" max="5099" width="12.42578125" style="13" customWidth="1"/>
    <col min="5100" max="5100" width="11.28515625" style="13" customWidth="1"/>
    <col min="5101" max="5101" width="12.42578125" style="13" customWidth="1"/>
    <col min="5102" max="5102" width="11.28515625" style="13" customWidth="1"/>
    <col min="5103" max="5103" width="12.42578125" style="13" customWidth="1"/>
    <col min="5104" max="5104" width="11.28515625" style="13" customWidth="1"/>
    <col min="5105" max="5105" width="12.42578125" style="13" customWidth="1"/>
    <col min="5106" max="5106" width="11.28515625" style="13" customWidth="1"/>
    <col min="5107" max="5107" width="12.42578125" style="13" customWidth="1"/>
    <col min="5108" max="5108" width="11.28515625" style="13" customWidth="1"/>
    <col min="5109" max="5109" width="14.140625" style="13" customWidth="1"/>
    <col min="5110" max="5110" width="10.28515625" style="13" customWidth="1"/>
    <col min="5111" max="5111" width="17.140625" style="13" customWidth="1"/>
    <col min="5112" max="5112" width="12" style="13" customWidth="1"/>
    <col min="5113" max="5113" width="14.140625" style="13" customWidth="1"/>
    <col min="5114" max="5114" width="10.28515625" style="13" customWidth="1"/>
    <col min="5115" max="5115" width="17.140625" style="13" customWidth="1"/>
    <col min="5116" max="5116" width="12" style="13" customWidth="1"/>
    <col min="5117" max="5117" width="10.7109375" style="13" customWidth="1"/>
    <col min="5118" max="5120" width="0" style="13" hidden="1" customWidth="1"/>
    <col min="5121" max="5348" width="9.140625" style="13"/>
    <col min="5349" max="5349" width="5.140625" style="13" customWidth="1"/>
    <col min="5350" max="5350" width="32.42578125" style="13" customWidth="1"/>
    <col min="5351" max="5353" width="10.28515625" style="13" customWidth="1"/>
    <col min="5354" max="5355" width="12.42578125" style="13" customWidth="1"/>
    <col min="5356" max="5356" width="11.28515625" style="13" customWidth="1"/>
    <col min="5357" max="5357" width="12.42578125" style="13" customWidth="1"/>
    <col min="5358" max="5358" width="11.28515625" style="13" customWidth="1"/>
    <col min="5359" max="5359" width="12.42578125" style="13" customWidth="1"/>
    <col min="5360" max="5360" width="11.28515625" style="13" customWidth="1"/>
    <col min="5361" max="5361" width="12.42578125" style="13" customWidth="1"/>
    <col min="5362" max="5362" width="11.28515625" style="13" customWidth="1"/>
    <col min="5363" max="5363" width="12.42578125" style="13" customWidth="1"/>
    <col min="5364" max="5364" width="11.28515625" style="13" customWidth="1"/>
    <col min="5365" max="5365" width="14.140625" style="13" customWidth="1"/>
    <col min="5366" max="5366" width="10.28515625" style="13" customWidth="1"/>
    <col min="5367" max="5367" width="17.140625" style="13" customWidth="1"/>
    <col min="5368" max="5368" width="12" style="13" customWidth="1"/>
    <col min="5369" max="5369" width="14.140625" style="13" customWidth="1"/>
    <col min="5370" max="5370" width="10.28515625" style="13" customWidth="1"/>
    <col min="5371" max="5371" width="17.140625" style="13" customWidth="1"/>
    <col min="5372" max="5372" width="12" style="13" customWidth="1"/>
    <col min="5373" max="5373" width="10.7109375" style="13" customWidth="1"/>
    <col min="5374" max="5376" width="0" style="13" hidden="1" customWidth="1"/>
    <col min="5377" max="5604" width="9.140625" style="13"/>
    <col min="5605" max="5605" width="5.140625" style="13" customWidth="1"/>
    <col min="5606" max="5606" width="32.42578125" style="13" customWidth="1"/>
    <col min="5607" max="5609" width="10.28515625" style="13" customWidth="1"/>
    <col min="5610" max="5611" width="12.42578125" style="13" customWidth="1"/>
    <col min="5612" max="5612" width="11.28515625" style="13" customWidth="1"/>
    <col min="5613" max="5613" width="12.42578125" style="13" customWidth="1"/>
    <col min="5614" max="5614" width="11.28515625" style="13" customWidth="1"/>
    <col min="5615" max="5615" width="12.42578125" style="13" customWidth="1"/>
    <col min="5616" max="5616" width="11.28515625" style="13" customWidth="1"/>
    <col min="5617" max="5617" width="12.42578125" style="13" customWidth="1"/>
    <col min="5618" max="5618" width="11.28515625" style="13" customWidth="1"/>
    <col min="5619" max="5619" width="12.42578125" style="13" customWidth="1"/>
    <col min="5620" max="5620" width="11.28515625" style="13" customWidth="1"/>
    <col min="5621" max="5621" width="14.140625" style="13" customWidth="1"/>
    <col min="5622" max="5622" width="10.28515625" style="13" customWidth="1"/>
    <col min="5623" max="5623" width="17.140625" style="13" customWidth="1"/>
    <col min="5624" max="5624" width="12" style="13" customWidth="1"/>
    <col min="5625" max="5625" width="14.140625" style="13" customWidth="1"/>
    <col min="5626" max="5626" width="10.28515625" style="13" customWidth="1"/>
    <col min="5627" max="5627" width="17.140625" style="13" customWidth="1"/>
    <col min="5628" max="5628" width="12" style="13" customWidth="1"/>
    <col min="5629" max="5629" width="10.7109375" style="13" customWidth="1"/>
    <col min="5630" max="5632" width="0" style="13" hidden="1" customWidth="1"/>
    <col min="5633" max="5860" width="9.140625" style="13"/>
    <col min="5861" max="5861" width="5.140625" style="13" customWidth="1"/>
    <col min="5862" max="5862" width="32.42578125" style="13" customWidth="1"/>
    <col min="5863" max="5865" width="10.28515625" style="13" customWidth="1"/>
    <col min="5866" max="5867" width="12.42578125" style="13" customWidth="1"/>
    <col min="5868" max="5868" width="11.28515625" style="13" customWidth="1"/>
    <col min="5869" max="5869" width="12.42578125" style="13" customWidth="1"/>
    <col min="5870" max="5870" width="11.28515625" style="13" customWidth="1"/>
    <col min="5871" max="5871" width="12.42578125" style="13" customWidth="1"/>
    <col min="5872" max="5872" width="11.28515625" style="13" customWidth="1"/>
    <col min="5873" max="5873" width="12.42578125" style="13" customWidth="1"/>
    <col min="5874" max="5874" width="11.28515625" style="13" customWidth="1"/>
    <col min="5875" max="5875" width="12.42578125" style="13" customWidth="1"/>
    <col min="5876" max="5876" width="11.28515625" style="13" customWidth="1"/>
    <col min="5877" max="5877" width="14.140625" style="13" customWidth="1"/>
    <col min="5878" max="5878" width="10.28515625" style="13" customWidth="1"/>
    <col min="5879" max="5879" width="17.140625" style="13" customWidth="1"/>
    <col min="5880" max="5880" width="12" style="13" customWidth="1"/>
    <col min="5881" max="5881" width="14.140625" style="13" customWidth="1"/>
    <col min="5882" max="5882" width="10.28515625" style="13" customWidth="1"/>
    <col min="5883" max="5883" width="17.140625" style="13" customWidth="1"/>
    <col min="5884" max="5884" width="12" style="13" customWidth="1"/>
    <col min="5885" max="5885" width="10.7109375" style="13" customWidth="1"/>
    <col min="5886" max="5888" width="0" style="13" hidden="1" customWidth="1"/>
    <col min="5889" max="6116" width="9.140625" style="13"/>
    <col min="6117" max="6117" width="5.140625" style="13" customWidth="1"/>
    <col min="6118" max="6118" width="32.42578125" style="13" customWidth="1"/>
    <col min="6119" max="6121" width="10.28515625" style="13" customWidth="1"/>
    <col min="6122" max="6123" width="12.42578125" style="13" customWidth="1"/>
    <col min="6124" max="6124" width="11.28515625" style="13" customWidth="1"/>
    <col min="6125" max="6125" width="12.42578125" style="13" customWidth="1"/>
    <col min="6126" max="6126" width="11.28515625" style="13" customWidth="1"/>
    <col min="6127" max="6127" width="12.42578125" style="13" customWidth="1"/>
    <col min="6128" max="6128" width="11.28515625" style="13" customWidth="1"/>
    <col min="6129" max="6129" width="12.42578125" style="13" customWidth="1"/>
    <col min="6130" max="6130" width="11.28515625" style="13" customWidth="1"/>
    <col min="6131" max="6131" width="12.42578125" style="13" customWidth="1"/>
    <col min="6132" max="6132" width="11.28515625" style="13" customWidth="1"/>
    <col min="6133" max="6133" width="14.140625" style="13" customWidth="1"/>
    <col min="6134" max="6134" width="10.28515625" style="13" customWidth="1"/>
    <col min="6135" max="6135" width="17.140625" style="13" customWidth="1"/>
    <col min="6136" max="6136" width="12" style="13" customWidth="1"/>
    <col min="6137" max="6137" width="14.140625" style="13" customWidth="1"/>
    <col min="6138" max="6138" width="10.28515625" style="13" customWidth="1"/>
    <col min="6139" max="6139" width="17.140625" style="13" customWidth="1"/>
    <col min="6140" max="6140" width="12" style="13" customWidth="1"/>
    <col min="6141" max="6141" width="10.7109375" style="13" customWidth="1"/>
    <col min="6142" max="6144" width="0" style="13" hidden="1" customWidth="1"/>
    <col min="6145" max="6372" width="9.140625" style="13"/>
    <col min="6373" max="6373" width="5.140625" style="13" customWidth="1"/>
    <col min="6374" max="6374" width="32.42578125" style="13" customWidth="1"/>
    <col min="6375" max="6377" width="10.28515625" style="13" customWidth="1"/>
    <col min="6378" max="6379" width="12.42578125" style="13" customWidth="1"/>
    <col min="6380" max="6380" width="11.28515625" style="13" customWidth="1"/>
    <col min="6381" max="6381" width="12.42578125" style="13" customWidth="1"/>
    <col min="6382" max="6382" width="11.28515625" style="13" customWidth="1"/>
    <col min="6383" max="6383" width="12.42578125" style="13" customWidth="1"/>
    <col min="6384" max="6384" width="11.28515625" style="13" customWidth="1"/>
    <col min="6385" max="6385" width="12.42578125" style="13" customWidth="1"/>
    <col min="6386" max="6386" width="11.28515625" style="13" customWidth="1"/>
    <col min="6387" max="6387" width="12.42578125" style="13" customWidth="1"/>
    <col min="6388" max="6388" width="11.28515625" style="13" customWidth="1"/>
    <col min="6389" max="6389" width="14.140625" style="13" customWidth="1"/>
    <col min="6390" max="6390" width="10.28515625" style="13" customWidth="1"/>
    <col min="6391" max="6391" width="17.140625" style="13" customWidth="1"/>
    <col min="6392" max="6392" width="12" style="13" customWidth="1"/>
    <col min="6393" max="6393" width="14.140625" style="13" customWidth="1"/>
    <col min="6394" max="6394" width="10.28515625" style="13" customWidth="1"/>
    <col min="6395" max="6395" width="17.140625" style="13" customWidth="1"/>
    <col min="6396" max="6396" width="12" style="13" customWidth="1"/>
    <col min="6397" max="6397" width="10.7109375" style="13" customWidth="1"/>
    <col min="6398" max="6400" width="0" style="13" hidden="1" customWidth="1"/>
    <col min="6401" max="6628" width="9.140625" style="13"/>
    <col min="6629" max="6629" width="5.140625" style="13" customWidth="1"/>
    <col min="6630" max="6630" width="32.42578125" style="13" customWidth="1"/>
    <col min="6631" max="6633" width="10.28515625" style="13" customWidth="1"/>
    <col min="6634" max="6635" width="12.42578125" style="13" customWidth="1"/>
    <col min="6636" max="6636" width="11.28515625" style="13" customWidth="1"/>
    <col min="6637" max="6637" width="12.42578125" style="13" customWidth="1"/>
    <col min="6638" max="6638" width="11.28515625" style="13" customWidth="1"/>
    <col min="6639" max="6639" width="12.42578125" style="13" customWidth="1"/>
    <col min="6640" max="6640" width="11.28515625" style="13" customWidth="1"/>
    <col min="6641" max="6641" width="12.42578125" style="13" customWidth="1"/>
    <col min="6642" max="6642" width="11.28515625" style="13" customWidth="1"/>
    <col min="6643" max="6643" width="12.42578125" style="13" customWidth="1"/>
    <col min="6644" max="6644" width="11.28515625" style="13" customWidth="1"/>
    <col min="6645" max="6645" width="14.140625" style="13" customWidth="1"/>
    <col min="6646" max="6646" width="10.28515625" style="13" customWidth="1"/>
    <col min="6647" max="6647" width="17.140625" style="13" customWidth="1"/>
    <col min="6648" max="6648" width="12" style="13" customWidth="1"/>
    <col min="6649" max="6649" width="14.140625" style="13" customWidth="1"/>
    <col min="6650" max="6650" width="10.28515625" style="13" customWidth="1"/>
    <col min="6651" max="6651" width="17.140625" style="13" customWidth="1"/>
    <col min="6652" max="6652" width="12" style="13" customWidth="1"/>
    <col min="6653" max="6653" width="10.7109375" style="13" customWidth="1"/>
    <col min="6654" max="6656" width="0" style="13" hidden="1" customWidth="1"/>
    <col min="6657" max="6884" width="9.140625" style="13"/>
    <col min="6885" max="6885" width="5.140625" style="13" customWidth="1"/>
    <col min="6886" max="6886" width="32.42578125" style="13" customWidth="1"/>
    <col min="6887" max="6889" width="10.28515625" style="13" customWidth="1"/>
    <col min="6890" max="6891" width="12.42578125" style="13" customWidth="1"/>
    <col min="6892" max="6892" width="11.28515625" style="13" customWidth="1"/>
    <col min="6893" max="6893" width="12.42578125" style="13" customWidth="1"/>
    <col min="6894" max="6894" width="11.28515625" style="13" customWidth="1"/>
    <col min="6895" max="6895" width="12.42578125" style="13" customWidth="1"/>
    <col min="6896" max="6896" width="11.28515625" style="13" customWidth="1"/>
    <col min="6897" max="6897" width="12.42578125" style="13" customWidth="1"/>
    <col min="6898" max="6898" width="11.28515625" style="13" customWidth="1"/>
    <col min="6899" max="6899" width="12.42578125" style="13" customWidth="1"/>
    <col min="6900" max="6900" width="11.28515625" style="13" customWidth="1"/>
    <col min="6901" max="6901" width="14.140625" style="13" customWidth="1"/>
    <col min="6902" max="6902" width="10.28515625" style="13" customWidth="1"/>
    <col min="6903" max="6903" width="17.140625" style="13" customWidth="1"/>
    <col min="6904" max="6904" width="12" style="13" customWidth="1"/>
    <col min="6905" max="6905" width="14.140625" style="13" customWidth="1"/>
    <col min="6906" max="6906" width="10.28515625" style="13" customWidth="1"/>
    <col min="6907" max="6907" width="17.140625" style="13" customWidth="1"/>
    <col min="6908" max="6908" width="12" style="13" customWidth="1"/>
    <col min="6909" max="6909" width="10.7109375" style="13" customWidth="1"/>
    <col min="6910" max="6912" width="0" style="13" hidden="1" customWidth="1"/>
    <col min="6913" max="7140" width="9.140625" style="13"/>
    <col min="7141" max="7141" width="5.140625" style="13" customWidth="1"/>
    <col min="7142" max="7142" width="32.42578125" style="13" customWidth="1"/>
    <col min="7143" max="7145" width="10.28515625" style="13" customWidth="1"/>
    <col min="7146" max="7147" width="12.42578125" style="13" customWidth="1"/>
    <col min="7148" max="7148" width="11.28515625" style="13" customWidth="1"/>
    <col min="7149" max="7149" width="12.42578125" style="13" customWidth="1"/>
    <col min="7150" max="7150" width="11.28515625" style="13" customWidth="1"/>
    <col min="7151" max="7151" width="12.42578125" style="13" customWidth="1"/>
    <col min="7152" max="7152" width="11.28515625" style="13" customWidth="1"/>
    <col min="7153" max="7153" width="12.42578125" style="13" customWidth="1"/>
    <col min="7154" max="7154" width="11.28515625" style="13" customWidth="1"/>
    <col min="7155" max="7155" width="12.42578125" style="13" customWidth="1"/>
    <col min="7156" max="7156" width="11.28515625" style="13" customWidth="1"/>
    <col min="7157" max="7157" width="14.140625" style="13" customWidth="1"/>
    <col min="7158" max="7158" width="10.28515625" style="13" customWidth="1"/>
    <col min="7159" max="7159" width="17.140625" style="13" customWidth="1"/>
    <col min="7160" max="7160" width="12" style="13" customWidth="1"/>
    <col min="7161" max="7161" width="14.140625" style="13" customWidth="1"/>
    <col min="7162" max="7162" width="10.28515625" style="13" customWidth="1"/>
    <col min="7163" max="7163" width="17.140625" style="13" customWidth="1"/>
    <col min="7164" max="7164" width="12" style="13" customWidth="1"/>
    <col min="7165" max="7165" width="10.7109375" style="13" customWidth="1"/>
    <col min="7166" max="7168" width="0" style="13" hidden="1" customWidth="1"/>
    <col min="7169" max="7396" width="9.140625" style="13"/>
    <col min="7397" max="7397" width="5.140625" style="13" customWidth="1"/>
    <col min="7398" max="7398" width="32.42578125" style="13" customWidth="1"/>
    <col min="7399" max="7401" width="10.28515625" style="13" customWidth="1"/>
    <col min="7402" max="7403" width="12.42578125" style="13" customWidth="1"/>
    <col min="7404" max="7404" width="11.28515625" style="13" customWidth="1"/>
    <col min="7405" max="7405" width="12.42578125" style="13" customWidth="1"/>
    <col min="7406" max="7406" width="11.28515625" style="13" customWidth="1"/>
    <col min="7407" max="7407" width="12.42578125" style="13" customWidth="1"/>
    <col min="7408" max="7408" width="11.28515625" style="13" customWidth="1"/>
    <col min="7409" max="7409" width="12.42578125" style="13" customWidth="1"/>
    <col min="7410" max="7410" width="11.28515625" style="13" customWidth="1"/>
    <col min="7411" max="7411" width="12.42578125" style="13" customWidth="1"/>
    <col min="7412" max="7412" width="11.28515625" style="13" customWidth="1"/>
    <col min="7413" max="7413" width="14.140625" style="13" customWidth="1"/>
    <col min="7414" max="7414" width="10.28515625" style="13" customWidth="1"/>
    <col min="7415" max="7415" width="17.140625" style="13" customWidth="1"/>
    <col min="7416" max="7416" width="12" style="13" customWidth="1"/>
    <col min="7417" max="7417" width="14.140625" style="13" customWidth="1"/>
    <col min="7418" max="7418" width="10.28515625" style="13" customWidth="1"/>
    <col min="7419" max="7419" width="17.140625" style="13" customWidth="1"/>
    <col min="7420" max="7420" width="12" style="13" customWidth="1"/>
    <col min="7421" max="7421" width="10.7109375" style="13" customWidth="1"/>
    <col min="7422" max="7424" width="0" style="13" hidden="1" customWidth="1"/>
    <col min="7425" max="7652" width="9.140625" style="13"/>
    <col min="7653" max="7653" width="5.140625" style="13" customWidth="1"/>
    <col min="7654" max="7654" width="32.42578125" style="13" customWidth="1"/>
    <col min="7655" max="7657" width="10.28515625" style="13" customWidth="1"/>
    <col min="7658" max="7659" width="12.42578125" style="13" customWidth="1"/>
    <col min="7660" max="7660" width="11.28515625" style="13" customWidth="1"/>
    <col min="7661" max="7661" width="12.42578125" style="13" customWidth="1"/>
    <col min="7662" max="7662" width="11.28515625" style="13" customWidth="1"/>
    <col min="7663" max="7663" width="12.42578125" style="13" customWidth="1"/>
    <col min="7664" max="7664" width="11.28515625" style="13" customWidth="1"/>
    <col min="7665" max="7665" width="12.42578125" style="13" customWidth="1"/>
    <col min="7666" max="7666" width="11.28515625" style="13" customWidth="1"/>
    <col min="7667" max="7667" width="12.42578125" style="13" customWidth="1"/>
    <col min="7668" max="7668" width="11.28515625" style="13" customWidth="1"/>
    <col min="7669" max="7669" width="14.140625" style="13" customWidth="1"/>
    <col min="7670" max="7670" width="10.28515625" style="13" customWidth="1"/>
    <col min="7671" max="7671" width="17.140625" style="13" customWidth="1"/>
    <col min="7672" max="7672" width="12" style="13" customWidth="1"/>
    <col min="7673" max="7673" width="14.140625" style="13" customWidth="1"/>
    <col min="7674" max="7674" width="10.28515625" style="13" customWidth="1"/>
    <col min="7675" max="7675" width="17.140625" style="13" customWidth="1"/>
    <col min="7676" max="7676" width="12" style="13" customWidth="1"/>
    <col min="7677" max="7677" width="10.7109375" style="13" customWidth="1"/>
    <col min="7678" max="7680" width="0" style="13" hidden="1" customWidth="1"/>
    <col min="7681" max="7908" width="9.140625" style="13"/>
    <col min="7909" max="7909" width="5.140625" style="13" customWidth="1"/>
    <col min="7910" max="7910" width="32.42578125" style="13" customWidth="1"/>
    <col min="7911" max="7913" width="10.28515625" style="13" customWidth="1"/>
    <col min="7914" max="7915" width="12.42578125" style="13" customWidth="1"/>
    <col min="7916" max="7916" width="11.28515625" style="13" customWidth="1"/>
    <col min="7917" max="7917" width="12.42578125" style="13" customWidth="1"/>
    <col min="7918" max="7918" width="11.28515625" style="13" customWidth="1"/>
    <col min="7919" max="7919" width="12.42578125" style="13" customWidth="1"/>
    <col min="7920" max="7920" width="11.28515625" style="13" customWidth="1"/>
    <col min="7921" max="7921" width="12.42578125" style="13" customWidth="1"/>
    <col min="7922" max="7922" width="11.28515625" style="13" customWidth="1"/>
    <col min="7923" max="7923" width="12.42578125" style="13" customWidth="1"/>
    <col min="7924" max="7924" width="11.28515625" style="13" customWidth="1"/>
    <col min="7925" max="7925" width="14.140625" style="13" customWidth="1"/>
    <col min="7926" max="7926" width="10.28515625" style="13" customWidth="1"/>
    <col min="7927" max="7927" width="17.140625" style="13" customWidth="1"/>
    <col min="7928" max="7928" width="12" style="13" customWidth="1"/>
    <col min="7929" max="7929" width="14.140625" style="13" customWidth="1"/>
    <col min="7930" max="7930" width="10.28515625" style="13" customWidth="1"/>
    <col min="7931" max="7931" width="17.140625" style="13" customWidth="1"/>
    <col min="7932" max="7932" width="12" style="13" customWidth="1"/>
    <col min="7933" max="7933" width="10.7109375" style="13" customWidth="1"/>
    <col min="7934" max="7936" width="0" style="13" hidden="1" customWidth="1"/>
    <col min="7937" max="8164" width="9.140625" style="13"/>
    <col min="8165" max="8165" width="5.140625" style="13" customWidth="1"/>
    <col min="8166" max="8166" width="32.42578125" style="13" customWidth="1"/>
    <col min="8167" max="8169" width="10.28515625" style="13" customWidth="1"/>
    <col min="8170" max="8171" width="12.42578125" style="13" customWidth="1"/>
    <col min="8172" max="8172" width="11.28515625" style="13" customWidth="1"/>
    <col min="8173" max="8173" width="12.42578125" style="13" customWidth="1"/>
    <col min="8174" max="8174" width="11.28515625" style="13" customWidth="1"/>
    <col min="8175" max="8175" width="12.42578125" style="13" customWidth="1"/>
    <col min="8176" max="8176" width="11.28515625" style="13" customWidth="1"/>
    <col min="8177" max="8177" width="12.42578125" style="13" customWidth="1"/>
    <col min="8178" max="8178" width="11.28515625" style="13" customWidth="1"/>
    <col min="8179" max="8179" width="12.42578125" style="13" customWidth="1"/>
    <col min="8180" max="8180" width="11.28515625" style="13" customWidth="1"/>
    <col min="8181" max="8181" width="14.140625" style="13" customWidth="1"/>
    <col min="8182" max="8182" width="10.28515625" style="13" customWidth="1"/>
    <col min="8183" max="8183" width="17.140625" style="13" customWidth="1"/>
    <col min="8184" max="8184" width="12" style="13" customWidth="1"/>
    <col min="8185" max="8185" width="14.140625" style="13" customWidth="1"/>
    <col min="8186" max="8186" width="10.28515625" style="13" customWidth="1"/>
    <col min="8187" max="8187" width="17.140625" style="13" customWidth="1"/>
    <col min="8188" max="8188" width="12" style="13" customWidth="1"/>
    <col min="8189" max="8189" width="10.7109375" style="13" customWidth="1"/>
    <col min="8190" max="8192" width="0" style="13" hidden="1" customWidth="1"/>
    <col min="8193" max="8420" width="9.140625" style="13"/>
    <col min="8421" max="8421" width="5.140625" style="13" customWidth="1"/>
    <col min="8422" max="8422" width="32.42578125" style="13" customWidth="1"/>
    <col min="8423" max="8425" width="10.28515625" style="13" customWidth="1"/>
    <col min="8426" max="8427" width="12.42578125" style="13" customWidth="1"/>
    <col min="8428" max="8428" width="11.28515625" style="13" customWidth="1"/>
    <col min="8429" max="8429" width="12.42578125" style="13" customWidth="1"/>
    <col min="8430" max="8430" width="11.28515625" style="13" customWidth="1"/>
    <col min="8431" max="8431" width="12.42578125" style="13" customWidth="1"/>
    <col min="8432" max="8432" width="11.28515625" style="13" customWidth="1"/>
    <col min="8433" max="8433" width="12.42578125" style="13" customWidth="1"/>
    <col min="8434" max="8434" width="11.28515625" style="13" customWidth="1"/>
    <col min="8435" max="8435" width="12.42578125" style="13" customWidth="1"/>
    <col min="8436" max="8436" width="11.28515625" style="13" customWidth="1"/>
    <col min="8437" max="8437" width="14.140625" style="13" customWidth="1"/>
    <col min="8438" max="8438" width="10.28515625" style="13" customWidth="1"/>
    <col min="8439" max="8439" width="17.140625" style="13" customWidth="1"/>
    <col min="8440" max="8440" width="12" style="13" customWidth="1"/>
    <col min="8441" max="8441" width="14.140625" style="13" customWidth="1"/>
    <col min="8442" max="8442" width="10.28515625" style="13" customWidth="1"/>
    <col min="8443" max="8443" width="17.140625" style="13" customWidth="1"/>
    <col min="8444" max="8444" width="12" style="13" customWidth="1"/>
    <col min="8445" max="8445" width="10.7109375" style="13" customWidth="1"/>
    <col min="8446" max="8448" width="0" style="13" hidden="1" customWidth="1"/>
    <col min="8449" max="8676" width="9.140625" style="13"/>
    <col min="8677" max="8677" width="5.140625" style="13" customWidth="1"/>
    <col min="8678" max="8678" width="32.42578125" style="13" customWidth="1"/>
    <col min="8679" max="8681" width="10.28515625" style="13" customWidth="1"/>
    <col min="8682" max="8683" width="12.42578125" style="13" customWidth="1"/>
    <col min="8684" max="8684" width="11.28515625" style="13" customWidth="1"/>
    <col min="8685" max="8685" width="12.42578125" style="13" customWidth="1"/>
    <col min="8686" max="8686" width="11.28515625" style="13" customWidth="1"/>
    <col min="8687" max="8687" width="12.42578125" style="13" customWidth="1"/>
    <col min="8688" max="8688" width="11.28515625" style="13" customWidth="1"/>
    <col min="8689" max="8689" width="12.42578125" style="13" customWidth="1"/>
    <col min="8690" max="8690" width="11.28515625" style="13" customWidth="1"/>
    <col min="8691" max="8691" width="12.42578125" style="13" customWidth="1"/>
    <col min="8692" max="8692" width="11.28515625" style="13" customWidth="1"/>
    <col min="8693" max="8693" width="14.140625" style="13" customWidth="1"/>
    <col min="8694" max="8694" width="10.28515625" style="13" customWidth="1"/>
    <col min="8695" max="8695" width="17.140625" style="13" customWidth="1"/>
    <col min="8696" max="8696" width="12" style="13" customWidth="1"/>
    <col min="8697" max="8697" width="14.140625" style="13" customWidth="1"/>
    <col min="8698" max="8698" width="10.28515625" style="13" customWidth="1"/>
    <col min="8699" max="8699" width="17.140625" style="13" customWidth="1"/>
    <col min="8700" max="8700" width="12" style="13" customWidth="1"/>
    <col min="8701" max="8701" width="10.7109375" style="13" customWidth="1"/>
    <col min="8702" max="8704" width="0" style="13" hidden="1" customWidth="1"/>
    <col min="8705" max="8932" width="9.140625" style="13"/>
    <col min="8933" max="8933" width="5.140625" style="13" customWidth="1"/>
    <col min="8934" max="8934" width="32.42578125" style="13" customWidth="1"/>
    <col min="8935" max="8937" width="10.28515625" style="13" customWidth="1"/>
    <col min="8938" max="8939" width="12.42578125" style="13" customWidth="1"/>
    <col min="8940" max="8940" width="11.28515625" style="13" customWidth="1"/>
    <col min="8941" max="8941" width="12.42578125" style="13" customWidth="1"/>
    <col min="8942" max="8942" width="11.28515625" style="13" customWidth="1"/>
    <col min="8943" max="8943" width="12.42578125" style="13" customWidth="1"/>
    <col min="8944" max="8944" width="11.28515625" style="13" customWidth="1"/>
    <col min="8945" max="8945" width="12.42578125" style="13" customWidth="1"/>
    <col min="8946" max="8946" width="11.28515625" style="13" customWidth="1"/>
    <col min="8947" max="8947" width="12.42578125" style="13" customWidth="1"/>
    <col min="8948" max="8948" width="11.28515625" style="13" customWidth="1"/>
    <col min="8949" max="8949" width="14.140625" style="13" customWidth="1"/>
    <col min="8950" max="8950" width="10.28515625" style="13" customWidth="1"/>
    <col min="8951" max="8951" width="17.140625" style="13" customWidth="1"/>
    <col min="8952" max="8952" width="12" style="13" customWidth="1"/>
    <col min="8953" max="8953" width="14.140625" style="13" customWidth="1"/>
    <col min="8954" max="8954" width="10.28515625" style="13" customWidth="1"/>
    <col min="8955" max="8955" width="17.140625" style="13" customWidth="1"/>
    <col min="8956" max="8956" width="12" style="13" customWidth="1"/>
    <col min="8957" max="8957" width="10.7109375" style="13" customWidth="1"/>
    <col min="8958" max="8960" width="0" style="13" hidden="1" customWidth="1"/>
    <col min="8961" max="9188" width="9.140625" style="13"/>
    <col min="9189" max="9189" width="5.140625" style="13" customWidth="1"/>
    <col min="9190" max="9190" width="32.42578125" style="13" customWidth="1"/>
    <col min="9191" max="9193" width="10.28515625" style="13" customWidth="1"/>
    <col min="9194" max="9195" width="12.42578125" style="13" customWidth="1"/>
    <col min="9196" max="9196" width="11.28515625" style="13" customWidth="1"/>
    <col min="9197" max="9197" width="12.42578125" style="13" customWidth="1"/>
    <col min="9198" max="9198" width="11.28515625" style="13" customWidth="1"/>
    <col min="9199" max="9199" width="12.42578125" style="13" customWidth="1"/>
    <col min="9200" max="9200" width="11.28515625" style="13" customWidth="1"/>
    <col min="9201" max="9201" width="12.42578125" style="13" customWidth="1"/>
    <col min="9202" max="9202" width="11.28515625" style="13" customWidth="1"/>
    <col min="9203" max="9203" width="12.42578125" style="13" customWidth="1"/>
    <col min="9204" max="9204" width="11.28515625" style="13" customWidth="1"/>
    <col min="9205" max="9205" width="14.140625" style="13" customWidth="1"/>
    <col min="9206" max="9206" width="10.28515625" style="13" customWidth="1"/>
    <col min="9207" max="9207" width="17.140625" style="13" customWidth="1"/>
    <col min="9208" max="9208" width="12" style="13" customWidth="1"/>
    <col min="9209" max="9209" width="14.140625" style="13" customWidth="1"/>
    <col min="9210" max="9210" width="10.28515625" style="13" customWidth="1"/>
    <col min="9211" max="9211" width="17.140625" style="13" customWidth="1"/>
    <col min="9212" max="9212" width="12" style="13" customWidth="1"/>
    <col min="9213" max="9213" width="10.7109375" style="13" customWidth="1"/>
    <col min="9214" max="9216" width="0" style="13" hidden="1" customWidth="1"/>
    <col min="9217" max="9444" width="9.140625" style="13"/>
    <col min="9445" max="9445" width="5.140625" style="13" customWidth="1"/>
    <col min="9446" max="9446" width="32.42578125" style="13" customWidth="1"/>
    <col min="9447" max="9449" width="10.28515625" style="13" customWidth="1"/>
    <col min="9450" max="9451" width="12.42578125" style="13" customWidth="1"/>
    <col min="9452" max="9452" width="11.28515625" style="13" customWidth="1"/>
    <col min="9453" max="9453" width="12.42578125" style="13" customWidth="1"/>
    <col min="9454" max="9454" width="11.28515625" style="13" customWidth="1"/>
    <col min="9455" max="9455" width="12.42578125" style="13" customWidth="1"/>
    <col min="9456" max="9456" width="11.28515625" style="13" customWidth="1"/>
    <col min="9457" max="9457" width="12.42578125" style="13" customWidth="1"/>
    <col min="9458" max="9458" width="11.28515625" style="13" customWidth="1"/>
    <col min="9459" max="9459" width="12.42578125" style="13" customWidth="1"/>
    <col min="9460" max="9460" width="11.28515625" style="13" customWidth="1"/>
    <col min="9461" max="9461" width="14.140625" style="13" customWidth="1"/>
    <col min="9462" max="9462" width="10.28515625" style="13" customWidth="1"/>
    <col min="9463" max="9463" width="17.140625" style="13" customWidth="1"/>
    <col min="9464" max="9464" width="12" style="13" customWidth="1"/>
    <col min="9465" max="9465" width="14.140625" style="13" customWidth="1"/>
    <col min="9466" max="9466" width="10.28515625" style="13" customWidth="1"/>
    <col min="9467" max="9467" width="17.140625" style="13" customWidth="1"/>
    <col min="9468" max="9468" width="12" style="13" customWidth="1"/>
    <col min="9469" max="9469" width="10.7109375" style="13" customWidth="1"/>
    <col min="9470" max="9472" width="0" style="13" hidden="1" customWidth="1"/>
    <col min="9473" max="9700" width="9.140625" style="13"/>
    <col min="9701" max="9701" width="5.140625" style="13" customWidth="1"/>
    <col min="9702" max="9702" width="32.42578125" style="13" customWidth="1"/>
    <col min="9703" max="9705" width="10.28515625" style="13" customWidth="1"/>
    <col min="9706" max="9707" width="12.42578125" style="13" customWidth="1"/>
    <col min="9708" max="9708" width="11.28515625" style="13" customWidth="1"/>
    <col min="9709" max="9709" width="12.42578125" style="13" customWidth="1"/>
    <col min="9710" max="9710" width="11.28515625" style="13" customWidth="1"/>
    <col min="9711" max="9711" width="12.42578125" style="13" customWidth="1"/>
    <col min="9712" max="9712" width="11.28515625" style="13" customWidth="1"/>
    <col min="9713" max="9713" width="12.42578125" style="13" customWidth="1"/>
    <col min="9714" max="9714" width="11.28515625" style="13" customWidth="1"/>
    <col min="9715" max="9715" width="12.42578125" style="13" customWidth="1"/>
    <col min="9716" max="9716" width="11.28515625" style="13" customWidth="1"/>
    <col min="9717" max="9717" width="14.140625" style="13" customWidth="1"/>
    <col min="9718" max="9718" width="10.28515625" style="13" customWidth="1"/>
    <col min="9719" max="9719" width="17.140625" style="13" customWidth="1"/>
    <col min="9720" max="9720" width="12" style="13" customWidth="1"/>
    <col min="9721" max="9721" width="14.140625" style="13" customWidth="1"/>
    <col min="9722" max="9722" width="10.28515625" style="13" customWidth="1"/>
    <col min="9723" max="9723" width="17.140625" style="13" customWidth="1"/>
    <col min="9724" max="9724" width="12" style="13" customWidth="1"/>
    <col min="9725" max="9725" width="10.7109375" style="13" customWidth="1"/>
    <col min="9726" max="9728" width="0" style="13" hidden="1" customWidth="1"/>
    <col min="9729" max="9956" width="9.140625" style="13"/>
    <col min="9957" max="9957" width="5.140625" style="13" customWidth="1"/>
    <col min="9958" max="9958" width="32.42578125" style="13" customWidth="1"/>
    <col min="9959" max="9961" width="10.28515625" style="13" customWidth="1"/>
    <col min="9962" max="9963" width="12.42578125" style="13" customWidth="1"/>
    <col min="9964" max="9964" width="11.28515625" style="13" customWidth="1"/>
    <col min="9965" max="9965" width="12.42578125" style="13" customWidth="1"/>
    <col min="9966" max="9966" width="11.28515625" style="13" customWidth="1"/>
    <col min="9967" max="9967" width="12.42578125" style="13" customWidth="1"/>
    <col min="9968" max="9968" width="11.28515625" style="13" customWidth="1"/>
    <col min="9969" max="9969" width="12.42578125" style="13" customWidth="1"/>
    <col min="9970" max="9970" width="11.28515625" style="13" customWidth="1"/>
    <col min="9971" max="9971" width="12.42578125" style="13" customWidth="1"/>
    <col min="9972" max="9972" width="11.28515625" style="13" customWidth="1"/>
    <col min="9973" max="9973" width="14.140625" style="13" customWidth="1"/>
    <col min="9974" max="9974" width="10.28515625" style="13" customWidth="1"/>
    <col min="9975" max="9975" width="17.140625" style="13" customWidth="1"/>
    <col min="9976" max="9976" width="12" style="13" customWidth="1"/>
    <col min="9977" max="9977" width="14.140625" style="13" customWidth="1"/>
    <col min="9978" max="9978" width="10.28515625" style="13" customWidth="1"/>
    <col min="9979" max="9979" width="17.140625" style="13" customWidth="1"/>
    <col min="9980" max="9980" width="12" style="13" customWidth="1"/>
    <col min="9981" max="9981" width="10.7109375" style="13" customWidth="1"/>
    <col min="9982" max="9984" width="0" style="13" hidden="1" customWidth="1"/>
    <col min="9985" max="10212" width="9.140625" style="13"/>
    <col min="10213" max="10213" width="5.140625" style="13" customWidth="1"/>
    <col min="10214" max="10214" width="32.42578125" style="13" customWidth="1"/>
    <col min="10215" max="10217" width="10.28515625" style="13" customWidth="1"/>
    <col min="10218" max="10219" width="12.42578125" style="13" customWidth="1"/>
    <col min="10220" max="10220" width="11.28515625" style="13" customWidth="1"/>
    <col min="10221" max="10221" width="12.42578125" style="13" customWidth="1"/>
    <col min="10222" max="10222" width="11.28515625" style="13" customWidth="1"/>
    <col min="10223" max="10223" width="12.42578125" style="13" customWidth="1"/>
    <col min="10224" max="10224" width="11.28515625" style="13" customWidth="1"/>
    <col min="10225" max="10225" width="12.42578125" style="13" customWidth="1"/>
    <col min="10226" max="10226" width="11.28515625" style="13" customWidth="1"/>
    <col min="10227" max="10227" width="12.42578125" style="13" customWidth="1"/>
    <col min="10228" max="10228" width="11.28515625" style="13" customWidth="1"/>
    <col min="10229" max="10229" width="14.140625" style="13" customWidth="1"/>
    <col min="10230" max="10230" width="10.28515625" style="13" customWidth="1"/>
    <col min="10231" max="10231" width="17.140625" style="13" customWidth="1"/>
    <col min="10232" max="10232" width="12" style="13" customWidth="1"/>
    <col min="10233" max="10233" width="14.140625" style="13" customWidth="1"/>
    <col min="10234" max="10234" width="10.28515625" style="13" customWidth="1"/>
    <col min="10235" max="10235" width="17.140625" style="13" customWidth="1"/>
    <col min="10236" max="10236" width="12" style="13" customWidth="1"/>
    <col min="10237" max="10237" width="10.7109375" style="13" customWidth="1"/>
    <col min="10238" max="10240" width="0" style="13" hidden="1" customWidth="1"/>
    <col min="10241" max="10468" width="9.140625" style="13"/>
    <col min="10469" max="10469" width="5.140625" style="13" customWidth="1"/>
    <col min="10470" max="10470" width="32.42578125" style="13" customWidth="1"/>
    <col min="10471" max="10473" width="10.28515625" style="13" customWidth="1"/>
    <col min="10474" max="10475" width="12.42578125" style="13" customWidth="1"/>
    <col min="10476" max="10476" width="11.28515625" style="13" customWidth="1"/>
    <col min="10477" max="10477" width="12.42578125" style="13" customWidth="1"/>
    <col min="10478" max="10478" width="11.28515625" style="13" customWidth="1"/>
    <col min="10479" max="10479" width="12.42578125" style="13" customWidth="1"/>
    <col min="10480" max="10480" width="11.28515625" style="13" customWidth="1"/>
    <col min="10481" max="10481" width="12.42578125" style="13" customWidth="1"/>
    <col min="10482" max="10482" width="11.28515625" style="13" customWidth="1"/>
    <col min="10483" max="10483" width="12.42578125" style="13" customWidth="1"/>
    <col min="10484" max="10484" width="11.28515625" style="13" customWidth="1"/>
    <col min="10485" max="10485" width="14.140625" style="13" customWidth="1"/>
    <col min="10486" max="10486" width="10.28515625" style="13" customWidth="1"/>
    <col min="10487" max="10487" width="17.140625" style="13" customWidth="1"/>
    <col min="10488" max="10488" width="12" style="13" customWidth="1"/>
    <col min="10489" max="10489" width="14.140625" style="13" customWidth="1"/>
    <col min="10490" max="10490" width="10.28515625" style="13" customWidth="1"/>
    <col min="10491" max="10491" width="17.140625" style="13" customWidth="1"/>
    <col min="10492" max="10492" width="12" style="13" customWidth="1"/>
    <col min="10493" max="10493" width="10.7109375" style="13" customWidth="1"/>
    <col min="10494" max="10496" width="0" style="13" hidden="1" customWidth="1"/>
    <col min="10497" max="10724" width="9.140625" style="13"/>
    <col min="10725" max="10725" width="5.140625" style="13" customWidth="1"/>
    <col min="10726" max="10726" width="32.42578125" style="13" customWidth="1"/>
    <col min="10727" max="10729" width="10.28515625" style="13" customWidth="1"/>
    <col min="10730" max="10731" width="12.42578125" style="13" customWidth="1"/>
    <col min="10732" max="10732" width="11.28515625" style="13" customWidth="1"/>
    <col min="10733" max="10733" width="12.42578125" style="13" customWidth="1"/>
    <col min="10734" max="10734" width="11.28515625" style="13" customWidth="1"/>
    <col min="10735" max="10735" width="12.42578125" style="13" customWidth="1"/>
    <col min="10736" max="10736" width="11.28515625" style="13" customWidth="1"/>
    <col min="10737" max="10737" width="12.42578125" style="13" customWidth="1"/>
    <col min="10738" max="10738" width="11.28515625" style="13" customWidth="1"/>
    <col min="10739" max="10739" width="12.42578125" style="13" customWidth="1"/>
    <col min="10740" max="10740" width="11.28515625" style="13" customWidth="1"/>
    <col min="10741" max="10741" width="14.140625" style="13" customWidth="1"/>
    <col min="10742" max="10742" width="10.28515625" style="13" customWidth="1"/>
    <col min="10743" max="10743" width="17.140625" style="13" customWidth="1"/>
    <col min="10744" max="10744" width="12" style="13" customWidth="1"/>
    <col min="10745" max="10745" width="14.140625" style="13" customWidth="1"/>
    <col min="10746" max="10746" width="10.28515625" style="13" customWidth="1"/>
    <col min="10747" max="10747" width="17.140625" style="13" customWidth="1"/>
    <col min="10748" max="10748" width="12" style="13" customWidth="1"/>
    <col min="10749" max="10749" width="10.7109375" style="13" customWidth="1"/>
    <col min="10750" max="10752" width="0" style="13" hidden="1" customWidth="1"/>
    <col min="10753" max="10980" width="9.140625" style="13"/>
    <col min="10981" max="10981" width="5.140625" style="13" customWidth="1"/>
    <col min="10982" max="10982" width="32.42578125" style="13" customWidth="1"/>
    <col min="10983" max="10985" width="10.28515625" style="13" customWidth="1"/>
    <col min="10986" max="10987" width="12.42578125" style="13" customWidth="1"/>
    <col min="10988" max="10988" width="11.28515625" style="13" customWidth="1"/>
    <col min="10989" max="10989" width="12.42578125" style="13" customWidth="1"/>
    <col min="10990" max="10990" width="11.28515625" style="13" customWidth="1"/>
    <col min="10991" max="10991" width="12.42578125" style="13" customWidth="1"/>
    <col min="10992" max="10992" width="11.28515625" style="13" customWidth="1"/>
    <col min="10993" max="10993" width="12.42578125" style="13" customWidth="1"/>
    <col min="10994" max="10994" width="11.28515625" style="13" customWidth="1"/>
    <col min="10995" max="10995" width="12.42578125" style="13" customWidth="1"/>
    <col min="10996" max="10996" width="11.28515625" style="13" customWidth="1"/>
    <col min="10997" max="10997" width="14.140625" style="13" customWidth="1"/>
    <col min="10998" max="10998" width="10.28515625" style="13" customWidth="1"/>
    <col min="10999" max="10999" width="17.140625" style="13" customWidth="1"/>
    <col min="11000" max="11000" width="12" style="13" customWidth="1"/>
    <col min="11001" max="11001" width="14.140625" style="13" customWidth="1"/>
    <col min="11002" max="11002" width="10.28515625" style="13" customWidth="1"/>
    <col min="11003" max="11003" width="17.140625" style="13" customWidth="1"/>
    <col min="11004" max="11004" width="12" style="13" customWidth="1"/>
    <col min="11005" max="11005" width="10.7109375" style="13" customWidth="1"/>
    <col min="11006" max="11008" width="0" style="13" hidden="1" customWidth="1"/>
    <col min="11009" max="11236" width="9.140625" style="13"/>
    <col min="11237" max="11237" width="5.140625" style="13" customWidth="1"/>
    <col min="11238" max="11238" width="32.42578125" style="13" customWidth="1"/>
    <col min="11239" max="11241" width="10.28515625" style="13" customWidth="1"/>
    <col min="11242" max="11243" width="12.42578125" style="13" customWidth="1"/>
    <col min="11244" max="11244" width="11.28515625" style="13" customWidth="1"/>
    <col min="11245" max="11245" width="12.42578125" style="13" customWidth="1"/>
    <col min="11246" max="11246" width="11.28515625" style="13" customWidth="1"/>
    <col min="11247" max="11247" width="12.42578125" style="13" customWidth="1"/>
    <col min="11248" max="11248" width="11.28515625" style="13" customWidth="1"/>
    <col min="11249" max="11249" width="12.42578125" style="13" customWidth="1"/>
    <col min="11250" max="11250" width="11.28515625" style="13" customWidth="1"/>
    <col min="11251" max="11251" width="12.42578125" style="13" customWidth="1"/>
    <col min="11252" max="11252" width="11.28515625" style="13" customWidth="1"/>
    <col min="11253" max="11253" width="14.140625" style="13" customWidth="1"/>
    <col min="11254" max="11254" width="10.28515625" style="13" customWidth="1"/>
    <col min="11255" max="11255" width="17.140625" style="13" customWidth="1"/>
    <col min="11256" max="11256" width="12" style="13" customWidth="1"/>
    <col min="11257" max="11257" width="14.140625" style="13" customWidth="1"/>
    <col min="11258" max="11258" width="10.28515625" style="13" customWidth="1"/>
    <col min="11259" max="11259" width="17.140625" style="13" customWidth="1"/>
    <col min="11260" max="11260" width="12" style="13" customWidth="1"/>
    <col min="11261" max="11261" width="10.7109375" style="13" customWidth="1"/>
    <col min="11262" max="11264" width="0" style="13" hidden="1" customWidth="1"/>
    <col min="11265" max="11492" width="9.140625" style="13"/>
    <col min="11493" max="11493" width="5.140625" style="13" customWidth="1"/>
    <col min="11494" max="11494" width="32.42578125" style="13" customWidth="1"/>
    <col min="11495" max="11497" width="10.28515625" style="13" customWidth="1"/>
    <col min="11498" max="11499" width="12.42578125" style="13" customWidth="1"/>
    <col min="11500" max="11500" width="11.28515625" style="13" customWidth="1"/>
    <col min="11501" max="11501" width="12.42578125" style="13" customWidth="1"/>
    <col min="11502" max="11502" width="11.28515625" style="13" customWidth="1"/>
    <col min="11503" max="11503" width="12.42578125" style="13" customWidth="1"/>
    <col min="11504" max="11504" width="11.28515625" style="13" customWidth="1"/>
    <col min="11505" max="11505" width="12.42578125" style="13" customWidth="1"/>
    <col min="11506" max="11506" width="11.28515625" style="13" customWidth="1"/>
    <col min="11507" max="11507" width="12.42578125" style="13" customWidth="1"/>
    <col min="11508" max="11508" width="11.28515625" style="13" customWidth="1"/>
    <col min="11509" max="11509" width="14.140625" style="13" customWidth="1"/>
    <col min="11510" max="11510" width="10.28515625" style="13" customWidth="1"/>
    <col min="11511" max="11511" width="17.140625" style="13" customWidth="1"/>
    <col min="11512" max="11512" width="12" style="13" customWidth="1"/>
    <col min="11513" max="11513" width="14.140625" style="13" customWidth="1"/>
    <col min="11514" max="11514" width="10.28515625" style="13" customWidth="1"/>
    <col min="11515" max="11515" width="17.140625" style="13" customWidth="1"/>
    <col min="11516" max="11516" width="12" style="13" customWidth="1"/>
    <col min="11517" max="11517" width="10.7109375" style="13" customWidth="1"/>
    <col min="11518" max="11520" width="0" style="13" hidden="1" customWidth="1"/>
    <col min="11521" max="11748" width="9.140625" style="13"/>
    <col min="11749" max="11749" width="5.140625" style="13" customWidth="1"/>
    <col min="11750" max="11750" width="32.42578125" style="13" customWidth="1"/>
    <col min="11751" max="11753" width="10.28515625" style="13" customWidth="1"/>
    <col min="11754" max="11755" width="12.42578125" style="13" customWidth="1"/>
    <col min="11756" max="11756" width="11.28515625" style="13" customWidth="1"/>
    <col min="11757" max="11757" width="12.42578125" style="13" customWidth="1"/>
    <col min="11758" max="11758" width="11.28515625" style="13" customWidth="1"/>
    <col min="11759" max="11759" width="12.42578125" style="13" customWidth="1"/>
    <col min="11760" max="11760" width="11.28515625" style="13" customWidth="1"/>
    <col min="11761" max="11761" width="12.42578125" style="13" customWidth="1"/>
    <col min="11762" max="11762" width="11.28515625" style="13" customWidth="1"/>
    <col min="11763" max="11763" width="12.42578125" style="13" customWidth="1"/>
    <col min="11764" max="11764" width="11.28515625" style="13" customWidth="1"/>
    <col min="11765" max="11765" width="14.140625" style="13" customWidth="1"/>
    <col min="11766" max="11766" width="10.28515625" style="13" customWidth="1"/>
    <col min="11767" max="11767" width="17.140625" style="13" customWidth="1"/>
    <col min="11768" max="11768" width="12" style="13" customWidth="1"/>
    <col min="11769" max="11769" width="14.140625" style="13" customWidth="1"/>
    <col min="11770" max="11770" width="10.28515625" style="13" customWidth="1"/>
    <col min="11771" max="11771" width="17.140625" style="13" customWidth="1"/>
    <col min="11772" max="11772" width="12" style="13" customWidth="1"/>
    <col min="11773" max="11773" width="10.7109375" style="13" customWidth="1"/>
    <col min="11774" max="11776" width="0" style="13" hidden="1" customWidth="1"/>
    <col min="11777" max="12004" width="9.140625" style="13"/>
    <col min="12005" max="12005" width="5.140625" style="13" customWidth="1"/>
    <col min="12006" max="12006" width="32.42578125" style="13" customWidth="1"/>
    <col min="12007" max="12009" width="10.28515625" style="13" customWidth="1"/>
    <col min="12010" max="12011" width="12.42578125" style="13" customWidth="1"/>
    <col min="12012" max="12012" width="11.28515625" style="13" customWidth="1"/>
    <col min="12013" max="12013" width="12.42578125" style="13" customWidth="1"/>
    <col min="12014" max="12014" width="11.28515625" style="13" customWidth="1"/>
    <col min="12015" max="12015" width="12.42578125" style="13" customWidth="1"/>
    <col min="12016" max="12016" width="11.28515625" style="13" customWidth="1"/>
    <col min="12017" max="12017" width="12.42578125" style="13" customWidth="1"/>
    <col min="12018" max="12018" width="11.28515625" style="13" customWidth="1"/>
    <col min="12019" max="12019" width="12.42578125" style="13" customWidth="1"/>
    <col min="12020" max="12020" width="11.28515625" style="13" customWidth="1"/>
    <col min="12021" max="12021" width="14.140625" style="13" customWidth="1"/>
    <col min="12022" max="12022" width="10.28515625" style="13" customWidth="1"/>
    <col min="12023" max="12023" width="17.140625" style="13" customWidth="1"/>
    <col min="12024" max="12024" width="12" style="13" customWidth="1"/>
    <col min="12025" max="12025" width="14.140625" style="13" customWidth="1"/>
    <col min="12026" max="12026" width="10.28515625" style="13" customWidth="1"/>
    <col min="12027" max="12027" width="17.140625" style="13" customWidth="1"/>
    <col min="12028" max="12028" width="12" style="13" customWidth="1"/>
    <col min="12029" max="12029" width="10.7109375" style="13" customWidth="1"/>
    <col min="12030" max="12032" width="0" style="13" hidden="1" customWidth="1"/>
    <col min="12033" max="12260" width="9.140625" style="13"/>
    <col min="12261" max="12261" width="5.140625" style="13" customWidth="1"/>
    <col min="12262" max="12262" width="32.42578125" style="13" customWidth="1"/>
    <col min="12263" max="12265" width="10.28515625" style="13" customWidth="1"/>
    <col min="12266" max="12267" width="12.42578125" style="13" customWidth="1"/>
    <col min="12268" max="12268" width="11.28515625" style="13" customWidth="1"/>
    <col min="12269" max="12269" width="12.42578125" style="13" customWidth="1"/>
    <col min="12270" max="12270" width="11.28515625" style="13" customWidth="1"/>
    <col min="12271" max="12271" width="12.42578125" style="13" customWidth="1"/>
    <col min="12272" max="12272" width="11.28515625" style="13" customWidth="1"/>
    <col min="12273" max="12273" width="12.42578125" style="13" customWidth="1"/>
    <col min="12274" max="12274" width="11.28515625" style="13" customWidth="1"/>
    <col min="12275" max="12275" width="12.42578125" style="13" customWidth="1"/>
    <col min="12276" max="12276" width="11.28515625" style="13" customWidth="1"/>
    <col min="12277" max="12277" width="14.140625" style="13" customWidth="1"/>
    <col min="12278" max="12278" width="10.28515625" style="13" customWidth="1"/>
    <col min="12279" max="12279" width="17.140625" style="13" customWidth="1"/>
    <col min="12280" max="12280" width="12" style="13" customWidth="1"/>
    <col min="12281" max="12281" width="14.140625" style="13" customWidth="1"/>
    <col min="12282" max="12282" width="10.28515625" style="13" customWidth="1"/>
    <col min="12283" max="12283" width="17.140625" style="13" customWidth="1"/>
    <col min="12284" max="12284" width="12" style="13" customWidth="1"/>
    <col min="12285" max="12285" width="10.7109375" style="13" customWidth="1"/>
    <col min="12286" max="12288" width="0" style="13" hidden="1" customWidth="1"/>
    <col min="12289" max="12516" width="9.140625" style="13"/>
    <col min="12517" max="12517" width="5.140625" style="13" customWidth="1"/>
    <col min="12518" max="12518" width="32.42578125" style="13" customWidth="1"/>
    <col min="12519" max="12521" width="10.28515625" style="13" customWidth="1"/>
    <col min="12522" max="12523" width="12.42578125" style="13" customWidth="1"/>
    <col min="12524" max="12524" width="11.28515625" style="13" customWidth="1"/>
    <col min="12525" max="12525" width="12.42578125" style="13" customWidth="1"/>
    <col min="12526" max="12526" width="11.28515625" style="13" customWidth="1"/>
    <col min="12527" max="12527" width="12.42578125" style="13" customWidth="1"/>
    <col min="12528" max="12528" width="11.28515625" style="13" customWidth="1"/>
    <col min="12529" max="12529" width="12.42578125" style="13" customWidth="1"/>
    <col min="12530" max="12530" width="11.28515625" style="13" customWidth="1"/>
    <col min="12531" max="12531" width="12.42578125" style="13" customWidth="1"/>
    <col min="12532" max="12532" width="11.28515625" style="13" customWidth="1"/>
    <col min="12533" max="12533" width="14.140625" style="13" customWidth="1"/>
    <col min="12534" max="12534" width="10.28515625" style="13" customWidth="1"/>
    <col min="12535" max="12535" width="17.140625" style="13" customWidth="1"/>
    <col min="12536" max="12536" width="12" style="13" customWidth="1"/>
    <col min="12537" max="12537" width="14.140625" style="13" customWidth="1"/>
    <col min="12538" max="12538" width="10.28515625" style="13" customWidth="1"/>
    <col min="12539" max="12539" width="17.140625" style="13" customWidth="1"/>
    <col min="12540" max="12540" width="12" style="13" customWidth="1"/>
    <col min="12541" max="12541" width="10.7109375" style="13" customWidth="1"/>
    <col min="12542" max="12544" width="0" style="13" hidden="1" customWidth="1"/>
    <col min="12545" max="12772" width="9.140625" style="13"/>
    <col min="12773" max="12773" width="5.140625" style="13" customWidth="1"/>
    <col min="12774" max="12774" width="32.42578125" style="13" customWidth="1"/>
    <col min="12775" max="12777" width="10.28515625" style="13" customWidth="1"/>
    <col min="12778" max="12779" width="12.42578125" style="13" customWidth="1"/>
    <col min="12780" max="12780" width="11.28515625" style="13" customWidth="1"/>
    <col min="12781" max="12781" width="12.42578125" style="13" customWidth="1"/>
    <col min="12782" max="12782" width="11.28515625" style="13" customWidth="1"/>
    <col min="12783" max="12783" width="12.42578125" style="13" customWidth="1"/>
    <col min="12784" max="12784" width="11.28515625" style="13" customWidth="1"/>
    <col min="12785" max="12785" width="12.42578125" style="13" customWidth="1"/>
    <col min="12786" max="12786" width="11.28515625" style="13" customWidth="1"/>
    <col min="12787" max="12787" width="12.42578125" style="13" customWidth="1"/>
    <col min="12788" max="12788" width="11.28515625" style="13" customWidth="1"/>
    <col min="12789" max="12789" width="14.140625" style="13" customWidth="1"/>
    <col min="12790" max="12790" width="10.28515625" style="13" customWidth="1"/>
    <col min="12791" max="12791" width="17.140625" style="13" customWidth="1"/>
    <col min="12792" max="12792" width="12" style="13" customWidth="1"/>
    <col min="12793" max="12793" width="14.140625" style="13" customWidth="1"/>
    <col min="12794" max="12794" width="10.28515625" style="13" customWidth="1"/>
    <col min="12795" max="12795" width="17.140625" style="13" customWidth="1"/>
    <col min="12796" max="12796" width="12" style="13" customWidth="1"/>
    <col min="12797" max="12797" width="10.7109375" style="13" customWidth="1"/>
    <col min="12798" max="12800" width="0" style="13" hidden="1" customWidth="1"/>
    <col min="12801" max="13028" width="9.140625" style="13"/>
    <col min="13029" max="13029" width="5.140625" style="13" customWidth="1"/>
    <col min="13030" max="13030" width="32.42578125" style="13" customWidth="1"/>
    <col min="13031" max="13033" width="10.28515625" style="13" customWidth="1"/>
    <col min="13034" max="13035" width="12.42578125" style="13" customWidth="1"/>
    <col min="13036" max="13036" width="11.28515625" style="13" customWidth="1"/>
    <col min="13037" max="13037" width="12.42578125" style="13" customWidth="1"/>
    <col min="13038" max="13038" width="11.28515625" style="13" customWidth="1"/>
    <col min="13039" max="13039" width="12.42578125" style="13" customWidth="1"/>
    <col min="13040" max="13040" width="11.28515625" style="13" customWidth="1"/>
    <col min="13041" max="13041" width="12.42578125" style="13" customWidth="1"/>
    <col min="13042" max="13042" width="11.28515625" style="13" customWidth="1"/>
    <col min="13043" max="13043" width="12.42578125" style="13" customWidth="1"/>
    <col min="13044" max="13044" width="11.28515625" style="13" customWidth="1"/>
    <col min="13045" max="13045" width="14.140625" style="13" customWidth="1"/>
    <col min="13046" max="13046" width="10.28515625" style="13" customWidth="1"/>
    <col min="13047" max="13047" width="17.140625" style="13" customWidth="1"/>
    <col min="13048" max="13048" width="12" style="13" customWidth="1"/>
    <col min="13049" max="13049" width="14.140625" style="13" customWidth="1"/>
    <col min="13050" max="13050" width="10.28515625" style="13" customWidth="1"/>
    <col min="13051" max="13051" width="17.140625" style="13" customWidth="1"/>
    <col min="13052" max="13052" width="12" style="13" customWidth="1"/>
    <col min="13053" max="13053" width="10.7109375" style="13" customWidth="1"/>
    <col min="13054" max="13056" width="0" style="13" hidden="1" customWidth="1"/>
    <col min="13057" max="13284" width="9.140625" style="13"/>
    <col min="13285" max="13285" width="5.140625" style="13" customWidth="1"/>
    <col min="13286" max="13286" width="32.42578125" style="13" customWidth="1"/>
    <col min="13287" max="13289" width="10.28515625" style="13" customWidth="1"/>
    <col min="13290" max="13291" width="12.42578125" style="13" customWidth="1"/>
    <col min="13292" max="13292" width="11.28515625" style="13" customWidth="1"/>
    <col min="13293" max="13293" width="12.42578125" style="13" customWidth="1"/>
    <col min="13294" max="13294" width="11.28515625" style="13" customWidth="1"/>
    <col min="13295" max="13295" width="12.42578125" style="13" customWidth="1"/>
    <col min="13296" max="13296" width="11.28515625" style="13" customWidth="1"/>
    <col min="13297" max="13297" width="12.42578125" style="13" customWidth="1"/>
    <col min="13298" max="13298" width="11.28515625" style="13" customWidth="1"/>
    <col min="13299" max="13299" width="12.42578125" style="13" customWidth="1"/>
    <col min="13300" max="13300" width="11.28515625" style="13" customWidth="1"/>
    <col min="13301" max="13301" width="14.140625" style="13" customWidth="1"/>
    <col min="13302" max="13302" width="10.28515625" style="13" customWidth="1"/>
    <col min="13303" max="13303" width="17.140625" style="13" customWidth="1"/>
    <col min="13304" max="13304" width="12" style="13" customWidth="1"/>
    <col min="13305" max="13305" width="14.140625" style="13" customWidth="1"/>
    <col min="13306" max="13306" width="10.28515625" style="13" customWidth="1"/>
    <col min="13307" max="13307" width="17.140625" style="13" customWidth="1"/>
    <col min="13308" max="13308" width="12" style="13" customWidth="1"/>
    <col min="13309" max="13309" width="10.7109375" style="13" customWidth="1"/>
    <col min="13310" max="13312" width="0" style="13" hidden="1" customWidth="1"/>
    <col min="13313" max="13540" width="9.140625" style="13"/>
    <col min="13541" max="13541" width="5.140625" style="13" customWidth="1"/>
    <col min="13542" max="13542" width="32.42578125" style="13" customWidth="1"/>
    <col min="13543" max="13545" width="10.28515625" style="13" customWidth="1"/>
    <col min="13546" max="13547" width="12.42578125" style="13" customWidth="1"/>
    <col min="13548" max="13548" width="11.28515625" style="13" customWidth="1"/>
    <col min="13549" max="13549" width="12.42578125" style="13" customWidth="1"/>
    <col min="13550" max="13550" width="11.28515625" style="13" customWidth="1"/>
    <col min="13551" max="13551" width="12.42578125" style="13" customWidth="1"/>
    <col min="13552" max="13552" width="11.28515625" style="13" customWidth="1"/>
    <col min="13553" max="13553" width="12.42578125" style="13" customWidth="1"/>
    <col min="13554" max="13554" width="11.28515625" style="13" customWidth="1"/>
    <col min="13555" max="13555" width="12.42578125" style="13" customWidth="1"/>
    <col min="13556" max="13556" width="11.28515625" style="13" customWidth="1"/>
    <col min="13557" max="13557" width="14.140625" style="13" customWidth="1"/>
    <col min="13558" max="13558" width="10.28515625" style="13" customWidth="1"/>
    <col min="13559" max="13559" width="17.140625" style="13" customWidth="1"/>
    <col min="13560" max="13560" width="12" style="13" customWidth="1"/>
    <col min="13561" max="13561" width="14.140625" style="13" customWidth="1"/>
    <col min="13562" max="13562" width="10.28515625" style="13" customWidth="1"/>
    <col min="13563" max="13563" width="17.140625" style="13" customWidth="1"/>
    <col min="13564" max="13564" width="12" style="13" customWidth="1"/>
    <col min="13565" max="13565" width="10.7109375" style="13" customWidth="1"/>
    <col min="13566" max="13568" width="0" style="13" hidden="1" customWidth="1"/>
    <col min="13569" max="13796" width="9.140625" style="13"/>
    <col min="13797" max="13797" width="5.140625" style="13" customWidth="1"/>
    <col min="13798" max="13798" width="32.42578125" style="13" customWidth="1"/>
    <col min="13799" max="13801" width="10.28515625" style="13" customWidth="1"/>
    <col min="13802" max="13803" width="12.42578125" style="13" customWidth="1"/>
    <col min="13804" max="13804" width="11.28515625" style="13" customWidth="1"/>
    <col min="13805" max="13805" width="12.42578125" style="13" customWidth="1"/>
    <col min="13806" max="13806" width="11.28515625" style="13" customWidth="1"/>
    <col min="13807" max="13807" width="12.42578125" style="13" customWidth="1"/>
    <col min="13808" max="13808" width="11.28515625" style="13" customWidth="1"/>
    <col min="13809" max="13809" width="12.42578125" style="13" customWidth="1"/>
    <col min="13810" max="13810" width="11.28515625" style="13" customWidth="1"/>
    <col min="13811" max="13811" width="12.42578125" style="13" customWidth="1"/>
    <col min="13812" max="13812" width="11.28515625" style="13" customWidth="1"/>
    <col min="13813" max="13813" width="14.140625" style="13" customWidth="1"/>
    <col min="13814" max="13814" width="10.28515625" style="13" customWidth="1"/>
    <col min="13815" max="13815" width="17.140625" style="13" customWidth="1"/>
    <col min="13816" max="13816" width="12" style="13" customWidth="1"/>
    <col min="13817" max="13817" width="14.140625" style="13" customWidth="1"/>
    <col min="13818" max="13818" width="10.28515625" style="13" customWidth="1"/>
    <col min="13819" max="13819" width="17.140625" style="13" customWidth="1"/>
    <col min="13820" max="13820" width="12" style="13" customWidth="1"/>
    <col min="13821" max="13821" width="10.7109375" style="13" customWidth="1"/>
    <col min="13822" max="13824" width="0" style="13" hidden="1" customWidth="1"/>
    <col min="13825" max="14052" width="9.140625" style="13"/>
    <col min="14053" max="14053" width="5.140625" style="13" customWidth="1"/>
    <col min="14054" max="14054" width="32.42578125" style="13" customWidth="1"/>
    <col min="14055" max="14057" width="10.28515625" style="13" customWidth="1"/>
    <col min="14058" max="14059" width="12.42578125" style="13" customWidth="1"/>
    <col min="14060" max="14060" width="11.28515625" style="13" customWidth="1"/>
    <col min="14061" max="14061" width="12.42578125" style="13" customWidth="1"/>
    <col min="14062" max="14062" width="11.28515625" style="13" customWidth="1"/>
    <col min="14063" max="14063" width="12.42578125" style="13" customWidth="1"/>
    <col min="14064" max="14064" width="11.28515625" style="13" customWidth="1"/>
    <col min="14065" max="14065" width="12.42578125" style="13" customWidth="1"/>
    <col min="14066" max="14066" width="11.28515625" style="13" customWidth="1"/>
    <col min="14067" max="14067" width="12.42578125" style="13" customWidth="1"/>
    <col min="14068" max="14068" width="11.28515625" style="13" customWidth="1"/>
    <col min="14069" max="14069" width="14.140625" style="13" customWidth="1"/>
    <col min="14070" max="14070" width="10.28515625" style="13" customWidth="1"/>
    <col min="14071" max="14071" width="17.140625" style="13" customWidth="1"/>
    <col min="14072" max="14072" width="12" style="13" customWidth="1"/>
    <col min="14073" max="14073" width="14.140625" style="13" customWidth="1"/>
    <col min="14074" max="14074" width="10.28515625" style="13" customWidth="1"/>
    <col min="14075" max="14075" width="17.140625" style="13" customWidth="1"/>
    <col min="14076" max="14076" width="12" style="13" customWidth="1"/>
    <col min="14077" max="14077" width="10.7109375" style="13" customWidth="1"/>
    <col min="14078" max="14080" width="0" style="13" hidden="1" customWidth="1"/>
    <col min="14081" max="14308" width="9.140625" style="13"/>
    <col min="14309" max="14309" width="5.140625" style="13" customWidth="1"/>
    <col min="14310" max="14310" width="32.42578125" style="13" customWidth="1"/>
    <col min="14311" max="14313" width="10.28515625" style="13" customWidth="1"/>
    <col min="14314" max="14315" width="12.42578125" style="13" customWidth="1"/>
    <col min="14316" max="14316" width="11.28515625" style="13" customWidth="1"/>
    <col min="14317" max="14317" width="12.42578125" style="13" customWidth="1"/>
    <col min="14318" max="14318" width="11.28515625" style="13" customWidth="1"/>
    <col min="14319" max="14319" width="12.42578125" style="13" customWidth="1"/>
    <col min="14320" max="14320" width="11.28515625" style="13" customWidth="1"/>
    <col min="14321" max="14321" width="12.42578125" style="13" customWidth="1"/>
    <col min="14322" max="14322" width="11.28515625" style="13" customWidth="1"/>
    <col min="14323" max="14323" width="12.42578125" style="13" customWidth="1"/>
    <col min="14324" max="14324" width="11.28515625" style="13" customWidth="1"/>
    <col min="14325" max="14325" width="14.140625" style="13" customWidth="1"/>
    <col min="14326" max="14326" width="10.28515625" style="13" customWidth="1"/>
    <col min="14327" max="14327" width="17.140625" style="13" customWidth="1"/>
    <col min="14328" max="14328" width="12" style="13" customWidth="1"/>
    <col min="14329" max="14329" width="14.140625" style="13" customWidth="1"/>
    <col min="14330" max="14330" width="10.28515625" style="13" customWidth="1"/>
    <col min="14331" max="14331" width="17.140625" style="13" customWidth="1"/>
    <col min="14332" max="14332" width="12" style="13" customWidth="1"/>
    <col min="14333" max="14333" width="10.7109375" style="13" customWidth="1"/>
    <col min="14334" max="14336" width="0" style="13" hidden="1" customWidth="1"/>
    <col min="14337" max="14564" width="9.140625" style="13"/>
    <col min="14565" max="14565" width="5.140625" style="13" customWidth="1"/>
    <col min="14566" max="14566" width="32.42578125" style="13" customWidth="1"/>
    <col min="14567" max="14569" width="10.28515625" style="13" customWidth="1"/>
    <col min="14570" max="14571" width="12.42578125" style="13" customWidth="1"/>
    <col min="14572" max="14572" width="11.28515625" style="13" customWidth="1"/>
    <col min="14573" max="14573" width="12.42578125" style="13" customWidth="1"/>
    <col min="14574" max="14574" width="11.28515625" style="13" customWidth="1"/>
    <col min="14575" max="14575" width="12.42578125" style="13" customWidth="1"/>
    <col min="14576" max="14576" width="11.28515625" style="13" customWidth="1"/>
    <col min="14577" max="14577" width="12.42578125" style="13" customWidth="1"/>
    <col min="14578" max="14578" width="11.28515625" style="13" customWidth="1"/>
    <col min="14579" max="14579" width="12.42578125" style="13" customWidth="1"/>
    <col min="14580" max="14580" width="11.28515625" style="13" customWidth="1"/>
    <col min="14581" max="14581" width="14.140625" style="13" customWidth="1"/>
    <col min="14582" max="14582" width="10.28515625" style="13" customWidth="1"/>
    <col min="14583" max="14583" width="17.140625" style="13" customWidth="1"/>
    <col min="14584" max="14584" width="12" style="13" customWidth="1"/>
    <col min="14585" max="14585" width="14.140625" style="13" customWidth="1"/>
    <col min="14586" max="14586" width="10.28515625" style="13" customWidth="1"/>
    <col min="14587" max="14587" width="17.140625" style="13" customWidth="1"/>
    <col min="14588" max="14588" width="12" style="13" customWidth="1"/>
    <col min="14589" max="14589" width="10.7109375" style="13" customWidth="1"/>
    <col min="14590" max="14592" width="0" style="13" hidden="1" customWidth="1"/>
    <col min="14593" max="14820" width="9.140625" style="13"/>
    <col min="14821" max="14821" width="5.140625" style="13" customWidth="1"/>
    <col min="14822" max="14822" width="32.42578125" style="13" customWidth="1"/>
    <col min="14823" max="14825" width="10.28515625" style="13" customWidth="1"/>
    <col min="14826" max="14827" width="12.42578125" style="13" customWidth="1"/>
    <col min="14828" max="14828" width="11.28515625" style="13" customWidth="1"/>
    <col min="14829" max="14829" width="12.42578125" style="13" customWidth="1"/>
    <col min="14830" max="14830" width="11.28515625" style="13" customWidth="1"/>
    <col min="14831" max="14831" width="12.42578125" style="13" customWidth="1"/>
    <col min="14832" max="14832" width="11.28515625" style="13" customWidth="1"/>
    <col min="14833" max="14833" width="12.42578125" style="13" customWidth="1"/>
    <col min="14834" max="14834" width="11.28515625" style="13" customWidth="1"/>
    <col min="14835" max="14835" width="12.42578125" style="13" customWidth="1"/>
    <col min="14836" max="14836" width="11.28515625" style="13" customWidth="1"/>
    <col min="14837" max="14837" width="14.140625" style="13" customWidth="1"/>
    <col min="14838" max="14838" width="10.28515625" style="13" customWidth="1"/>
    <col min="14839" max="14839" width="17.140625" style="13" customWidth="1"/>
    <col min="14840" max="14840" width="12" style="13" customWidth="1"/>
    <col min="14841" max="14841" width="14.140625" style="13" customWidth="1"/>
    <col min="14842" max="14842" width="10.28515625" style="13" customWidth="1"/>
    <col min="14843" max="14843" width="17.140625" style="13" customWidth="1"/>
    <col min="14844" max="14844" width="12" style="13" customWidth="1"/>
    <col min="14845" max="14845" width="10.7109375" style="13" customWidth="1"/>
    <col min="14846" max="14848" width="0" style="13" hidden="1" customWidth="1"/>
    <col min="14849" max="15076" width="9.140625" style="13"/>
    <col min="15077" max="15077" width="5.140625" style="13" customWidth="1"/>
    <col min="15078" max="15078" width="32.42578125" style="13" customWidth="1"/>
    <col min="15079" max="15081" width="10.28515625" style="13" customWidth="1"/>
    <col min="15082" max="15083" width="12.42578125" style="13" customWidth="1"/>
    <col min="15084" max="15084" width="11.28515625" style="13" customWidth="1"/>
    <col min="15085" max="15085" width="12.42578125" style="13" customWidth="1"/>
    <col min="15086" max="15086" width="11.28515625" style="13" customWidth="1"/>
    <col min="15087" max="15087" width="12.42578125" style="13" customWidth="1"/>
    <col min="15088" max="15088" width="11.28515625" style="13" customWidth="1"/>
    <col min="15089" max="15089" width="12.42578125" style="13" customWidth="1"/>
    <col min="15090" max="15090" width="11.28515625" style="13" customWidth="1"/>
    <col min="15091" max="15091" width="12.42578125" style="13" customWidth="1"/>
    <col min="15092" max="15092" width="11.28515625" style="13" customWidth="1"/>
    <col min="15093" max="15093" width="14.140625" style="13" customWidth="1"/>
    <col min="15094" max="15094" width="10.28515625" style="13" customWidth="1"/>
    <col min="15095" max="15095" width="17.140625" style="13" customWidth="1"/>
    <col min="15096" max="15096" width="12" style="13" customWidth="1"/>
    <col min="15097" max="15097" width="14.140625" style="13" customWidth="1"/>
    <col min="15098" max="15098" width="10.28515625" style="13" customWidth="1"/>
    <col min="15099" max="15099" width="17.140625" style="13" customWidth="1"/>
    <col min="15100" max="15100" width="12" style="13" customWidth="1"/>
    <col min="15101" max="15101" width="10.7109375" style="13" customWidth="1"/>
    <col min="15102" max="15104" width="0" style="13" hidden="1" customWidth="1"/>
    <col min="15105" max="15332" width="9.140625" style="13"/>
    <col min="15333" max="15333" width="5.140625" style="13" customWidth="1"/>
    <col min="15334" max="15334" width="32.42578125" style="13" customWidth="1"/>
    <col min="15335" max="15337" width="10.28515625" style="13" customWidth="1"/>
    <col min="15338" max="15339" width="12.42578125" style="13" customWidth="1"/>
    <col min="15340" max="15340" width="11.28515625" style="13" customWidth="1"/>
    <col min="15341" max="15341" width="12.42578125" style="13" customWidth="1"/>
    <col min="15342" max="15342" width="11.28515625" style="13" customWidth="1"/>
    <col min="15343" max="15343" width="12.42578125" style="13" customWidth="1"/>
    <col min="15344" max="15344" width="11.28515625" style="13" customWidth="1"/>
    <col min="15345" max="15345" width="12.42578125" style="13" customWidth="1"/>
    <col min="15346" max="15346" width="11.28515625" style="13" customWidth="1"/>
    <col min="15347" max="15347" width="12.42578125" style="13" customWidth="1"/>
    <col min="15348" max="15348" width="11.28515625" style="13" customWidth="1"/>
    <col min="15349" max="15349" width="14.140625" style="13" customWidth="1"/>
    <col min="15350" max="15350" width="10.28515625" style="13" customWidth="1"/>
    <col min="15351" max="15351" width="17.140625" style="13" customWidth="1"/>
    <col min="15352" max="15352" width="12" style="13" customWidth="1"/>
    <col min="15353" max="15353" width="14.140625" style="13" customWidth="1"/>
    <col min="15354" max="15354" width="10.28515625" style="13" customWidth="1"/>
    <col min="15355" max="15355" width="17.140625" style="13" customWidth="1"/>
    <col min="15356" max="15356" width="12" style="13" customWidth="1"/>
    <col min="15357" max="15357" width="10.7109375" style="13" customWidth="1"/>
    <col min="15358" max="15360" width="0" style="13" hidden="1" customWidth="1"/>
    <col min="15361" max="15588" width="9.140625" style="13"/>
    <col min="15589" max="15589" width="5.140625" style="13" customWidth="1"/>
    <col min="15590" max="15590" width="32.42578125" style="13" customWidth="1"/>
    <col min="15591" max="15593" width="10.28515625" style="13" customWidth="1"/>
    <col min="15594" max="15595" width="12.42578125" style="13" customWidth="1"/>
    <col min="15596" max="15596" width="11.28515625" style="13" customWidth="1"/>
    <col min="15597" max="15597" width="12.42578125" style="13" customWidth="1"/>
    <col min="15598" max="15598" width="11.28515625" style="13" customWidth="1"/>
    <col min="15599" max="15599" width="12.42578125" style="13" customWidth="1"/>
    <col min="15600" max="15600" width="11.28515625" style="13" customWidth="1"/>
    <col min="15601" max="15601" width="12.42578125" style="13" customWidth="1"/>
    <col min="15602" max="15602" width="11.28515625" style="13" customWidth="1"/>
    <col min="15603" max="15603" width="12.42578125" style="13" customWidth="1"/>
    <col min="15604" max="15604" width="11.28515625" style="13" customWidth="1"/>
    <col min="15605" max="15605" width="14.140625" style="13" customWidth="1"/>
    <col min="15606" max="15606" width="10.28515625" style="13" customWidth="1"/>
    <col min="15607" max="15607" width="17.140625" style="13" customWidth="1"/>
    <col min="15608" max="15608" width="12" style="13" customWidth="1"/>
    <col min="15609" max="15609" width="14.140625" style="13" customWidth="1"/>
    <col min="15610" max="15610" width="10.28515625" style="13" customWidth="1"/>
    <col min="15611" max="15611" width="17.140625" style="13" customWidth="1"/>
    <col min="15612" max="15612" width="12" style="13" customWidth="1"/>
    <col min="15613" max="15613" width="10.7109375" style="13" customWidth="1"/>
    <col min="15614" max="15616" width="0" style="13" hidden="1" customWidth="1"/>
    <col min="15617" max="15844" width="9.140625" style="13"/>
    <col min="15845" max="15845" width="5.140625" style="13" customWidth="1"/>
    <col min="15846" max="15846" width="32.42578125" style="13" customWidth="1"/>
    <col min="15847" max="15849" width="10.28515625" style="13" customWidth="1"/>
    <col min="15850" max="15851" width="12.42578125" style="13" customWidth="1"/>
    <col min="15852" max="15852" width="11.28515625" style="13" customWidth="1"/>
    <col min="15853" max="15853" width="12.42578125" style="13" customWidth="1"/>
    <col min="15854" max="15854" width="11.28515625" style="13" customWidth="1"/>
    <col min="15855" max="15855" width="12.42578125" style="13" customWidth="1"/>
    <col min="15856" max="15856" width="11.28515625" style="13" customWidth="1"/>
    <col min="15857" max="15857" width="12.42578125" style="13" customWidth="1"/>
    <col min="15858" max="15858" width="11.28515625" style="13" customWidth="1"/>
    <col min="15859" max="15859" width="12.42578125" style="13" customWidth="1"/>
    <col min="15860" max="15860" width="11.28515625" style="13" customWidth="1"/>
    <col min="15861" max="15861" width="14.140625" style="13" customWidth="1"/>
    <col min="15862" max="15862" width="10.28515625" style="13" customWidth="1"/>
    <col min="15863" max="15863" width="17.140625" style="13" customWidth="1"/>
    <col min="15864" max="15864" width="12" style="13" customWidth="1"/>
    <col min="15865" max="15865" width="14.140625" style="13" customWidth="1"/>
    <col min="15866" max="15866" width="10.28515625" style="13" customWidth="1"/>
    <col min="15867" max="15867" width="17.140625" style="13" customWidth="1"/>
    <col min="15868" max="15868" width="12" style="13" customWidth="1"/>
    <col min="15869" max="15869" width="10.7109375" style="13" customWidth="1"/>
    <col min="15870" max="15872" width="0" style="13" hidden="1" customWidth="1"/>
    <col min="15873" max="16100" width="9.140625" style="13"/>
    <col min="16101" max="16101" width="5.140625" style="13" customWidth="1"/>
    <col min="16102" max="16102" width="32.42578125" style="13" customWidth="1"/>
    <col min="16103" max="16105" width="10.28515625" style="13" customWidth="1"/>
    <col min="16106" max="16107" width="12.42578125" style="13" customWidth="1"/>
    <col min="16108" max="16108" width="11.28515625" style="13" customWidth="1"/>
    <col min="16109" max="16109" width="12.42578125" style="13" customWidth="1"/>
    <col min="16110" max="16110" width="11.28515625" style="13" customWidth="1"/>
    <col min="16111" max="16111" width="12.42578125" style="13" customWidth="1"/>
    <col min="16112" max="16112" width="11.28515625" style="13" customWidth="1"/>
    <col min="16113" max="16113" width="12.42578125" style="13" customWidth="1"/>
    <col min="16114" max="16114" width="11.28515625" style="13" customWidth="1"/>
    <col min="16115" max="16115" width="12.42578125" style="13" customWidth="1"/>
    <col min="16116" max="16116" width="11.28515625" style="13" customWidth="1"/>
    <col min="16117" max="16117" width="14.140625" style="13" customWidth="1"/>
    <col min="16118" max="16118" width="10.28515625" style="13" customWidth="1"/>
    <col min="16119" max="16119" width="17.140625" style="13" customWidth="1"/>
    <col min="16120" max="16120" width="12" style="13" customWidth="1"/>
    <col min="16121" max="16121" width="14.140625" style="13" customWidth="1"/>
    <col min="16122" max="16122" width="10.28515625" style="13" customWidth="1"/>
    <col min="16123" max="16123" width="17.140625" style="13" customWidth="1"/>
    <col min="16124" max="16124" width="12" style="13" customWidth="1"/>
    <col min="16125" max="16125" width="10.7109375" style="13" customWidth="1"/>
    <col min="16126" max="16128" width="0" style="13" hidden="1" customWidth="1"/>
    <col min="16129" max="16384" width="9.140625" style="13"/>
  </cols>
  <sheetData>
    <row r="1" spans="1:25" ht="29.25" customHeight="1">
      <c r="A1" s="1711" t="s">
        <v>2396</v>
      </c>
      <c r="B1" s="1711"/>
      <c r="C1" s="1711"/>
      <c r="D1" s="1711"/>
      <c r="E1" s="1711"/>
      <c r="F1" s="1711"/>
      <c r="G1" s="1711"/>
      <c r="H1" s="1711"/>
      <c r="I1" s="1711"/>
      <c r="J1" s="1711"/>
      <c r="K1" s="1711"/>
      <c r="L1" s="1711"/>
      <c r="M1" s="1711"/>
      <c r="N1" s="1711"/>
      <c r="O1" s="1711"/>
      <c r="P1" s="1711"/>
      <c r="Q1" s="1711"/>
      <c r="R1" s="1711"/>
      <c r="S1" s="1711"/>
      <c r="T1" s="1711"/>
      <c r="U1" s="1711"/>
      <c r="V1" s="1711"/>
      <c r="W1" s="1711"/>
    </row>
    <row r="2" spans="1:25" ht="29.25" customHeight="1">
      <c r="A2" s="1243" t="s">
        <v>2609</v>
      </c>
      <c r="B2" s="1645"/>
      <c r="C2" s="1645"/>
      <c r="D2" s="1645"/>
      <c r="E2" s="1645"/>
      <c r="F2" s="1645"/>
      <c r="G2" s="1645"/>
      <c r="H2" s="1645"/>
      <c r="I2" s="1645"/>
      <c r="J2" s="1645"/>
      <c r="K2" s="1645"/>
      <c r="L2" s="1645"/>
      <c r="M2" s="1645"/>
      <c r="N2" s="1645"/>
      <c r="O2" s="1645"/>
      <c r="P2" s="1645"/>
      <c r="Q2" s="1645"/>
      <c r="R2" s="1645"/>
      <c r="S2" s="1645"/>
      <c r="T2" s="1645"/>
      <c r="U2" s="1645"/>
      <c r="V2" s="1645"/>
      <c r="W2" s="1645"/>
    </row>
    <row r="3" spans="1:25" ht="25.5" customHeight="1">
      <c r="A3" s="1718" t="s">
        <v>3</v>
      </c>
      <c r="B3" s="1718"/>
      <c r="C3" s="1718"/>
      <c r="D3" s="1718"/>
      <c r="E3" s="1718"/>
      <c r="F3" s="1718"/>
      <c r="G3" s="1718"/>
      <c r="H3" s="1718"/>
      <c r="I3" s="1718"/>
      <c r="J3" s="1718"/>
      <c r="K3" s="1718"/>
      <c r="L3" s="1718"/>
      <c r="M3" s="1718"/>
      <c r="N3" s="1718"/>
      <c r="O3" s="1718"/>
      <c r="P3" s="1718"/>
      <c r="Q3" s="1718"/>
      <c r="R3" s="1718"/>
      <c r="S3" s="1718"/>
      <c r="T3" s="1718"/>
      <c r="U3" s="1718"/>
      <c r="V3" s="1718"/>
      <c r="W3" s="1718"/>
    </row>
    <row r="4" spans="1:25" s="1585" customFormat="1" ht="45" customHeight="1">
      <c r="A4" s="1712" t="s">
        <v>22</v>
      </c>
      <c r="B4" s="1712" t="s">
        <v>23</v>
      </c>
      <c r="C4" s="1712" t="s">
        <v>24</v>
      </c>
      <c r="D4" s="1712" t="s">
        <v>290</v>
      </c>
      <c r="E4" s="1712" t="s">
        <v>1986</v>
      </c>
      <c r="F4" s="1715" t="s">
        <v>1987</v>
      </c>
      <c r="G4" s="1716"/>
      <c r="H4" s="1717"/>
      <c r="I4" s="1719" t="s">
        <v>279</v>
      </c>
      <c r="J4" s="1723"/>
      <c r="K4" s="1719" t="s">
        <v>280</v>
      </c>
      <c r="L4" s="1720"/>
      <c r="M4" s="1712" t="s">
        <v>281</v>
      </c>
      <c r="N4" s="1292"/>
      <c r="O4" s="1292"/>
      <c r="P4" s="1719" t="s">
        <v>279</v>
      </c>
      <c r="Q4" s="1723"/>
      <c r="R4" s="1719" t="s">
        <v>280</v>
      </c>
      <c r="S4" s="1720"/>
      <c r="T4" s="1712" t="s">
        <v>2417</v>
      </c>
      <c r="U4" s="1719" t="s">
        <v>2594</v>
      </c>
      <c r="V4" s="1720"/>
      <c r="W4" s="1712" t="s">
        <v>2554</v>
      </c>
      <c r="X4" s="1710" t="s">
        <v>7</v>
      </c>
    </row>
    <row r="5" spans="1:25" s="1585" customFormat="1" ht="66.75" customHeight="1">
      <c r="A5" s="1713"/>
      <c r="B5" s="1713"/>
      <c r="C5" s="1713"/>
      <c r="D5" s="1713"/>
      <c r="E5" s="1713"/>
      <c r="F5" s="1712" t="s">
        <v>30</v>
      </c>
      <c r="G5" s="1715" t="s">
        <v>31</v>
      </c>
      <c r="H5" s="1717"/>
      <c r="I5" s="1721"/>
      <c r="J5" s="1724"/>
      <c r="K5" s="1721"/>
      <c r="L5" s="1722"/>
      <c r="M5" s="1713"/>
      <c r="N5" s="1292"/>
      <c r="O5" s="1292"/>
      <c r="P5" s="1721"/>
      <c r="Q5" s="1724"/>
      <c r="R5" s="1721"/>
      <c r="S5" s="1722"/>
      <c r="T5" s="1713"/>
      <c r="U5" s="1721"/>
      <c r="V5" s="1722"/>
      <c r="W5" s="1713"/>
      <c r="X5" s="1710"/>
      <c r="Y5" s="1292"/>
    </row>
    <row r="6" spans="1:25" s="1585" customFormat="1" ht="48.75" customHeight="1">
      <c r="A6" s="1713"/>
      <c r="B6" s="1713"/>
      <c r="C6" s="1713"/>
      <c r="D6" s="1713"/>
      <c r="E6" s="1713"/>
      <c r="F6" s="1713"/>
      <c r="G6" s="1712" t="s">
        <v>32</v>
      </c>
      <c r="H6" s="1712" t="s">
        <v>278</v>
      </c>
      <c r="I6" s="1712" t="s">
        <v>283</v>
      </c>
      <c r="J6" s="1712" t="s">
        <v>278</v>
      </c>
      <c r="K6" s="1712" t="s">
        <v>9</v>
      </c>
      <c r="L6" s="1712" t="s">
        <v>278</v>
      </c>
      <c r="M6" s="1713"/>
      <c r="N6" s="1292"/>
      <c r="O6" s="1292"/>
      <c r="P6" s="1712" t="s">
        <v>283</v>
      </c>
      <c r="Q6" s="1712" t="s">
        <v>278</v>
      </c>
      <c r="R6" s="1712" t="s">
        <v>9</v>
      </c>
      <c r="S6" s="1712" t="s">
        <v>278</v>
      </c>
      <c r="T6" s="1713"/>
      <c r="U6" s="1712" t="s">
        <v>9</v>
      </c>
      <c r="V6" s="1712" t="s">
        <v>278</v>
      </c>
      <c r="W6" s="1713"/>
      <c r="X6" s="1710"/>
    </row>
    <row r="7" spans="1:25" s="1585" customFormat="1" ht="33.75" customHeight="1">
      <c r="A7" s="1713"/>
      <c r="B7" s="1713"/>
      <c r="C7" s="1713"/>
      <c r="D7" s="1713"/>
      <c r="E7" s="1713"/>
      <c r="F7" s="1713"/>
      <c r="G7" s="1713"/>
      <c r="H7" s="1713"/>
      <c r="I7" s="1713"/>
      <c r="J7" s="1713"/>
      <c r="K7" s="1713"/>
      <c r="L7" s="1713"/>
      <c r="M7" s="1713"/>
      <c r="N7" s="1292"/>
      <c r="O7" s="1292"/>
      <c r="P7" s="1713"/>
      <c r="Q7" s="1713"/>
      <c r="R7" s="1713"/>
      <c r="S7" s="1713"/>
      <c r="T7" s="1713"/>
      <c r="U7" s="1713"/>
      <c r="V7" s="1713"/>
      <c r="W7" s="1713"/>
      <c r="X7" s="1710"/>
    </row>
    <row r="8" spans="1:25" s="1585" customFormat="1">
      <c r="A8" s="1714"/>
      <c r="B8" s="1714"/>
      <c r="C8" s="1714"/>
      <c r="D8" s="1714"/>
      <c r="E8" s="1714"/>
      <c r="F8" s="1714"/>
      <c r="G8" s="1714"/>
      <c r="H8" s="1714"/>
      <c r="I8" s="1714"/>
      <c r="J8" s="1714"/>
      <c r="K8" s="1714"/>
      <c r="L8" s="1714"/>
      <c r="M8" s="1714"/>
      <c r="N8" s="1292"/>
      <c r="O8" s="1292"/>
      <c r="P8" s="1714"/>
      <c r="Q8" s="1714"/>
      <c r="R8" s="1714"/>
      <c r="S8" s="1714"/>
      <c r="T8" s="1714"/>
      <c r="U8" s="1714"/>
      <c r="V8" s="1714"/>
      <c r="W8" s="1714"/>
      <c r="X8" s="1710"/>
    </row>
    <row r="9" spans="1:25" s="20" customFormat="1" ht="24" customHeight="1">
      <c r="A9" s="95">
        <v>1</v>
      </c>
      <c r="B9" s="95">
        <f>A9+1</f>
        <v>2</v>
      </c>
      <c r="C9" s="95">
        <f>B9+1</f>
        <v>3</v>
      </c>
      <c r="D9" s="95">
        <f t="shared" ref="D9:L9" si="0">C9+1</f>
        <v>4</v>
      </c>
      <c r="E9" s="95">
        <f t="shared" si="0"/>
        <v>5</v>
      </c>
      <c r="F9" s="95">
        <f t="shared" si="0"/>
        <v>6</v>
      </c>
      <c r="G9" s="95">
        <f t="shared" si="0"/>
        <v>7</v>
      </c>
      <c r="H9" s="95">
        <f t="shared" si="0"/>
        <v>8</v>
      </c>
      <c r="I9" s="95">
        <f t="shared" si="0"/>
        <v>9</v>
      </c>
      <c r="J9" s="95">
        <f t="shared" si="0"/>
        <v>10</v>
      </c>
      <c r="K9" s="95">
        <f t="shared" si="0"/>
        <v>11</v>
      </c>
      <c r="L9" s="95">
        <f t="shared" si="0"/>
        <v>12</v>
      </c>
      <c r="M9" s="95">
        <v>13</v>
      </c>
      <c r="N9" s="1544"/>
      <c r="O9" s="1544"/>
      <c r="P9" s="1227">
        <v>9</v>
      </c>
      <c r="Q9" s="1227">
        <v>10</v>
      </c>
      <c r="R9" s="1227">
        <v>11</v>
      </c>
      <c r="S9" s="1227">
        <v>12</v>
      </c>
      <c r="T9" s="1227">
        <v>13</v>
      </c>
      <c r="U9" s="1227">
        <v>9</v>
      </c>
      <c r="V9" s="1227">
        <v>10</v>
      </c>
      <c r="W9" s="1227">
        <v>11</v>
      </c>
      <c r="X9" s="1227">
        <v>12</v>
      </c>
    </row>
    <row r="10" spans="1:25" s="20" customFormat="1" ht="27" customHeight="1">
      <c r="A10" s="1227"/>
      <c r="B10" s="1228" t="s">
        <v>13</v>
      </c>
      <c r="C10" s="1227"/>
      <c r="D10" s="1227"/>
      <c r="E10" s="1227"/>
      <c r="F10" s="1227"/>
      <c r="G10" s="204">
        <f t="shared" ref="G10:M10" si="1">SUBTOTAL(109,G11:G30)</f>
        <v>82382</v>
      </c>
      <c r="H10" s="204">
        <f t="shared" si="1"/>
        <v>59000</v>
      </c>
      <c r="I10" s="204">
        <f t="shared" si="1"/>
        <v>35790</v>
      </c>
      <c r="J10" s="204">
        <f t="shared" si="1"/>
        <v>35790</v>
      </c>
      <c r="K10" s="204">
        <f t="shared" si="1"/>
        <v>17340</v>
      </c>
      <c r="L10" s="204">
        <f t="shared" si="1"/>
        <v>17340</v>
      </c>
      <c r="M10" s="204">
        <f t="shared" si="1"/>
        <v>19430</v>
      </c>
      <c r="N10" s="1544"/>
      <c r="O10" s="1544"/>
      <c r="P10" s="1565">
        <f t="shared" ref="P10:W10" si="2">SUBTOTAL(109,P11:P30)</f>
        <v>36770</v>
      </c>
      <c r="Q10" s="1565">
        <f t="shared" si="2"/>
        <v>36770</v>
      </c>
      <c r="R10" s="1565">
        <f t="shared" si="2"/>
        <v>14790</v>
      </c>
      <c r="S10" s="1565">
        <f t="shared" si="2"/>
        <v>14790</v>
      </c>
      <c r="T10" s="1565">
        <f t="shared" si="2"/>
        <v>19430</v>
      </c>
      <c r="U10" s="1565">
        <f t="shared" si="2"/>
        <v>34220</v>
      </c>
      <c r="V10" s="1565">
        <f t="shared" si="2"/>
        <v>34220</v>
      </c>
      <c r="W10" s="1565">
        <f t="shared" si="2"/>
        <v>23070</v>
      </c>
      <c r="X10" s="1231"/>
    </row>
    <row r="11" spans="1:25" ht="62.25" customHeight="1">
      <c r="A11" s="1213">
        <v>1</v>
      </c>
      <c r="B11" s="1561" t="s">
        <v>1114</v>
      </c>
      <c r="C11" s="1216" t="str">
        <f>VLOOKUP($B11,DATA!$B$7:$AV$679,6,0)</f>
        <v>Ba Đồn</v>
      </c>
      <c r="D11" s="1230">
        <v>2019</v>
      </c>
      <c r="E11" s="1230">
        <v>2021</v>
      </c>
      <c r="F11" s="1216" t="str">
        <f>VLOOKUP($B11,DATA!$B$7:$AV$679,12,0)</f>
        <v>3970a/QĐ-UBND ngày 31/10/2017</v>
      </c>
      <c r="G11" s="1217">
        <f>VLOOKUP($B11,DATA!$B$7:$AV$679,13,0)</f>
        <v>3982</v>
      </c>
      <c r="H11" s="1217">
        <f>VLOOKUP($B11,DATA!$B$7:$AV$679,15,0)</f>
        <v>3000</v>
      </c>
      <c r="I11" s="1217">
        <f>VLOOKUP($B11,DATA!$B$7:$AV$679,29,0)</f>
        <v>3000</v>
      </c>
      <c r="J11" s="1217">
        <f>VLOOKUP($B11,DATA!$B$7:$AV$679,29,0)</f>
        <v>3000</v>
      </c>
      <c r="K11" s="1217">
        <f>VLOOKUP($B11,DATA!$B$7:$AV$679,35,0)+890</f>
        <v>2390</v>
      </c>
      <c r="L11" s="1217">
        <f>VLOOKUP($B11,DATA!$B$7:$AV$679,36,0)+890</f>
        <v>2390</v>
      </c>
      <c r="M11" s="1217">
        <f t="shared" ref="M11:M13" si="3">H11*0.9-L11</f>
        <v>310</v>
      </c>
      <c r="N11" s="36"/>
      <c r="O11" s="36"/>
      <c r="P11" s="1567">
        <v>2700</v>
      </c>
      <c r="Q11" s="1566">
        <v>2700</v>
      </c>
      <c r="R11" s="1566">
        <v>1500</v>
      </c>
      <c r="S11" s="1566">
        <v>1500</v>
      </c>
      <c r="T11" s="1566">
        <v>310</v>
      </c>
      <c r="U11" s="1567">
        <f>R11+T11</f>
        <v>1810</v>
      </c>
      <c r="V11" s="1567">
        <f>S11+T11</f>
        <v>1810</v>
      </c>
      <c r="W11" s="1566">
        <f t="shared" ref="W11:W12" si="4">H11-V11</f>
        <v>1190</v>
      </c>
      <c r="X11" s="1218"/>
    </row>
    <row r="12" spans="1:25" ht="60" customHeight="1">
      <c r="A12" s="1213">
        <v>2</v>
      </c>
      <c r="B12" s="1460" t="s">
        <v>1137</v>
      </c>
      <c r="C12" s="1216" t="str">
        <f>VLOOKUP($B12,DATA!$B$7:$AV$679,6,0)</f>
        <v>Quảng Trạch</v>
      </c>
      <c r="D12" s="1230">
        <v>2019</v>
      </c>
      <c r="E12" s="1230">
        <v>2021</v>
      </c>
      <c r="F12" s="1216" t="str">
        <f>VLOOKUP($B12,DATA!$B$7:$AV$679,12,0)</f>
        <v>2151/QĐ-UBND ngày 02/7/2018</v>
      </c>
      <c r="G12" s="1217">
        <f>VLOOKUP($B12,DATA!$B$7:$AV$679,13,0)</f>
        <v>14800</v>
      </c>
      <c r="H12" s="1217">
        <f>VLOOKUP($B12,DATA!$B$7:$AV$679,15,0)</f>
        <v>9800</v>
      </c>
      <c r="I12" s="1217">
        <f>VLOOKUP($B12,DATA!$B$7:$AV$679,29,0)</f>
        <v>9600</v>
      </c>
      <c r="J12" s="1217">
        <f>VLOOKUP($B12,DATA!$B$7:$AV$679,29,0)</f>
        <v>9600</v>
      </c>
      <c r="K12" s="1217">
        <f>VLOOKUP($B12,DATA!$B$7:$AV$679,35,0)+700</f>
        <v>5500</v>
      </c>
      <c r="L12" s="1217">
        <f>VLOOKUP($B12,DATA!$B$7:$AV$679,36,0)+700</f>
        <v>5500</v>
      </c>
      <c r="M12" s="1217">
        <f t="shared" si="3"/>
        <v>3320</v>
      </c>
      <c r="N12" s="36"/>
      <c r="O12" s="36"/>
      <c r="P12" s="1567">
        <v>8820</v>
      </c>
      <c r="Q12" s="1566">
        <v>8820</v>
      </c>
      <c r="R12" s="1566">
        <v>4800</v>
      </c>
      <c r="S12" s="1566">
        <v>4800</v>
      </c>
      <c r="T12" s="1566">
        <v>3320</v>
      </c>
      <c r="U12" s="1567">
        <f>R12+T12</f>
        <v>8120</v>
      </c>
      <c r="V12" s="1567">
        <f>S12+T12</f>
        <v>8120</v>
      </c>
      <c r="W12" s="1566">
        <f t="shared" si="4"/>
        <v>1680</v>
      </c>
      <c r="X12" s="1218"/>
    </row>
    <row r="13" spans="1:25" ht="57.75" customHeight="1">
      <c r="A13" s="1213">
        <v>3</v>
      </c>
      <c r="B13" s="1460" t="s">
        <v>1145</v>
      </c>
      <c r="C13" s="1216" t="str">
        <f>VLOOKUP($B13,DATA!$B$7:$AV$679,6,0)</f>
        <v>Ba Đồn</v>
      </c>
      <c r="D13" s="1230">
        <v>2019</v>
      </c>
      <c r="E13" s="1230">
        <v>2021</v>
      </c>
      <c r="F13" s="1216" t="str">
        <f>VLOOKUP($B13,DATA!$B$7:$AV$679,12,0)</f>
        <v>3865/QĐ-UBND ngày 30/10/2017</v>
      </c>
      <c r="G13" s="1217">
        <f>VLOOKUP($B13,DATA!$B$7:$AV$679,13,0)</f>
        <v>4000</v>
      </c>
      <c r="H13" s="1217">
        <f>VLOOKUP($B13,DATA!$B$7:$AV$679,15,0)</f>
        <v>2400</v>
      </c>
      <c r="I13" s="1217">
        <f>VLOOKUP($B13,DATA!$B$7:$AV$679,29,0)</f>
        <v>2400</v>
      </c>
      <c r="J13" s="1217">
        <f>VLOOKUP($B13,DATA!$B$7:$AV$679,29,0)</f>
        <v>2400</v>
      </c>
      <c r="K13" s="1217">
        <f>VLOOKUP($B13,DATA!$B$7:$AV$679,35,0)+960</f>
        <v>2160</v>
      </c>
      <c r="L13" s="1217">
        <f>VLOOKUP($B13,DATA!$B$7:$AV$679,36,0)+960</f>
        <v>2160</v>
      </c>
      <c r="M13" s="1217">
        <f t="shared" si="3"/>
        <v>0</v>
      </c>
      <c r="N13" s="36"/>
      <c r="O13" s="36"/>
      <c r="P13" s="1567">
        <v>2160</v>
      </c>
      <c r="Q13" s="1566">
        <v>2160</v>
      </c>
      <c r="R13" s="1566">
        <v>1200</v>
      </c>
      <c r="S13" s="1566">
        <v>1200</v>
      </c>
      <c r="T13" s="1566">
        <v>0</v>
      </c>
      <c r="U13" s="1567">
        <f>R13+T13</f>
        <v>1200</v>
      </c>
      <c r="V13" s="1567">
        <f>S13+T13</f>
        <v>1200</v>
      </c>
      <c r="W13" s="1566">
        <f>H13-V13</f>
        <v>1200</v>
      </c>
      <c r="X13" s="1218"/>
    </row>
    <row r="14" spans="1:25" ht="66" customHeight="1">
      <c r="A14" s="1213">
        <v>4</v>
      </c>
      <c r="B14" s="547" t="s">
        <v>1123</v>
      </c>
      <c r="C14" s="1216" t="str">
        <f>VLOOKUP($B14,DATA!$B$7:$AV$679,6,0)</f>
        <v>Quảng Trạch</v>
      </c>
      <c r="D14" s="1230">
        <f>VLOOKUP($B14,DATA!$B$7:$AV$679,7,0)</f>
        <v>2019</v>
      </c>
      <c r="E14" s="1230">
        <f>VLOOKUP($B14,DATA!$B$7:$AV$679,9,0)</f>
        <v>2021</v>
      </c>
      <c r="F14" s="1216" t="str">
        <f>VLOOKUP($B14,DATA!$B$7:$AV$679,12,0)</f>
        <v>3803/QĐ-UBND ngày 31/10/2018</v>
      </c>
      <c r="G14" s="1217">
        <f>VLOOKUP($B14,DATA!$B$7:$AV$679,13,0)</f>
        <v>3000</v>
      </c>
      <c r="H14" s="1217">
        <f>VLOOKUP($B14,DATA!$B$7:$AV$679,15,0)</f>
        <v>1800</v>
      </c>
      <c r="I14" s="1217">
        <f>VLOOKUP($B14,DATA!$B$7:$AV$679,29,0)</f>
        <v>1800</v>
      </c>
      <c r="J14" s="1217">
        <f>VLOOKUP($B14,DATA!$B$7:$AV$679,29,0)</f>
        <v>1800</v>
      </c>
      <c r="K14" s="1217">
        <f>VLOOKUP($B14,DATA!$B$7:$AV$679,35,0)</f>
        <v>900</v>
      </c>
      <c r="L14" s="1217">
        <f>VLOOKUP($B14,DATA!$B$7:$AV$679,36,0)</f>
        <v>900</v>
      </c>
      <c r="M14" s="1217">
        <f t="shared" ref="M14:M19" si="5">(H14-L14)*0.5</f>
        <v>450</v>
      </c>
      <c r="N14" s="1545"/>
      <c r="O14" s="1545"/>
      <c r="P14" s="1567">
        <v>1350</v>
      </c>
      <c r="Q14" s="1567">
        <v>1350</v>
      </c>
      <c r="R14" s="1567">
        <v>900</v>
      </c>
      <c r="S14" s="1567">
        <v>900</v>
      </c>
      <c r="T14" s="1567">
        <v>450</v>
      </c>
      <c r="U14" s="1567">
        <f>R14+T14</f>
        <v>1350</v>
      </c>
      <c r="V14" s="1567">
        <f>S14+T14</f>
        <v>1350</v>
      </c>
      <c r="W14" s="1567">
        <f>H14-V14</f>
        <v>450</v>
      </c>
      <c r="X14" s="1218"/>
    </row>
    <row r="15" spans="1:25" ht="64.5" customHeight="1">
      <c r="A15" s="1213">
        <v>5</v>
      </c>
      <c r="B15" s="547" t="s">
        <v>1126</v>
      </c>
      <c r="C15" s="1216" t="str">
        <f>VLOOKUP($B15,DATA!$B$7:$AV$679,6,0)</f>
        <v>Ba Đồn</v>
      </c>
      <c r="D15" s="1230">
        <f>VLOOKUP($B15,DATA!$B$7:$AV$679,7,0)</f>
        <v>2019</v>
      </c>
      <c r="E15" s="1230">
        <f>VLOOKUP($B15,DATA!$B$7:$AV$679,9,0)</f>
        <v>2021</v>
      </c>
      <c r="F15" s="1216" t="str">
        <f>VLOOKUP($B15,DATA!$B$7:$AV$679,12,0)</f>
        <v>3776/QĐ-UBND ngày 31/10/2018</v>
      </c>
      <c r="G15" s="1217">
        <f>VLOOKUP($B15,DATA!$B$7:$AV$679,13,0)</f>
        <v>3000</v>
      </c>
      <c r="H15" s="1217">
        <f>VLOOKUP($B15,DATA!$B$7:$AV$679,15,0)</f>
        <v>3000</v>
      </c>
      <c r="I15" s="1217">
        <f>VLOOKUP($B15,DATA!$B$7:$AV$679,29,0)</f>
        <v>1800</v>
      </c>
      <c r="J15" s="1217">
        <f>VLOOKUP($B15,DATA!$B$7:$AV$679,29,0)</f>
        <v>1800</v>
      </c>
      <c r="K15" s="1217">
        <f>VLOOKUP($B15,DATA!$B$7:$AV$679,35,0)</f>
        <v>900</v>
      </c>
      <c r="L15" s="1217">
        <f>VLOOKUP($B15,DATA!$B$7:$AV$679,36,0)</f>
        <v>900</v>
      </c>
      <c r="M15" s="1217">
        <f t="shared" si="5"/>
        <v>1050</v>
      </c>
      <c r="N15" s="36"/>
      <c r="O15" s="36"/>
      <c r="P15" s="1567">
        <v>1950</v>
      </c>
      <c r="Q15" s="1566">
        <v>1950</v>
      </c>
      <c r="R15" s="1566">
        <v>900</v>
      </c>
      <c r="S15" s="1566">
        <v>900</v>
      </c>
      <c r="T15" s="1566">
        <v>1050</v>
      </c>
      <c r="U15" s="1567">
        <f>R15+T15</f>
        <v>1950</v>
      </c>
      <c r="V15" s="1567">
        <f>S15+T15</f>
        <v>1950</v>
      </c>
      <c r="W15" s="1566">
        <f>H15*0.9-U15</f>
        <v>750</v>
      </c>
      <c r="X15" s="1218"/>
    </row>
    <row r="16" spans="1:25" ht="45" customHeight="1">
      <c r="A16" s="1213">
        <v>6</v>
      </c>
      <c r="B16" s="547" t="s">
        <v>1134</v>
      </c>
      <c r="C16" s="1216" t="str">
        <f>VLOOKUP($B16,DATA!$B$7:$AV$679,6,0)</f>
        <v>Minh Hóa</v>
      </c>
      <c r="D16" s="1230">
        <f>VLOOKUP($B16,DATA!$B$7:$AV$679,7,0)</f>
        <v>2019</v>
      </c>
      <c r="E16" s="1230">
        <f>VLOOKUP($B16,DATA!$B$7:$AV$679,9,0)</f>
        <v>2021</v>
      </c>
      <c r="F16" s="1216" t="str">
        <f>VLOOKUP($B16,DATA!$B$7:$AV$679,12,0)</f>
        <v>3890/QĐ-UBND ngày 31/10/2018</v>
      </c>
      <c r="G16" s="1217">
        <f>VLOOKUP($B16,DATA!$B$7:$AV$679,13,0)</f>
        <v>5500</v>
      </c>
      <c r="H16" s="1217">
        <f>VLOOKUP($B16,DATA!$B$7:$AV$679,15,0)</f>
        <v>5500</v>
      </c>
      <c r="I16" s="1217">
        <f>VLOOKUP($B16,DATA!$B$7:$AV$679,29,0)</f>
        <v>3300</v>
      </c>
      <c r="J16" s="1217">
        <f>VLOOKUP($B16,DATA!$B$7:$AV$679,29,0)</f>
        <v>3300</v>
      </c>
      <c r="K16" s="1217">
        <f>VLOOKUP($B16,DATA!$B$7:$AV$679,35,0)</f>
        <v>1650</v>
      </c>
      <c r="L16" s="1217">
        <f>VLOOKUP($B16,DATA!$B$7:$AV$679,36,0)</f>
        <v>1650</v>
      </c>
      <c r="M16" s="1217">
        <f t="shared" si="5"/>
        <v>1925</v>
      </c>
      <c r="N16" s="36"/>
      <c r="O16" s="36"/>
      <c r="P16" s="1567">
        <v>3575</v>
      </c>
      <c r="Q16" s="1566">
        <v>3575</v>
      </c>
      <c r="R16" s="1566">
        <v>1650</v>
      </c>
      <c r="S16" s="1566">
        <v>1650</v>
      </c>
      <c r="T16" s="1566">
        <v>1925</v>
      </c>
      <c r="U16" s="1567">
        <f t="shared" ref="U16:U19" si="6">R16+T16</f>
        <v>3575</v>
      </c>
      <c r="V16" s="1567">
        <f t="shared" ref="V16:V19" si="7">S16+T16</f>
        <v>3575</v>
      </c>
      <c r="W16" s="1566">
        <f t="shared" ref="W16:W17" si="8">H16*0.9-U16</f>
        <v>1375</v>
      </c>
      <c r="X16" s="1218"/>
    </row>
    <row r="17" spans="1:24" ht="47.25" customHeight="1">
      <c r="A17" s="1213">
        <v>7</v>
      </c>
      <c r="B17" s="547" t="s">
        <v>1130</v>
      </c>
      <c r="C17" s="1216" t="str">
        <f>VLOOKUP($B17,DATA!$B$7:$AV$679,6,0)</f>
        <v>Đồng Hới</v>
      </c>
      <c r="D17" s="1230">
        <f>VLOOKUP($B17,DATA!$B$7:$AV$679,7,0)</f>
        <v>2019</v>
      </c>
      <c r="E17" s="1230">
        <f>VLOOKUP($B17,DATA!$B$7:$AV$679,9,0)</f>
        <v>2021</v>
      </c>
      <c r="F17" s="1216" t="str">
        <f>VLOOKUP($B17,DATA!$B$7:$AV$679,12,0)</f>
        <v>3802/QĐ-UBND ngày 31/10/2018</v>
      </c>
      <c r="G17" s="1217">
        <f>VLOOKUP($B17,DATA!$B$7:$AV$679,13,0)</f>
        <v>8600</v>
      </c>
      <c r="H17" s="1217">
        <f>VLOOKUP($B17,DATA!$B$7:$AV$679,15,0)</f>
        <v>8600</v>
      </c>
      <c r="I17" s="1217">
        <f>VLOOKUP($B17,DATA!$B$7:$AV$679,29,0)</f>
        <v>5160</v>
      </c>
      <c r="J17" s="1217">
        <f>VLOOKUP($B17,DATA!$B$7:$AV$679,29,0)</f>
        <v>5160</v>
      </c>
      <c r="K17" s="1217">
        <f>VLOOKUP($B17,DATA!$B$7:$AV$679,35,0)</f>
        <v>2580</v>
      </c>
      <c r="L17" s="1217">
        <f>VLOOKUP($B17,DATA!$B$7:$AV$679,36,0)</f>
        <v>2580</v>
      </c>
      <c r="M17" s="1217">
        <f t="shared" si="5"/>
        <v>3010</v>
      </c>
      <c r="N17" s="36"/>
      <c r="O17" s="36"/>
      <c r="P17" s="1567">
        <v>5590</v>
      </c>
      <c r="Q17" s="1566">
        <v>5590</v>
      </c>
      <c r="R17" s="1566">
        <v>2580</v>
      </c>
      <c r="S17" s="1566">
        <v>2580</v>
      </c>
      <c r="T17" s="1566">
        <v>3010</v>
      </c>
      <c r="U17" s="1567">
        <f t="shared" si="6"/>
        <v>5590</v>
      </c>
      <c r="V17" s="1567">
        <f t="shared" si="7"/>
        <v>5590</v>
      </c>
      <c r="W17" s="1566">
        <f t="shared" si="8"/>
        <v>2150</v>
      </c>
      <c r="X17" s="1218"/>
    </row>
    <row r="18" spans="1:24" ht="53.25" customHeight="1">
      <c r="A18" s="1213">
        <v>8</v>
      </c>
      <c r="B18" s="1214" t="s">
        <v>1158</v>
      </c>
      <c r="C18" s="1216" t="str">
        <f>VLOOKUP($B18,DATA!$B$7:$AV$679,6,0)</f>
        <v>Quảng Trạch</v>
      </c>
      <c r="D18" s="1230">
        <f>VLOOKUP($B18,DATA!$B$7:$AV$679,7,0)</f>
        <v>2019</v>
      </c>
      <c r="E18" s="1230">
        <f>VLOOKUP($B18,DATA!$B$7:$AV$679,9,0)</f>
        <v>2021</v>
      </c>
      <c r="F18" s="1216" t="str">
        <f>VLOOKUP($B18,DATA!$B$7:$AV$679,12,0)</f>
        <v>3885/QĐ-UBND ngày 31/10/2018</v>
      </c>
      <c r="G18" s="1217">
        <f>VLOOKUP($B18,DATA!$B$7:$AV$679,13,0)</f>
        <v>3000</v>
      </c>
      <c r="H18" s="1217">
        <f>VLOOKUP($B18,DATA!$B$7:$AV$679,15,0)</f>
        <v>1800</v>
      </c>
      <c r="I18" s="1217">
        <f>VLOOKUP($B18,DATA!$B$7:$AV$679,29,0)</f>
        <v>1080</v>
      </c>
      <c r="J18" s="1217">
        <f>VLOOKUP($B18,DATA!$B$7:$AV$679,29,0)</f>
        <v>1080</v>
      </c>
      <c r="K18" s="1217">
        <f>VLOOKUP($B18,DATA!$B$7:$AV$679,35,0)</f>
        <v>540</v>
      </c>
      <c r="L18" s="1217">
        <f>VLOOKUP($B18,DATA!$B$7:$AV$679,36,0)</f>
        <v>540</v>
      </c>
      <c r="M18" s="1217">
        <f t="shared" si="5"/>
        <v>630</v>
      </c>
      <c r="N18" s="36"/>
      <c r="O18" s="36"/>
      <c r="P18" s="1567">
        <v>1170</v>
      </c>
      <c r="Q18" s="1566">
        <v>1170</v>
      </c>
      <c r="R18" s="1566">
        <v>540</v>
      </c>
      <c r="S18" s="1566">
        <v>540</v>
      </c>
      <c r="T18" s="1566">
        <v>630</v>
      </c>
      <c r="U18" s="1567">
        <f t="shared" si="6"/>
        <v>1170</v>
      </c>
      <c r="V18" s="1567">
        <f t="shared" si="7"/>
        <v>1170</v>
      </c>
      <c r="W18" s="1566">
        <f>H18-V18</f>
        <v>630</v>
      </c>
      <c r="X18" s="1218"/>
    </row>
    <row r="19" spans="1:24" ht="56.25" customHeight="1">
      <c r="A19" s="1213">
        <v>9</v>
      </c>
      <c r="B19" s="310" t="s">
        <v>1153</v>
      </c>
      <c r="C19" s="1216" t="str">
        <f>VLOOKUP($B19,DATA!$B$7:$AV$679,6,0)</f>
        <v>Bố Trạch</v>
      </c>
      <c r="D19" s="1230">
        <f>VLOOKUP($B19,DATA!$B$7:$AV$679,7,0)</f>
        <v>2019</v>
      </c>
      <c r="E19" s="1230">
        <f>VLOOKUP($B19,DATA!$B$7:$AV$679,9,0)</f>
        <v>2021</v>
      </c>
      <c r="F19" s="1216" t="str">
        <f>VLOOKUP($B19,DATA!$B$7:$AV$679,12,0)</f>
        <v>3347/QĐ-UBND ngày 9/10/2018</v>
      </c>
      <c r="G19" s="1217">
        <f>VLOOKUP($B19,DATA!$B$7:$AV$679,13,0)</f>
        <v>4000</v>
      </c>
      <c r="H19" s="1217">
        <f>VLOOKUP($B19,DATA!$B$7:$AV$679,15,0)</f>
        <v>2400</v>
      </c>
      <c r="I19" s="1217">
        <f>VLOOKUP($B19,DATA!$B$7:$AV$679,29,0)</f>
        <v>1440</v>
      </c>
      <c r="J19" s="1217">
        <f>VLOOKUP($B19,DATA!$B$7:$AV$679,29,0)</f>
        <v>1440</v>
      </c>
      <c r="K19" s="1217">
        <f>VLOOKUP($B19,DATA!$B$7:$AV$679,35,0)</f>
        <v>720</v>
      </c>
      <c r="L19" s="1217">
        <f>VLOOKUP($B19,DATA!$B$7:$AV$679,36,0)</f>
        <v>720</v>
      </c>
      <c r="M19" s="1217">
        <f t="shared" si="5"/>
        <v>840</v>
      </c>
      <c r="N19" s="36"/>
      <c r="O19" s="36"/>
      <c r="P19" s="1567">
        <v>1560</v>
      </c>
      <c r="Q19" s="1566">
        <v>1560</v>
      </c>
      <c r="R19" s="1566">
        <v>720</v>
      </c>
      <c r="S19" s="1566">
        <v>720</v>
      </c>
      <c r="T19" s="1566">
        <v>840</v>
      </c>
      <c r="U19" s="1567">
        <f t="shared" si="6"/>
        <v>1560</v>
      </c>
      <c r="V19" s="1567">
        <f t="shared" si="7"/>
        <v>1560</v>
      </c>
      <c r="W19" s="1566">
        <f>H19-V19</f>
        <v>840</v>
      </c>
      <c r="X19" s="1218"/>
    </row>
    <row r="20" spans="1:24" ht="57.75" customHeight="1">
      <c r="A20" s="1213">
        <v>10</v>
      </c>
      <c r="B20" s="1460" t="s">
        <v>2321</v>
      </c>
      <c r="C20" s="1216" t="str">
        <f>VLOOKUP($B20,DATA!$B$7:$AV$679,6,0)</f>
        <v>Quảng Ninh</v>
      </c>
      <c r="D20" s="1230">
        <f>VLOOKUP($B20,DATA!$B$7:$AV$679,7,0)</f>
        <v>2020</v>
      </c>
      <c r="E20" s="1230">
        <f>VLOOKUP($B20,DATA!$B$7:$AV$679,9,0)</f>
        <v>2022</v>
      </c>
      <c r="F20" s="1216" t="str">
        <f>VLOOKUP($B20,DATA!$B$7:$AV$679,12,0)</f>
        <v>4196/QĐ-UBND ngày 30/10/2019</v>
      </c>
      <c r="G20" s="1217">
        <f>VLOOKUP($B20,DATA!$B$7:$AV$679,13,0)</f>
        <v>5500</v>
      </c>
      <c r="H20" s="1217">
        <f>VLOOKUP($B20,DATA!$B$7:$AV$679,15,0)</f>
        <v>4500</v>
      </c>
      <c r="I20" s="1217">
        <f>VLOOKUP($B20,DATA!$B$7:$AV$679,29,0)</f>
        <v>1350</v>
      </c>
      <c r="J20" s="1217">
        <f>VLOOKUP($B20,DATA!$B$7:$AV$679,29,0)</f>
        <v>1350</v>
      </c>
      <c r="K20" s="1217">
        <f>VLOOKUP($B20,DATA!$B$7:$AV$679,35,0)</f>
        <v>0</v>
      </c>
      <c r="L20" s="1217">
        <f>VLOOKUP($B20,DATA!$B$7:$AV$679,36,0)</f>
        <v>0</v>
      </c>
      <c r="M20" s="1217">
        <v>1155</v>
      </c>
      <c r="N20" s="36"/>
      <c r="O20" s="36"/>
      <c r="P20" s="1567">
        <v>1155</v>
      </c>
      <c r="Q20" s="1567">
        <v>1155</v>
      </c>
      <c r="R20" s="1566"/>
      <c r="S20" s="1566"/>
      <c r="T20" s="1566">
        <v>1155</v>
      </c>
      <c r="U20" s="1566">
        <f>R20+T20</f>
        <v>1155</v>
      </c>
      <c r="V20" s="1566">
        <f>S20+T20</f>
        <v>1155</v>
      </c>
      <c r="W20" s="1566">
        <f>H20-U20</f>
        <v>3345</v>
      </c>
      <c r="X20" s="1218"/>
    </row>
    <row r="21" spans="1:24" ht="51.75" customHeight="1">
      <c r="A21" s="1213">
        <v>11</v>
      </c>
      <c r="B21" s="547" t="s">
        <v>2327</v>
      </c>
      <c r="C21" s="1216" t="str">
        <f>VLOOKUP($B21,DATA!$B$7:$AV$679,6,0)</f>
        <v>Lệ Thủy</v>
      </c>
      <c r="D21" s="1230">
        <f>VLOOKUP($B21,DATA!$B$7:$AV$679,7,0)</f>
        <v>2020</v>
      </c>
      <c r="E21" s="1230">
        <f>VLOOKUP($B21,DATA!$B$7:$AV$679,9,0)</f>
        <v>2022</v>
      </c>
      <c r="F21" s="1216" t="str">
        <f>VLOOKUP($B21,DATA!$B$7:$AV$679,12,0)</f>
        <v>4190/QĐ-UBND ngày 30/10/2019</v>
      </c>
      <c r="G21" s="1217">
        <f>VLOOKUP($B21,DATA!$B$7:$AV$679,13,0)</f>
        <v>11000</v>
      </c>
      <c r="H21" s="1217">
        <f>VLOOKUP($B21,DATA!$B$7:$AV$679,15,0)</f>
        <v>6600</v>
      </c>
      <c r="I21" s="1217">
        <f>VLOOKUP($B21,DATA!$B$7:$AV$679,29,0)</f>
        <v>1980</v>
      </c>
      <c r="J21" s="1217">
        <f>VLOOKUP($B21,DATA!$B$7:$AV$679,29,0)</f>
        <v>1980</v>
      </c>
      <c r="K21" s="1217">
        <f>VLOOKUP($B21,DATA!$B$7:$AV$679,35,0)</f>
        <v>0</v>
      </c>
      <c r="L21" s="1217">
        <f>VLOOKUP($B21,DATA!$B$7:$AV$679,36,0)</f>
        <v>0</v>
      </c>
      <c r="M21" s="1217">
        <f>H21*0.35</f>
        <v>2310</v>
      </c>
      <c r="N21" s="36"/>
      <c r="O21" s="36"/>
      <c r="P21" s="1567">
        <v>2310</v>
      </c>
      <c r="Q21" s="1567">
        <v>2310</v>
      </c>
      <c r="R21" s="1566"/>
      <c r="S21" s="1566"/>
      <c r="T21" s="1566">
        <v>2310</v>
      </c>
      <c r="U21" s="1566">
        <f t="shared" ref="U21:U24" si="9">R21+T21</f>
        <v>2310</v>
      </c>
      <c r="V21" s="1566">
        <f t="shared" ref="V21:V24" si="10">S21+T21</f>
        <v>2310</v>
      </c>
      <c r="W21" s="1566">
        <f>H21-V21</f>
        <v>4290</v>
      </c>
      <c r="X21" s="1218"/>
    </row>
    <row r="22" spans="1:24" ht="35.25" customHeight="1">
      <c r="A22" s="1213">
        <v>12</v>
      </c>
      <c r="B22" s="547" t="s">
        <v>2323</v>
      </c>
      <c r="C22" s="1216" t="str">
        <f>VLOOKUP($B22,DATA!$B$7:$AV$679,6,0)</f>
        <v>Bố Trạch</v>
      </c>
      <c r="D22" s="1230">
        <f>VLOOKUP($B22,DATA!$B$7:$AV$679,7,0)</f>
        <v>2020</v>
      </c>
      <c r="E22" s="1230">
        <f>VLOOKUP($B22,DATA!$B$7:$AV$679,9,0)</f>
        <v>2022</v>
      </c>
      <c r="F22" s="1216" t="str">
        <f>VLOOKUP($B22,DATA!$B$7:$AV$679,12,0)</f>
        <v>4201/QĐ-UBND ngày 30/10/2019</v>
      </c>
      <c r="G22" s="1217">
        <f>VLOOKUP($B22,DATA!$B$7:$AV$679,13,0)</f>
        <v>5500</v>
      </c>
      <c r="H22" s="1217">
        <f>VLOOKUP($B22,DATA!$B$7:$AV$679,15,0)</f>
        <v>3300</v>
      </c>
      <c r="I22" s="1217">
        <f>VLOOKUP($B22,DATA!$B$7:$AV$679,29,0)</f>
        <v>990</v>
      </c>
      <c r="J22" s="1217">
        <f>VLOOKUP($B22,DATA!$B$7:$AV$679,29,0)</f>
        <v>990</v>
      </c>
      <c r="K22" s="1217">
        <f>VLOOKUP($B22,DATA!$B$7:$AV$679,35,0)</f>
        <v>0</v>
      </c>
      <c r="L22" s="1217">
        <f>VLOOKUP($B22,DATA!$B$7:$AV$679,36,0)</f>
        <v>0</v>
      </c>
      <c r="M22" s="1217">
        <f>H22*0.35+570</f>
        <v>1725</v>
      </c>
      <c r="N22" s="36"/>
      <c r="O22" s="36"/>
      <c r="P22" s="1567">
        <v>1725</v>
      </c>
      <c r="Q22" s="1567">
        <v>1725</v>
      </c>
      <c r="R22" s="1566"/>
      <c r="S22" s="1566"/>
      <c r="T22" s="1566">
        <v>1725</v>
      </c>
      <c r="U22" s="1566">
        <f t="shared" si="9"/>
        <v>1725</v>
      </c>
      <c r="V22" s="1566">
        <f t="shared" si="10"/>
        <v>1725</v>
      </c>
      <c r="W22" s="1566">
        <f t="shared" ref="W22:W24" si="11">H22-V22</f>
        <v>1575</v>
      </c>
      <c r="X22" s="1218"/>
    </row>
    <row r="23" spans="1:24" ht="40.5" customHeight="1">
      <c r="A23" s="1213">
        <v>13</v>
      </c>
      <c r="B23" s="547" t="s">
        <v>2325</v>
      </c>
      <c r="C23" s="1216" t="str">
        <f>VLOOKUP($B23,DATA!$B$7:$AV$679,6,0)</f>
        <v>Bố Trạch</v>
      </c>
      <c r="D23" s="1230">
        <f>VLOOKUP($B23,DATA!$B$7:$AV$679,7,0)</f>
        <v>2020</v>
      </c>
      <c r="E23" s="1230">
        <f>VLOOKUP($B23,DATA!$B$7:$AV$679,9,0)</f>
        <v>2022</v>
      </c>
      <c r="F23" s="1216" t="str">
        <f>VLOOKUP($B23,DATA!$B$7:$AV$679,12,0)</f>
        <v>4199/QĐ-UBND ngày 30/10/2019</v>
      </c>
      <c r="G23" s="1217">
        <f>VLOOKUP($B23,DATA!$B$7:$AV$679,13,0)</f>
        <v>5500</v>
      </c>
      <c r="H23" s="1217">
        <f>VLOOKUP($B23,DATA!$B$7:$AV$679,15,0)</f>
        <v>3300</v>
      </c>
      <c r="I23" s="1217">
        <f>VLOOKUP($B23,DATA!$B$7:$AV$679,29,0)</f>
        <v>990</v>
      </c>
      <c r="J23" s="1217">
        <f>VLOOKUP($B23,DATA!$B$7:$AV$679,29,0)</f>
        <v>990</v>
      </c>
      <c r="K23" s="1217">
        <f>VLOOKUP($B23,DATA!$B$7:$AV$679,35,0)</f>
        <v>0</v>
      </c>
      <c r="L23" s="1217">
        <f>VLOOKUP($B23,DATA!$B$7:$AV$679,36,0)</f>
        <v>0</v>
      </c>
      <c r="M23" s="1217">
        <f>H23*0.35+500</f>
        <v>1655</v>
      </c>
      <c r="N23" s="36"/>
      <c r="O23" s="36"/>
      <c r="P23" s="1567">
        <v>1655</v>
      </c>
      <c r="Q23" s="1567">
        <v>1655</v>
      </c>
      <c r="R23" s="1566"/>
      <c r="S23" s="1566"/>
      <c r="T23" s="1566">
        <v>1655</v>
      </c>
      <c r="U23" s="1566">
        <f t="shared" si="9"/>
        <v>1655</v>
      </c>
      <c r="V23" s="1566">
        <f t="shared" si="10"/>
        <v>1655</v>
      </c>
      <c r="W23" s="1566">
        <f t="shared" si="11"/>
        <v>1645</v>
      </c>
      <c r="X23" s="1218"/>
    </row>
    <row r="24" spans="1:24" ht="35.25" customHeight="1">
      <c r="A24" s="1213">
        <v>14</v>
      </c>
      <c r="B24" s="547" t="s">
        <v>2322</v>
      </c>
      <c r="C24" s="1216" t="str">
        <f>VLOOKUP($B24,DATA!$B$7:$AV$679,6,0)</f>
        <v>Ba Đồn</v>
      </c>
      <c r="D24" s="1230">
        <f>VLOOKUP($B24,DATA!$B$7:$AV$679,7,0)</f>
        <v>2020</v>
      </c>
      <c r="E24" s="1230">
        <f>VLOOKUP($B24,DATA!$B$7:$AV$679,9,0)</f>
        <v>2022</v>
      </c>
      <c r="F24" s="1216" t="str">
        <f>VLOOKUP($B24,DATA!$B$7:$AV$679,12,0)</f>
        <v>4141/QĐ-UBND ngày 30/10/2019</v>
      </c>
      <c r="G24" s="1217">
        <f>VLOOKUP($B24,DATA!$B$7:$AV$679,13,0)</f>
        <v>5000</v>
      </c>
      <c r="H24" s="1217">
        <f>VLOOKUP($B24,DATA!$B$7:$AV$679,15,0)</f>
        <v>3000</v>
      </c>
      <c r="I24" s="1217">
        <f>VLOOKUP($B24,DATA!$B$7:$AV$679,29,0)</f>
        <v>900</v>
      </c>
      <c r="J24" s="1217">
        <f>VLOOKUP($B24,DATA!$B$7:$AV$679,29,0)</f>
        <v>900</v>
      </c>
      <c r="K24" s="1217">
        <f>VLOOKUP($B24,DATA!$B$7:$AV$679,35,0)</f>
        <v>0</v>
      </c>
      <c r="L24" s="1217">
        <f>VLOOKUP($B24,DATA!$B$7:$AV$679,36,0)</f>
        <v>0</v>
      </c>
      <c r="M24" s="1217">
        <f>H24*0.35</f>
        <v>1050</v>
      </c>
      <c r="N24" s="36"/>
      <c r="O24" s="36"/>
      <c r="P24" s="1567">
        <v>1050</v>
      </c>
      <c r="Q24" s="1567">
        <v>1050</v>
      </c>
      <c r="R24" s="1566"/>
      <c r="S24" s="1566"/>
      <c r="T24" s="1566">
        <v>1050</v>
      </c>
      <c r="U24" s="1566">
        <f t="shared" si="9"/>
        <v>1050</v>
      </c>
      <c r="V24" s="1566">
        <f t="shared" si="10"/>
        <v>1050</v>
      </c>
      <c r="W24" s="1566">
        <f t="shared" si="11"/>
        <v>1950</v>
      </c>
      <c r="X24" s="1218"/>
    </row>
    <row r="25" spans="1:24">
      <c r="A25" s="13"/>
      <c r="B25" s="202"/>
      <c r="C25" s="13"/>
      <c r="D25" s="13"/>
      <c r="E25" s="13"/>
      <c r="F25" s="200"/>
      <c r="G25" s="13"/>
      <c r="H25" s="13"/>
      <c r="I25" s="13"/>
      <c r="J25" s="13"/>
      <c r="K25" s="13"/>
      <c r="L25" s="13"/>
      <c r="M25" s="13"/>
    </row>
    <row r="26" spans="1:24">
      <c r="A26" s="13"/>
      <c r="B26" s="202"/>
      <c r="C26" s="13"/>
      <c r="D26" s="13"/>
      <c r="E26" s="13"/>
      <c r="F26" s="200"/>
      <c r="G26" s="13"/>
      <c r="H26" s="13"/>
      <c r="I26" s="13"/>
      <c r="J26" s="13"/>
      <c r="K26" s="13"/>
      <c r="L26" s="13"/>
      <c r="M26" s="13"/>
    </row>
    <row r="27" spans="1:24">
      <c r="A27" s="13"/>
      <c r="B27" s="202"/>
      <c r="C27" s="13"/>
      <c r="D27" s="13"/>
      <c r="E27" s="13"/>
      <c r="F27" s="200"/>
      <c r="G27" s="13"/>
      <c r="H27" s="13"/>
      <c r="I27" s="13"/>
      <c r="J27" s="13"/>
      <c r="K27" s="13"/>
      <c r="L27" s="13"/>
      <c r="M27" s="13"/>
    </row>
    <row r="28" spans="1:24">
      <c r="A28" s="13"/>
      <c r="B28" s="202"/>
      <c r="C28" s="13"/>
      <c r="D28" s="13"/>
      <c r="E28" s="13"/>
      <c r="F28" s="200"/>
      <c r="G28" s="13"/>
      <c r="H28" s="13"/>
      <c r="I28" s="13"/>
      <c r="J28" s="13"/>
      <c r="K28" s="13"/>
      <c r="L28" s="13"/>
      <c r="M28" s="13"/>
    </row>
    <row r="29" spans="1:24">
      <c r="A29" s="13"/>
      <c r="B29" s="202"/>
      <c r="C29" s="13"/>
      <c r="D29" s="13"/>
      <c r="E29" s="13"/>
      <c r="F29" s="200"/>
      <c r="G29" s="13"/>
      <c r="H29" s="13"/>
      <c r="I29" s="13"/>
      <c r="J29" s="13"/>
      <c r="K29" s="13"/>
      <c r="L29" s="13"/>
      <c r="M29" s="13"/>
    </row>
    <row r="30" spans="1:24">
      <c r="A30" s="13"/>
      <c r="B30" s="202"/>
      <c r="C30" s="13"/>
      <c r="D30" s="13"/>
      <c r="E30" s="13"/>
      <c r="F30" s="200"/>
      <c r="G30" s="13"/>
      <c r="H30" s="13"/>
      <c r="I30" s="13"/>
      <c r="J30" s="13"/>
      <c r="K30" s="13"/>
      <c r="L30" s="13"/>
      <c r="M30" s="13"/>
    </row>
    <row r="31" spans="1:24">
      <c r="A31" s="13"/>
      <c r="B31" s="202"/>
      <c r="C31" s="13"/>
      <c r="D31" s="13"/>
      <c r="E31" s="13"/>
      <c r="F31" s="200"/>
      <c r="G31" s="13"/>
      <c r="H31" s="13"/>
      <c r="I31" s="13"/>
      <c r="J31" s="13"/>
      <c r="K31" s="13"/>
      <c r="L31" s="13"/>
      <c r="M31" s="13"/>
    </row>
    <row r="32" spans="1:24">
      <c r="A32" s="13"/>
      <c r="B32" s="202"/>
      <c r="C32" s="13"/>
      <c r="D32" s="13"/>
      <c r="E32" s="13"/>
      <c r="F32" s="200"/>
      <c r="G32" s="13"/>
      <c r="H32" s="13"/>
      <c r="I32" s="13"/>
      <c r="J32" s="13"/>
      <c r="K32" s="13"/>
      <c r="L32" s="13"/>
      <c r="M32" s="13"/>
    </row>
    <row r="33" spans="1:13">
      <c r="A33" s="13"/>
      <c r="B33" s="202"/>
      <c r="C33" s="13"/>
      <c r="D33" s="13"/>
      <c r="E33" s="13"/>
      <c r="F33" s="200"/>
      <c r="G33" s="13"/>
      <c r="H33" s="13"/>
      <c r="I33" s="13"/>
      <c r="J33" s="13"/>
      <c r="K33" s="13"/>
      <c r="L33" s="13"/>
      <c r="M33" s="13"/>
    </row>
    <row r="34" spans="1:13">
      <c r="A34" s="13"/>
      <c r="B34" s="202"/>
      <c r="C34" s="13"/>
      <c r="D34" s="13"/>
      <c r="E34" s="13"/>
      <c r="F34" s="200"/>
      <c r="G34" s="13"/>
      <c r="H34" s="13"/>
      <c r="I34" s="13"/>
      <c r="J34" s="13"/>
      <c r="K34" s="13"/>
      <c r="L34" s="13"/>
      <c r="M34" s="13"/>
    </row>
    <row r="35" spans="1:13">
      <c r="A35" s="13"/>
      <c r="B35" s="202"/>
      <c r="C35" s="13"/>
      <c r="D35" s="13"/>
      <c r="E35" s="13"/>
      <c r="F35" s="200"/>
      <c r="G35" s="13"/>
      <c r="H35" s="13"/>
      <c r="I35" s="13"/>
      <c r="J35" s="13"/>
      <c r="K35" s="13"/>
      <c r="L35" s="13"/>
      <c r="M35" s="13"/>
    </row>
    <row r="36" spans="1:13">
      <c r="A36" s="13"/>
      <c r="B36" s="202"/>
      <c r="C36" s="13"/>
      <c r="D36" s="13"/>
      <c r="E36" s="13"/>
      <c r="F36" s="200"/>
      <c r="G36" s="13"/>
      <c r="H36" s="13"/>
      <c r="I36" s="13"/>
      <c r="J36" s="13"/>
      <c r="K36" s="13"/>
      <c r="L36" s="13"/>
      <c r="M36" s="13"/>
    </row>
    <row r="37" spans="1:13">
      <c r="A37" s="13"/>
      <c r="B37" s="202"/>
      <c r="C37" s="13"/>
      <c r="D37" s="13"/>
      <c r="E37" s="13"/>
      <c r="F37" s="200"/>
      <c r="G37" s="13"/>
      <c r="H37" s="13"/>
      <c r="I37" s="13"/>
      <c r="J37" s="13"/>
      <c r="K37" s="13"/>
      <c r="L37" s="13"/>
      <c r="M37" s="13"/>
    </row>
    <row r="38" spans="1:13">
      <c r="A38" s="13"/>
      <c r="B38" s="202"/>
      <c r="C38" s="13"/>
      <c r="D38" s="13"/>
      <c r="E38" s="13"/>
      <c r="F38" s="200"/>
      <c r="G38" s="13"/>
      <c r="H38" s="13"/>
      <c r="I38" s="13"/>
      <c r="J38" s="13"/>
      <c r="K38" s="13"/>
      <c r="L38" s="13"/>
      <c r="M38" s="13"/>
    </row>
    <row r="39" spans="1:13">
      <c r="A39" s="13"/>
      <c r="B39" s="202"/>
      <c r="C39" s="13"/>
      <c r="D39" s="13"/>
      <c r="E39" s="13"/>
      <c r="F39" s="200"/>
      <c r="G39" s="13"/>
      <c r="H39" s="13"/>
      <c r="I39" s="13"/>
      <c r="J39" s="13"/>
      <c r="K39" s="13"/>
      <c r="L39" s="13"/>
      <c r="M39" s="13"/>
    </row>
    <row r="40" spans="1:13">
      <c r="A40" s="13"/>
      <c r="B40" s="202"/>
      <c r="C40" s="13"/>
      <c r="D40" s="13"/>
      <c r="E40" s="13"/>
      <c r="F40" s="200"/>
      <c r="G40" s="13"/>
      <c r="H40" s="13"/>
      <c r="I40" s="13"/>
      <c r="J40" s="13"/>
      <c r="K40" s="13"/>
      <c r="L40" s="13"/>
      <c r="M40" s="13"/>
    </row>
    <row r="41" spans="1:13">
      <c r="A41" s="13"/>
      <c r="B41" s="202"/>
      <c r="C41" s="13"/>
      <c r="D41" s="13"/>
      <c r="E41" s="13"/>
      <c r="F41" s="200"/>
      <c r="G41" s="13"/>
      <c r="H41" s="13"/>
      <c r="I41" s="13"/>
      <c r="J41" s="13"/>
      <c r="K41" s="13"/>
      <c r="L41" s="13"/>
      <c r="M41" s="13"/>
    </row>
    <row r="42" spans="1:13">
      <c r="A42" s="13"/>
      <c r="B42" s="202"/>
      <c r="C42" s="13"/>
      <c r="D42" s="13"/>
      <c r="E42" s="13"/>
      <c r="F42" s="200"/>
      <c r="G42" s="13"/>
      <c r="H42" s="13"/>
      <c r="I42" s="13"/>
      <c r="J42" s="13"/>
      <c r="K42" s="13"/>
      <c r="L42" s="13"/>
      <c r="M42" s="13"/>
    </row>
    <row r="43" spans="1:13">
      <c r="A43" s="13"/>
      <c r="B43" s="202"/>
      <c r="C43" s="13"/>
      <c r="D43" s="13"/>
      <c r="E43" s="13"/>
      <c r="F43" s="200"/>
      <c r="G43" s="13"/>
      <c r="H43" s="13"/>
      <c r="I43" s="13"/>
      <c r="J43" s="13"/>
      <c r="K43" s="13"/>
      <c r="L43" s="13"/>
      <c r="M43" s="13"/>
    </row>
    <row r="44" spans="1:13">
      <c r="A44" s="13"/>
      <c r="B44" s="202"/>
      <c r="C44" s="13"/>
      <c r="D44" s="13"/>
      <c r="E44" s="13"/>
      <c r="F44" s="200"/>
      <c r="G44" s="13"/>
      <c r="H44" s="13"/>
      <c r="I44" s="13"/>
      <c r="J44" s="13"/>
      <c r="K44" s="13"/>
      <c r="L44" s="13"/>
      <c r="M44" s="13"/>
    </row>
    <row r="45" spans="1:13">
      <c r="A45" s="13"/>
      <c r="B45" s="202"/>
      <c r="C45" s="13"/>
      <c r="D45" s="13"/>
      <c r="E45" s="13"/>
      <c r="F45" s="200"/>
      <c r="G45" s="13"/>
      <c r="H45" s="13"/>
      <c r="I45" s="13"/>
      <c r="J45" s="13"/>
      <c r="K45" s="13"/>
      <c r="L45" s="13"/>
      <c r="M45" s="13"/>
    </row>
    <row r="46" spans="1:13">
      <c r="A46" s="13"/>
      <c r="B46" s="202"/>
      <c r="C46" s="13"/>
      <c r="D46" s="13"/>
      <c r="E46" s="13"/>
      <c r="F46" s="200"/>
      <c r="G46" s="13"/>
      <c r="H46" s="13"/>
      <c r="I46" s="13"/>
      <c r="J46" s="13"/>
      <c r="K46" s="13"/>
      <c r="L46" s="13"/>
      <c r="M46" s="13"/>
    </row>
    <row r="47" spans="1:13">
      <c r="A47" s="13"/>
      <c r="B47" s="202"/>
      <c r="C47" s="13"/>
      <c r="D47" s="13"/>
      <c r="E47" s="13"/>
      <c r="F47" s="200"/>
      <c r="G47" s="13"/>
      <c r="H47" s="13"/>
      <c r="I47" s="13"/>
      <c r="J47" s="13"/>
      <c r="K47" s="13"/>
      <c r="L47" s="13"/>
      <c r="M47" s="13"/>
    </row>
    <row r="48" spans="1:13">
      <c r="A48" s="13"/>
      <c r="B48" s="202"/>
      <c r="C48" s="13"/>
      <c r="D48" s="13"/>
      <c r="E48" s="13"/>
      <c r="F48" s="200"/>
      <c r="G48" s="13"/>
      <c r="H48" s="13"/>
      <c r="I48" s="13"/>
      <c r="J48" s="13"/>
      <c r="K48" s="13"/>
      <c r="L48" s="13"/>
      <c r="M48" s="13"/>
    </row>
    <row r="49" spans="1:13">
      <c r="A49" s="13"/>
      <c r="B49" s="202"/>
      <c r="C49" s="13"/>
      <c r="D49" s="13"/>
      <c r="E49" s="13"/>
      <c r="F49" s="200"/>
      <c r="G49" s="13"/>
      <c r="H49" s="13"/>
      <c r="I49" s="13"/>
      <c r="J49" s="13"/>
      <c r="K49" s="13"/>
      <c r="L49" s="13"/>
      <c r="M49" s="13"/>
    </row>
    <row r="50" spans="1:13">
      <c r="A50" s="13"/>
      <c r="B50" s="202"/>
      <c r="C50" s="13"/>
      <c r="D50" s="13"/>
      <c r="E50" s="13"/>
      <c r="F50" s="200"/>
      <c r="G50" s="13"/>
      <c r="H50" s="13"/>
      <c r="I50" s="13"/>
      <c r="J50" s="13"/>
      <c r="K50" s="13"/>
      <c r="L50" s="13"/>
      <c r="M50" s="13"/>
    </row>
    <row r="51" spans="1:13">
      <c r="A51" s="13"/>
      <c r="B51" s="202"/>
      <c r="C51" s="13"/>
      <c r="D51" s="13"/>
      <c r="E51" s="13"/>
      <c r="F51" s="200"/>
      <c r="G51" s="13"/>
      <c r="H51" s="13"/>
      <c r="I51" s="13"/>
      <c r="J51" s="13"/>
      <c r="K51" s="13"/>
      <c r="L51" s="13"/>
      <c r="M51" s="13"/>
    </row>
    <row r="52" spans="1:13">
      <c r="A52" s="13"/>
      <c r="B52" s="202"/>
      <c r="C52" s="13"/>
      <c r="D52" s="13"/>
      <c r="E52" s="13"/>
      <c r="F52" s="200"/>
      <c r="G52" s="13"/>
      <c r="H52" s="13"/>
      <c r="I52" s="13"/>
      <c r="J52" s="13"/>
      <c r="K52" s="13"/>
      <c r="L52" s="13"/>
      <c r="M52" s="13"/>
    </row>
    <row r="53" spans="1:13">
      <c r="A53" s="13"/>
      <c r="B53" s="202"/>
      <c r="C53" s="13"/>
      <c r="D53" s="13"/>
      <c r="E53" s="13"/>
      <c r="F53" s="200"/>
      <c r="G53" s="13"/>
      <c r="H53" s="13"/>
      <c r="I53" s="13"/>
      <c r="J53" s="13"/>
      <c r="K53" s="13"/>
      <c r="L53" s="13"/>
      <c r="M53" s="13"/>
    </row>
    <row r="54" spans="1:13">
      <c r="A54" s="13"/>
      <c r="B54" s="202"/>
      <c r="C54" s="13"/>
      <c r="D54" s="13"/>
      <c r="E54" s="13"/>
      <c r="F54" s="200"/>
      <c r="G54" s="13"/>
      <c r="H54" s="13"/>
      <c r="I54" s="13"/>
      <c r="J54" s="13"/>
      <c r="K54" s="13"/>
      <c r="L54" s="13"/>
      <c r="M54" s="13"/>
    </row>
    <row r="55" spans="1:13">
      <c r="A55" s="13"/>
      <c r="B55" s="202"/>
      <c r="C55" s="13"/>
      <c r="D55" s="13"/>
      <c r="E55" s="13"/>
      <c r="F55" s="200"/>
      <c r="G55" s="13"/>
      <c r="H55" s="13"/>
      <c r="I55" s="13"/>
      <c r="J55" s="13"/>
      <c r="K55" s="13"/>
      <c r="L55" s="13"/>
      <c r="M55" s="13"/>
    </row>
    <row r="56" spans="1:13">
      <c r="A56" s="13"/>
      <c r="B56" s="202"/>
      <c r="C56" s="13"/>
      <c r="D56" s="13"/>
      <c r="E56" s="13"/>
      <c r="F56" s="200"/>
      <c r="G56" s="13"/>
      <c r="H56" s="13"/>
      <c r="I56" s="13"/>
      <c r="J56" s="13"/>
      <c r="K56" s="13"/>
      <c r="L56" s="13"/>
      <c r="M56" s="13"/>
    </row>
    <row r="57" spans="1:13">
      <c r="A57" s="13"/>
      <c r="B57" s="202"/>
      <c r="C57" s="13"/>
      <c r="D57" s="13"/>
      <c r="E57" s="13"/>
      <c r="F57" s="200"/>
      <c r="G57" s="13"/>
      <c r="H57" s="13"/>
      <c r="I57" s="13"/>
      <c r="J57" s="13"/>
      <c r="K57" s="13"/>
      <c r="L57" s="13"/>
      <c r="M57" s="13"/>
    </row>
    <row r="58" spans="1:13">
      <c r="A58" s="13"/>
      <c r="B58" s="202"/>
      <c r="C58" s="13"/>
      <c r="D58" s="13"/>
      <c r="E58" s="13"/>
      <c r="F58" s="200"/>
      <c r="G58" s="13"/>
      <c r="H58" s="13"/>
      <c r="I58" s="13"/>
      <c r="J58" s="13"/>
      <c r="K58" s="13"/>
      <c r="L58" s="13"/>
      <c r="M58" s="13"/>
    </row>
    <row r="59" spans="1:13">
      <c r="A59" s="13"/>
      <c r="B59" s="202"/>
      <c r="C59" s="13"/>
      <c r="D59" s="13"/>
      <c r="E59" s="13"/>
      <c r="F59" s="200"/>
      <c r="G59" s="13"/>
      <c r="H59" s="13"/>
      <c r="I59" s="13"/>
      <c r="J59" s="13"/>
      <c r="K59" s="13"/>
      <c r="L59" s="13"/>
      <c r="M59" s="13"/>
    </row>
    <row r="60" spans="1:13">
      <c r="A60" s="13"/>
      <c r="B60" s="202"/>
      <c r="C60" s="13"/>
      <c r="D60" s="13"/>
      <c r="E60" s="13"/>
      <c r="F60" s="200"/>
      <c r="G60" s="13"/>
      <c r="H60" s="13"/>
      <c r="I60" s="13"/>
      <c r="J60" s="13"/>
      <c r="K60" s="13"/>
      <c r="L60" s="13"/>
      <c r="M60" s="13"/>
    </row>
    <row r="61" spans="1:13">
      <c r="A61" s="13"/>
      <c r="B61" s="202"/>
      <c r="C61" s="13"/>
      <c r="D61" s="13"/>
      <c r="E61" s="13"/>
      <c r="F61" s="200"/>
      <c r="G61" s="13"/>
      <c r="H61" s="13"/>
      <c r="I61" s="13"/>
      <c r="J61" s="13"/>
      <c r="K61" s="13"/>
      <c r="L61" s="13"/>
      <c r="M61" s="13"/>
    </row>
    <row r="62" spans="1:13">
      <c r="A62" s="13"/>
      <c r="B62" s="202"/>
      <c r="C62" s="13"/>
      <c r="D62" s="13"/>
      <c r="E62" s="13"/>
      <c r="F62" s="200"/>
      <c r="G62" s="13"/>
      <c r="H62" s="13"/>
      <c r="I62" s="13"/>
      <c r="J62" s="13"/>
      <c r="K62" s="13"/>
      <c r="L62" s="13"/>
      <c r="M62" s="13"/>
    </row>
    <row r="63" spans="1:13">
      <c r="A63" s="13"/>
      <c r="B63" s="202"/>
      <c r="C63" s="13"/>
      <c r="D63" s="13"/>
      <c r="E63" s="13"/>
      <c r="F63" s="200"/>
      <c r="G63" s="13"/>
      <c r="H63" s="13"/>
      <c r="I63" s="13"/>
      <c r="J63" s="13"/>
      <c r="K63" s="13"/>
      <c r="L63" s="13"/>
      <c r="M63" s="13"/>
    </row>
    <row r="64" spans="1:13">
      <c r="A64" s="13"/>
      <c r="B64" s="202"/>
      <c r="C64" s="13"/>
      <c r="D64" s="13"/>
      <c r="E64" s="13"/>
      <c r="F64" s="200"/>
      <c r="G64" s="13"/>
      <c r="H64" s="13"/>
      <c r="I64" s="13"/>
      <c r="J64" s="13"/>
      <c r="K64" s="13"/>
      <c r="L64" s="13"/>
      <c r="M64" s="13"/>
    </row>
    <row r="65" spans="1:13">
      <c r="A65" s="13"/>
      <c r="B65" s="202"/>
      <c r="C65" s="13"/>
      <c r="D65" s="13"/>
      <c r="E65" s="13"/>
      <c r="F65" s="200"/>
      <c r="G65" s="13"/>
      <c r="H65" s="13"/>
      <c r="I65" s="13"/>
      <c r="J65" s="13"/>
      <c r="K65" s="13"/>
      <c r="L65" s="13"/>
      <c r="M65" s="13"/>
    </row>
    <row r="66" spans="1:13">
      <c r="A66" s="13"/>
      <c r="B66" s="202"/>
      <c r="C66" s="13"/>
      <c r="D66" s="13"/>
      <c r="E66" s="13"/>
      <c r="F66" s="200"/>
      <c r="G66" s="13"/>
      <c r="H66" s="13"/>
      <c r="I66" s="13"/>
      <c r="J66" s="13"/>
      <c r="K66" s="13"/>
      <c r="L66" s="13"/>
      <c r="M66" s="13"/>
    </row>
    <row r="67" spans="1:13">
      <c r="A67" s="13"/>
      <c r="B67" s="202"/>
      <c r="C67" s="13"/>
      <c r="D67" s="13"/>
      <c r="E67" s="13"/>
      <c r="F67" s="200"/>
      <c r="G67" s="13"/>
      <c r="H67" s="13"/>
      <c r="I67" s="13"/>
      <c r="J67" s="13"/>
      <c r="K67" s="13"/>
      <c r="L67" s="13"/>
      <c r="M67" s="13"/>
    </row>
    <row r="68" spans="1:13">
      <c r="A68" s="13"/>
      <c r="B68" s="202"/>
      <c r="C68" s="13"/>
      <c r="D68" s="13"/>
      <c r="E68" s="13"/>
      <c r="F68" s="200"/>
      <c r="G68" s="13"/>
      <c r="H68" s="13"/>
      <c r="I68" s="13"/>
      <c r="J68" s="13"/>
      <c r="K68" s="13"/>
      <c r="L68" s="13"/>
      <c r="M68" s="13"/>
    </row>
    <row r="69" spans="1:13">
      <c r="A69" s="13"/>
      <c r="B69" s="202"/>
      <c r="C69" s="13"/>
      <c r="D69" s="13"/>
      <c r="E69" s="13"/>
      <c r="F69" s="200"/>
      <c r="G69" s="13"/>
      <c r="H69" s="13"/>
      <c r="I69" s="13"/>
      <c r="J69" s="13"/>
      <c r="K69" s="13"/>
      <c r="L69" s="13"/>
      <c r="M69" s="13"/>
    </row>
    <row r="70" spans="1:13">
      <c r="A70" s="13"/>
      <c r="B70" s="202"/>
      <c r="C70" s="13"/>
      <c r="D70" s="13"/>
      <c r="E70" s="13"/>
      <c r="F70" s="200"/>
      <c r="G70" s="13"/>
      <c r="H70" s="13"/>
      <c r="I70" s="13"/>
      <c r="J70" s="13"/>
      <c r="K70" s="13"/>
      <c r="L70" s="13"/>
      <c r="M70" s="13"/>
    </row>
    <row r="71" spans="1:13">
      <c r="A71" s="13"/>
      <c r="B71" s="202"/>
      <c r="C71" s="13"/>
      <c r="D71" s="13"/>
      <c r="E71" s="13"/>
      <c r="F71" s="200"/>
      <c r="G71" s="13"/>
      <c r="H71" s="13"/>
      <c r="I71" s="13"/>
      <c r="J71" s="13"/>
      <c r="K71" s="13"/>
      <c r="L71" s="13"/>
      <c r="M71" s="13"/>
    </row>
    <row r="72" spans="1:13">
      <c r="A72" s="13"/>
      <c r="B72" s="202"/>
      <c r="C72" s="13"/>
      <c r="D72" s="13"/>
      <c r="E72" s="13"/>
      <c r="F72" s="200"/>
      <c r="G72" s="13"/>
      <c r="H72" s="13"/>
      <c r="I72" s="13"/>
      <c r="J72" s="13"/>
      <c r="K72" s="13"/>
      <c r="L72" s="13"/>
      <c r="M72" s="13"/>
    </row>
    <row r="73" spans="1:13">
      <c r="A73" s="13"/>
      <c r="B73" s="202"/>
      <c r="C73" s="13"/>
      <c r="D73" s="13"/>
      <c r="E73" s="13"/>
      <c r="F73" s="200"/>
      <c r="G73" s="13"/>
      <c r="H73" s="13"/>
      <c r="I73" s="13"/>
      <c r="J73" s="13"/>
      <c r="K73" s="13"/>
      <c r="L73" s="13"/>
      <c r="M73" s="13"/>
    </row>
    <row r="74" spans="1:13">
      <c r="A74" s="13"/>
      <c r="B74" s="202"/>
      <c r="C74" s="13"/>
      <c r="D74" s="13"/>
      <c r="E74" s="13"/>
      <c r="F74" s="200"/>
      <c r="G74" s="13"/>
      <c r="H74" s="13"/>
      <c r="I74" s="13"/>
      <c r="J74" s="13"/>
      <c r="K74" s="13"/>
      <c r="L74" s="13"/>
      <c r="M74" s="13"/>
    </row>
    <row r="75" spans="1:13">
      <c r="A75" s="13"/>
      <c r="B75" s="202"/>
      <c r="C75" s="13"/>
      <c r="D75" s="13"/>
      <c r="E75" s="13"/>
      <c r="F75" s="200"/>
      <c r="G75" s="13"/>
      <c r="H75" s="13"/>
      <c r="I75" s="13"/>
      <c r="J75" s="13"/>
      <c r="K75" s="13"/>
      <c r="L75" s="13"/>
      <c r="M75" s="13"/>
    </row>
    <row r="76" spans="1:13">
      <c r="A76" s="13"/>
      <c r="B76" s="202"/>
      <c r="C76" s="13"/>
      <c r="D76" s="13"/>
      <c r="E76" s="13"/>
      <c r="F76" s="200"/>
      <c r="G76" s="13"/>
      <c r="H76" s="13"/>
      <c r="I76" s="13"/>
      <c r="J76" s="13"/>
      <c r="K76" s="13"/>
      <c r="L76" s="13"/>
      <c r="M76" s="13"/>
    </row>
    <row r="77" spans="1:13">
      <c r="A77" s="13"/>
      <c r="B77" s="202"/>
      <c r="C77" s="13"/>
      <c r="D77" s="13"/>
      <c r="E77" s="13"/>
      <c r="F77" s="200"/>
      <c r="G77" s="13"/>
      <c r="H77" s="13"/>
      <c r="I77" s="13"/>
      <c r="J77" s="13"/>
      <c r="K77" s="13"/>
      <c r="L77" s="13"/>
      <c r="M77" s="13"/>
    </row>
    <row r="78" spans="1:13">
      <c r="A78" s="13"/>
      <c r="B78" s="202"/>
      <c r="C78" s="13"/>
      <c r="D78" s="13"/>
      <c r="E78" s="13"/>
      <c r="F78" s="200"/>
      <c r="G78" s="13"/>
      <c r="H78" s="13"/>
      <c r="I78" s="13"/>
      <c r="J78" s="13"/>
      <c r="K78" s="13"/>
      <c r="L78" s="13"/>
      <c r="M78" s="13"/>
    </row>
    <row r="79" spans="1:13">
      <c r="A79" s="13"/>
      <c r="B79" s="202"/>
      <c r="C79" s="13"/>
      <c r="D79" s="13"/>
      <c r="E79" s="13"/>
      <c r="F79" s="200"/>
      <c r="G79" s="13"/>
      <c r="H79" s="13"/>
      <c r="I79" s="13"/>
      <c r="J79" s="13"/>
      <c r="K79" s="13"/>
      <c r="L79" s="13"/>
      <c r="M79" s="13"/>
    </row>
    <row r="80" spans="1:13">
      <c r="A80" s="13"/>
      <c r="B80" s="202"/>
      <c r="C80" s="13"/>
      <c r="D80" s="13"/>
      <c r="E80" s="13"/>
      <c r="F80" s="200"/>
      <c r="G80" s="13"/>
      <c r="H80" s="13"/>
      <c r="I80" s="13"/>
      <c r="J80" s="13"/>
      <c r="K80" s="13"/>
      <c r="L80" s="13"/>
      <c r="M80" s="13"/>
    </row>
    <row r="81" spans="1:13">
      <c r="A81" s="13"/>
      <c r="B81" s="202"/>
      <c r="C81" s="13"/>
      <c r="D81" s="13"/>
      <c r="E81" s="13"/>
      <c r="F81" s="200"/>
      <c r="G81" s="13"/>
      <c r="H81" s="13"/>
      <c r="I81" s="13"/>
      <c r="J81" s="13"/>
      <c r="K81" s="13"/>
      <c r="L81" s="13"/>
      <c r="M81" s="13"/>
    </row>
    <row r="82" spans="1:13">
      <c r="A82" s="13"/>
      <c r="B82" s="202"/>
      <c r="C82" s="13"/>
      <c r="D82" s="13"/>
      <c r="E82" s="13"/>
      <c r="F82" s="200"/>
      <c r="G82" s="13"/>
      <c r="H82" s="13"/>
      <c r="I82" s="13"/>
      <c r="J82" s="13"/>
      <c r="K82" s="13"/>
      <c r="L82" s="13"/>
      <c r="M82" s="13"/>
    </row>
    <row r="83" spans="1:13">
      <c r="A83" s="13"/>
      <c r="B83" s="202"/>
      <c r="C83" s="13"/>
      <c r="D83" s="13"/>
      <c r="E83" s="13"/>
      <c r="F83" s="200"/>
      <c r="G83" s="13"/>
      <c r="H83" s="13"/>
      <c r="I83" s="13"/>
      <c r="J83" s="13"/>
      <c r="K83" s="13"/>
      <c r="L83" s="13"/>
      <c r="M83" s="13"/>
    </row>
    <row r="84" spans="1:13">
      <c r="A84" s="13"/>
      <c r="B84" s="202"/>
      <c r="C84" s="13"/>
      <c r="D84" s="13"/>
      <c r="E84" s="13"/>
      <c r="F84" s="200"/>
      <c r="G84" s="13"/>
      <c r="H84" s="13"/>
      <c r="I84" s="13"/>
      <c r="J84" s="13"/>
      <c r="K84" s="13"/>
      <c r="L84" s="13"/>
      <c r="M84" s="13"/>
    </row>
    <row r="85" spans="1:13">
      <c r="A85" s="13"/>
      <c r="B85" s="202"/>
      <c r="C85" s="13"/>
      <c r="D85" s="13"/>
      <c r="E85" s="13"/>
      <c r="F85" s="200"/>
      <c r="G85" s="13"/>
      <c r="H85" s="13"/>
      <c r="I85" s="13"/>
      <c r="J85" s="13"/>
      <c r="K85" s="13"/>
      <c r="L85" s="13"/>
      <c r="M85" s="13"/>
    </row>
    <row r="86" spans="1:13">
      <c r="A86" s="13"/>
      <c r="B86" s="202"/>
      <c r="C86" s="13"/>
      <c r="D86" s="13"/>
      <c r="E86" s="13"/>
      <c r="F86" s="200"/>
      <c r="G86" s="13"/>
      <c r="H86" s="13"/>
      <c r="I86" s="13"/>
      <c r="J86" s="13"/>
      <c r="K86" s="13"/>
      <c r="L86" s="13"/>
      <c r="M86" s="13"/>
    </row>
    <row r="87" spans="1:13">
      <c r="A87" s="13"/>
      <c r="B87" s="202"/>
      <c r="C87" s="13"/>
      <c r="D87" s="13"/>
      <c r="E87" s="13"/>
      <c r="F87" s="200"/>
      <c r="G87" s="13"/>
      <c r="H87" s="13"/>
      <c r="I87" s="13"/>
      <c r="J87" s="13"/>
      <c r="K87" s="13"/>
      <c r="L87" s="13"/>
      <c r="M87" s="13"/>
    </row>
    <row r="88" spans="1:13">
      <c r="A88" s="13"/>
      <c r="B88" s="202"/>
      <c r="C88" s="13"/>
      <c r="D88" s="13"/>
      <c r="E88" s="13"/>
      <c r="F88" s="200"/>
      <c r="G88" s="13"/>
      <c r="H88" s="13"/>
      <c r="I88" s="13"/>
      <c r="J88" s="13"/>
      <c r="K88" s="13"/>
      <c r="L88" s="13"/>
      <c r="M88" s="13"/>
    </row>
    <row r="89" spans="1:13">
      <c r="A89" s="13"/>
      <c r="B89" s="202"/>
      <c r="C89" s="13"/>
      <c r="D89" s="13"/>
      <c r="E89" s="13"/>
      <c r="F89" s="200"/>
      <c r="G89" s="13"/>
      <c r="H89" s="13"/>
      <c r="I89" s="13"/>
      <c r="J89" s="13"/>
      <c r="K89" s="13"/>
      <c r="L89" s="13"/>
      <c r="M89" s="13"/>
    </row>
  </sheetData>
  <autoFilter ref="C4:C24"/>
  <mergeCells count="31">
    <mergeCell ref="U4:V5"/>
    <mergeCell ref="W4:W8"/>
    <mergeCell ref="U6:U8"/>
    <mergeCell ref="V6:V8"/>
    <mergeCell ref="I4:J5"/>
    <mergeCell ref="K4:L5"/>
    <mergeCell ref="J6:J8"/>
    <mergeCell ref="M4:M8"/>
    <mergeCell ref="I6:I8"/>
    <mergeCell ref="P6:P8"/>
    <mergeCell ref="Q6:Q8"/>
    <mergeCell ref="R6:R8"/>
    <mergeCell ref="P4:Q5"/>
    <mergeCell ref="R4:S5"/>
    <mergeCell ref="K6:K8"/>
    <mergeCell ref="X4:X8"/>
    <mergeCell ref="A1:W1"/>
    <mergeCell ref="A4:A8"/>
    <mergeCell ref="B4:B8"/>
    <mergeCell ref="C4:C8"/>
    <mergeCell ref="D4:D8"/>
    <mergeCell ref="E4:E8"/>
    <mergeCell ref="F5:F8"/>
    <mergeCell ref="L6:L8"/>
    <mergeCell ref="G5:H5"/>
    <mergeCell ref="T4:T8"/>
    <mergeCell ref="G6:G8"/>
    <mergeCell ref="H6:H8"/>
    <mergeCell ref="S6:S8"/>
    <mergeCell ref="F4:H4"/>
    <mergeCell ref="A3:W3"/>
  </mergeCells>
  <pageMargins left="1.49" right="0.27559055118110237" top="0.31496062992125984" bottom="0.27559055118110237" header="0.19685039370078741" footer="0.19685039370078741"/>
  <pageSetup paperSize="9" scale="60" orientation="landscape" r:id="rId1"/>
  <headerFoot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22</vt:i4>
      </vt:variant>
    </vt:vector>
  </HeadingPairs>
  <TitlesOfParts>
    <vt:vector size="43" baseType="lpstr">
      <vt:lpstr>TIEN DAT</vt:lpstr>
      <vt:lpstr>DATA</vt:lpstr>
      <vt:lpstr>1NGUON</vt:lpstr>
      <vt:lpstr>2CO CAU</vt:lpstr>
      <vt:lpstr>3PBO HUYEN</vt:lpstr>
      <vt:lpstr>4DMPL</vt:lpstr>
      <vt:lpstr>4.1KHCN </vt:lpstr>
      <vt:lpstr>4.2GDĐT</vt:lpstr>
      <vt:lpstr>4.3Y TẾ</vt:lpstr>
      <vt:lpstr>4.4NỢ XDCB</vt:lpstr>
      <vt:lpstr>4.5ODA</vt:lpstr>
      <vt:lpstr>4.6TRONG DIEM</vt:lpstr>
      <vt:lpstr>4.7CHUYEN TIEP</vt:lpstr>
      <vt:lpstr>ODAKH NSNN</vt:lpstr>
      <vt:lpstr>NC07 TH TPCP</vt:lpstr>
      <vt:lpstr>NC08 TPCP KH</vt:lpstr>
      <vt:lpstr>NC11 PPP</vt:lpstr>
      <vt:lpstr>BM18 BC nam DP</vt:lpstr>
      <vt:lpstr>Quy2THDP</vt:lpstr>
      <vt:lpstr>Quy2TPCPDP</vt:lpstr>
      <vt:lpstr>Quy2von khac Dp</vt:lpstr>
      <vt:lpstr>Quy2THDP!_ftnref1</vt:lpstr>
      <vt:lpstr>'BM18 BC nam DP'!Print_Area</vt:lpstr>
      <vt:lpstr>'NC07 TH TPCP'!Print_Area</vt:lpstr>
      <vt:lpstr>'NC08 TPCP KH'!Print_Area</vt:lpstr>
      <vt:lpstr>'NC11 PPP'!Print_Area</vt:lpstr>
      <vt:lpstr>'ODAKH NSNN'!Print_Area</vt:lpstr>
      <vt:lpstr>Quy2TPCPDP!Print_Area</vt:lpstr>
      <vt:lpstr>Quy2THDP!Print_Area</vt:lpstr>
      <vt:lpstr>'Quy2von khac Dp'!Print_Area</vt:lpstr>
      <vt:lpstr>'4.1KHCN '!Print_Titles</vt:lpstr>
      <vt:lpstr>'4.2GDĐT'!Print_Titles</vt:lpstr>
      <vt:lpstr>'4.3Y TẾ'!Print_Titles</vt:lpstr>
      <vt:lpstr>'4.5ODA'!Print_Titles</vt:lpstr>
      <vt:lpstr>'4.6TRONG DIEM'!Print_Titles</vt:lpstr>
      <vt:lpstr>'4.7CHUYEN TIEP'!Print_Titles</vt:lpstr>
      <vt:lpstr>'BM18 BC nam DP'!Print_Titles</vt:lpstr>
      <vt:lpstr>'NC07 TH TPCP'!Print_Titles</vt:lpstr>
      <vt:lpstr>'NC08 TPCP KH'!Print_Titles</vt:lpstr>
      <vt:lpstr>'ODAKH NSNN'!Print_Titles</vt:lpstr>
      <vt:lpstr>Quy2TPCPDP!Print_Titles</vt:lpstr>
      <vt:lpstr>Quy2THDP!Print_Titles</vt:lpstr>
      <vt:lpstr>'Quy2von khac Dp'!Print_Titles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Thanh Long</dc:creator>
  <cp:lastModifiedBy>Admin</cp:lastModifiedBy>
  <cp:lastPrinted>2020-12-03T09:08:03Z</cp:lastPrinted>
  <dcterms:created xsi:type="dcterms:W3CDTF">2016-08-23T02:19:18Z</dcterms:created>
  <dcterms:modified xsi:type="dcterms:W3CDTF">2020-12-04T03:02:51Z</dcterms:modified>
</cp:coreProperties>
</file>